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9.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1.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3.xml" ContentType="application/vnd.openxmlformats-officedocument.drawing+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7.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8.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9.xml" ContentType="application/vnd.openxmlformats-officedocument.drawingml.chartshapes+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charts/chart42.xml" ContentType="application/vnd.openxmlformats-officedocument.drawingml.chart+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0.xml" ContentType="application/vnd.openxmlformats-officedocument.drawing+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1.xml" ContentType="application/vnd.openxmlformats-officedocument.drawing+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mc:AlternateContent xmlns:mc="http://schemas.openxmlformats.org/markup-compatibility/2006">
    <mc:Choice Requires="x15">
      <x15ac:absPath xmlns:x15ac="http://schemas.microsoft.com/office/spreadsheetml/2010/11/ac" url="/Users/Alan/Desktop/"/>
    </mc:Choice>
  </mc:AlternateContent>
  <xr:revisionPtr revIDLastSave="0" documentId="13_ncr:1_{3A16C0E1-EBF2-5844-AA01-5945E9106F43}" xr6:coauthVersionLast="47" xr6:coauthVersionMax="47" xr10:uidLastSave="{00000000-0000-0000-0000-000000000000}"/>
  <bookViews>
    <workbookView xWindow="0" yWindow="500" windowWidth="25600" windowHeight="14240" xr2:uid="{00000000-000D-0000-FFFF-FFFF00000000}"/>
  </bookViews>
  <sheets>
    <sheet name="Récapitulatif" sheetId="2" r:id="rId1"/>
    <sheet name="1" sheetId="3" r:id="rId2"/>
    <sheet name="6" sheetId="4" r:id="rId3"/>
    <sheet name="7" sheetId="5" r:id="rId4"/>
    <sheet name="Fiche levier - 1 + 6 + 7" sheetId="6" r:id="rId5"/>
    <sheet name="9.1 Alimentaire" sheetId="8" r:id="rId6"/>
    <sheet name="Fiche levier - 9.1" sheetId="9" r:id="rId7"/>
    <sheet name="9.2 Divers" sheetId="10" r:id="rId8"/>
    <sheet name="10.1 Stade" sheetId="12" r:id="rId9"/>
    <sheet name="Fiche levier - 10.1" sheetId="27" r:id="rId10"/>
    <sheet name="10.2 SI" sheetId="13" r:id="rId11"/>
    <sheet name="10.3 Autres" sheetId="14" r:id="rId12"/>
    <sheet name="2" sheetId="15" r:id="rId13"/>
    <sheet name="13" sheetId="16" r:id="rId14"/>
    <sheet name="Fiche levier - 13" sheetId="17" r:id="rId15"/>
    <sheet name="16" sheetId="18" r:id="rId16"/>
    <sheet name="Fiche levier - 16" sheetId="20" r:id="rId17"/>
    <sheet name="22" sheetId="21" r:id="rId18"/>
    <sheet name="Fiche levier - 22" sheetId="22" r:id="rId19"/>
    <sheet name="11" sheetId="23" r:id="rId20"/>
    <sheet name="Fiche levier - 11" sheetId="29" r:id="rId21"/>
    <sheet name="23" sheetId="24" r:id="rId22"/>
    <sheet name="Fiche levier - 23" sheetId="30" r:id="rId23"/>
    <sheet name="ANNEXE A" sheetId="25" r:id="rId24"/>
    <sheet name="ANNEXE B" sheetId="28" r:id="rId25"/>
    <sheet name="ANNEXE C" sheetId="31" r:id="rId26"/>
  </sheets>
  <definedNames>
    <definedName name="_xlnm._FilterDatabase" localSheetId="1" hidden="1">'1'!#REF!</definedName>
    <definedName name="_xlnm._FilterDatabase" localSheetId="19" hidden="1">'11'!$B$123:$C$123</definedName>
    <definedName name="_xlnm._FilterDatabase" localSheetId="13" hidden="1">'13'!$B$96:$J$183</definedName>
    <definedName name="_xlnm._FilterDatabase" localSheetId="15" hidden="1">'16'!$B$83:$U$170</definedName>
    <definedName name="_xlnm._FilterDatabase" localSheetId="17" hidden="1">'22'!$G$272:$H$272</definedName>
    <definedName name="_xlnm._FilterDatabase" localSheetId="21" hidden="1">'23'!$O$169:$Q$169</definedName>
    <definedName name="_xlnm._FilterDatabase" localSheetId="2" hidden="1">'6'!$B$112:$G$112</definedName>
    <definedName name="_xlnm._FilterDatabase" localSheetId="3" hidden="1">'7'!#REF!</definedName>
    <definedName name="_xlnm._FilterDatabase" localSheetId="5" hidden="1">'9.1 Alimentaire'!#REF!</definedName>
    <definedName name="_xlnm._FilterDatabase" localSheetId="20" hidden="1">'Fiche levier - 11'!$B$89:$I$135</definedName>
    <definedName name="_xlnm._FilterDatabase" localSheetId="22" hidden="1">'Fiche levier - 23'!$B$29:$I$91</definedName>
    <definedName name="_xlnm._FilterDatabase" localSheetId="0" hidden="1">Récapitulatif!$B$184:$E$184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67" i="2" l="1"/>
  <c r="R173" i="2"/>
  <c r="R174" i="2"/>
  <c r="R175" i="2"/>
  <c r="R176" i="2"/>
  <c r="B318" i="2" l="1"/>
  <c r="C318" i="2"/>
  <c r="E318" i="2"/>
  <c r="B319" i="2"/>
  <c r="B320" i="2"/>
  <c r="D320" i="2"/>
  <c r="E320" i="2"/>
  <c r="B321" i="2"/>
  <c r="B322" i="2"/>
  <c r="D322" i="2"/>
  <c r="E322" i="2"/>
  <c r="B323" i="2"/>
  <c r="B324" i="2"/>
  <c r="B325" i="2"/>
  <c r="E325" i="2"/>
  <c r="B326" i="2"/>
  <c r="C326" i="2"/>
  <c r="C317" i="2"/>
  <c r="D317" i="2"/>
  <c r="E317" i="2"/>
  <c r="B317" i="2"/>
  <c r="C311" i="2"/>
  <c r="E304" i="2"/>
  <c r="B305" i="2"/>
  <c r="B306" i="2"/>
  <c r="B308" i="2"/>
  <c r="B309" i="2"/>
  <c r="B310" i="2"/>
  <c r="B313" i="2"/>
  <c r="C313" i="2"/>
  <c r="B293" i="2"/>
  <c r="B307" i="2" s="1"/>
  <c r="B290" i="2"/>
  <c r="B304" i="2" s="1"/>
  <c r="C290" i="2"/>
  <c r="C304" i="2" s="1"/>
  <c r="C289" i="2"/>
  <c r="C303" i="2" s="1"/>
  <c r="D289" i="2"/>
  <c r="D303" i="2" s="1"/>
  <c r="T557" i="18" l="1"/>
  <c r="S557" i="18"/>
  <c r="P557" i="18"/>
  <c r="O557" i="18"/>
  <c r="C389" i="16"/>
  <c r="C388" i="16"/>
  <c r="C387" i="16"/>
  <c r="B352" i="12" l="1"/>
  <c r="B351" i="12"/>
  <c r="O30" i="31"/>
  <c r="N22" i="31"/>
  <c r="N23" i="31"/>
  <c r="N24" i="31"/>
  <c r="N25" i="31"/>
  <c r="N26" i="31"/>
  <c r="N27" i="31"/>
  <c r="N28" i="31"/>
  <c r="N29" i="31"/>
  <c r="N30" i="31"/>
  <c r="N31" i="31"/>
  <c r="N32" i="31"/>
  <c r="O22" i="31"/>
  <c r="C506" i="18"/>
  <c r="B507" i="18" s="1"/>
  <c r="B508" i="18" s="1"/>
  <c r="D504" i="18" l="1"/>
  <c r="C504" i="18"/>
  <c r="G517" i="18"/>
  <c r="F551" i="18"/>
  <c r="G551" i="18"/>
  <c r="H550" i="18"/>
  <c r="H548" i="18"/>
  <c r="H549" i="18"/>
  <c r="H547" i="18"/>
  <c r="J59" i="2"/>
  <c r="J60" i="2"/>
  <c r="J61" i="2"/>
  <c r="J62" i="2"/>
  <c r="J63" i="2"/>
  <c r="J64" i="2"/>
  <c r="J65" i="2"/>
  <c r="J66" i="2"/>
  <c r="J58" i="2"/>
  <c r="L94" i="2"/>
  <c r="L101" i="2" s="1"/>
  <c r="H94" i="2" s="1"/>
  <c r="M78" i="2"/>
  <c r="L77" i="2"/>
  <c r="L84" i="2" s="1"/>
  <c r="M515" i="18" l="1"/>
  <c r="M517" i="18" s="1"/>
  <c r="H551" i="18"/>
  <c r="J558" i="18" s="1"/>
  <c r="H59" i="2"/>
  <c r="H77" i="2"/>
  <c r="J556" i="18" l="1"/>
  <c r="J559" i="18"/>
  <c r="J557" i="18"/>
  <c r="G45" i="2"/>
  <c r="L45" i="2" s="1"/>
  <c r="J45" i="2"/>
  <c r="B539" i="18"/>
  <c r="B540" i="18"/>
  <c r="B541" i="18"/>
  <c r="B538" i="18"/>
  <c r="C537" i="18"/>
  <c r="K44" i="2"/>
  <c r="L44" i="2"/>
  <c r="E531" i="18"/>
  <c r="B26" i="2"/>
  <c r="I26" i="2" s="1"/>
  <c r="C269" i="25"/>
  <c r="C257" i="25"/>
  <c r="I10" i="2"/>
  <c r="I11" i="2"/>
  <c r="I12" i="2"/>
  <c r="I13" i="2"/>
  <c r="I14" i="2"/>
  <c r="I15" i="2"/>
  <c r="I9" i="2"/>
  <c r="C265" i="25"/>
  <c r="C266" i="25"/>
  <c r="F517" i="18" l="1"/>
  <c r="H517" i="18" s="1"/>
  <c r="C258" i="25"/>
  <c r="C270" i="25" s="1"/>
  <c r="R222" i="2"/>
  <c r="M95" i="2"/>
  <c r="K60" i="2" s="1"/>
  <c r="Q517" i="18" l="1"/>
  <c r="V517" i="18"/>
  <c r="H515" i="18"/>
  <c r="Q515" i="18" s="1"/>
  <c r="H514" i="18"/>
  <c r="Q514" i="18" s="1"/>
  <c r="H516" i="18"/>
  <c r="Q516" i="18" s="1"/>
  <c r="B263" i="16"/>
  <c r="B264" i="16"/>
  <c r="B265" i="16"/>
  <c r="B267" i="16"/>
  <c r="D499" i="18"/>
  <c r="V514" i="18" l="1"/>
  <c r="V518" i="18" s="1"/>
  <c r="V516" i="18"/>
  <c r="V520" i="18" s="1"/>
  <c r="V515" i="18"/>
  <c r="V519" i="18" s="1"/>
  <c r="C152" i="27"/>
  <c r="D152" i="27"/>
  <c r="E152" i="27"/>
  <c r="F152" i="27"/>
  <c r="G152" i="27"/>
  <c r="H152" i="27"/>
  <c r="I152" i="27"/>
  <c r="J152" i="27"/>
  <c r="K152" i="27"/>
  <c r="L152" i="27"/>
  <c r="M152" i="27"/>
  <c r="N152" i="27"/>
  <c r="O152" i="27"/>
  <c r="P152" i="27"/>
  <c r="Q152" i="27"/>
  <c r="R152" i="27"/>
  <c r="S152" i="27"/>
  <c r="T152" i="27"/>
  <c r="U152" i="27"/>
  <c r="V152" i="27"/>
  <c r="W152" i="27"/>
  <c r="X152" i="27"/>
  <c r="Y152" i="27"/>
  <c r="Z152" i="27"/>
  <c r="AA152" i="27"/>
  <c r="AB152" i="27"/>
  <c r="AC152" i="27"/>
  <c r="AD152" i="27"/>
  <c r="AE152" i="27"/>
  <c r="C164" i="27"/>
  <c r="C165" i="27"/>
  <c r="D165" i="27"/>
  <c r="E165" i="27"/>
  <c r="F165" i="27"/>
  <c r="G165" i="27"/>
  <c r="H165" i="27"/>
  <c r="I165" i="27"/>
  <c r="J165" i="27"/>
  <c r="K165" i="27"/>
  <c r="L165" i="27"/>
  <c r="M165" i="27"/>
  <c r="N165" i="27"/>
  <c r="O165" i="27"/>
  <c r="P165" i="27"/>
  <c r="Q165" i="27"/>
  <c r="R165" i="27"/>
  <c r="S165" i="27"/>
  <c r="T165" i="27"/>
  <c r="U165" i="27"/>
  <c r="V165" i="27"/>
  <c r="W165" i="27"/>
  <c r="X165" i="27"/>
  <c r="Y165" i="27"/>
  <c r="Z165" i="27"/>
  <c r="AA165" i="27"/>
  <c r="AB165" i="27"/>
  <c r="AC165" i="27"/>
  <c r="AD165" i="27"/>
  <c r="AE165" i="27"/>
  <c r="C178" i="27"/>
  <c r="D178" i="27"/>
  <c r="E178" i="27"/>
  <c r="F178" i="27"/>
  <c r="G178" i="27"/>
  <c r="H178" i="27"/>
  <c r="I178" i="27"/>
  <c r="J178" i="27"/>
  <c r="K178" i="27"/>
  <c r="L178" i="27"/>
  <c r="M178" i="27"/>
  <c r="N178" i="27"/>
  <c r="O178" i="27"/>
  <c r="P178" i="27"/>
  <c r="Q178" i="27"/>
  <c r="R178" i="27"/>
  <c r="S178" i="27"/>
  <c r="T178" i="27"/>
  <c r="U178" i="27"/>
  <c r="V178" i="27"/>
  <c r="W178" i="27"/>
  <c r="X178" i="27"/>
  <c r="Y178" i="27"/>
  <c r="Z178" i="27"/>
  <c r="AA178" i="27"/>
  <c r="AB178" i="27"/>
  <c r="AC178" i="27"/>
  <c r="AD178" i="27"/>
  <c r="AE178" i="27"/>
  <c r="C253" i="25"/>
  <c r="C282" i="12" l="1"/>
  <c r="C283" i="12"/>
  <c r="D94" i="27"/>
  <c r="F53" i="12"/>
  <c r="G54" i="12"/>
  <c r="G53" i="12"/>
  <c r="G52" i="12"/>
  <c r="F54" i="12"/>
  <c r="F52" i="12"/>
  <c r="E54" i="12"/>
  <c r="C216" i="12"/>
  <c r="C284" i="12"/>
  <c r="D284" i="12" s="1"/>
  <c r="AE296" i="12" s="1"/>
  <c r="AE151" i="27" s="1"/>
  <c r="C280" i="12"/>
  <c r="D280" i="12" s="1"/>
  <c r="C30" i="12" s="1"/>
  <c r="C281" i="12"/>
  <c r="D281" i="12" s="1"/>
  <c r="G213" i="16" l="1"/>
  <c r="H213" i="16"/>
  <c r="I207" i="18"/>
  <c r="G207" i="18"/>
  <c r="E207" i="18" s="1"/>
  <c r="F155" i="18"/>
  <c r="F152" i="18"/>
  <c r="F151" i="18"/>
  <c r="C468" i="18"/>
  <c r="D468" i="18"/>
  <c r="E468" i="18"/>
  <c r="B43" i="2" l="1"/>
  <c r="I43" i="2" s="1"/>
  <c r="B27" i="2"/>
  <c r="B28" i="2"/>
  <c r="B29" i="2"/>
  <c r="B30" i="2"/>
  <c r="B31" i="2"/>
  <c r="B32" i="2"/>
  <c r="B33" i="2"/>
  <c r="B50" i="2" s="1"/>
  <c r="B34" i="2"/>
  <c r="B51" i="2" s="1"/>
  <c r="B35" i="2"/>
  <c r="B52" i="2" s="1"/>
  <c r="B48" i="2" l="1"/>
  <c r="I46" i="2" s="1"/>
  <c r="I31" i="2"/>
  <c r="B46" i="2"/>
  <c r="I47" i="2" s="1"/>
  <c r="I29" i="2"/>
  <c r="B49" i="2"/>
  <c r="I32" i="2"/>
  <c r="B47" i="2"/>
  <c r="I48" i="2" s="1"/>
  <c r="I30" i="2"/>
  <c r="B45" i="2"/>
  <c r="I45" i="2" s="1"/>
  <c r="I28" i="2"/>
  <c r="B44" i="2"/>
  <c r="I44" i="2" s="1"/>
  <c r="I27" i="2"/>
  <c r="B378" i="18"/>
  <c r="B368" i="18"/>
  <c r="C366" i="18"/>
  <c r="C376" i="18" s="1"/>
  <c r="C386" i="18" s="1"/>
  <c r="C359" i="18"/>
  <c r="C369" i="18" s="1"/>
  <c r="C379" i="18" s="1"/>
  <c r="C360" i="18"/>
  <c r="C370" i="18" s="1"/>
  <c r="C380" i="18" s="1"/>
  <c r="C361" i="18"/>
  <c r="C371" i="18" s="1"/>
  <c r="C381" i="18" s="1"/>
  <c r="C362" i="18"/>
  <c r="C372" i="18" s="1"/>
  <c r="C382" i="18" s="1"/>
  <c r="C363" i="18"/>
  <c r="C373" i="18" s="1"/>
  <c r="C383" i="18" s="1"/>
  <c r="C364" i="18"/>
  <c r="C374" i="18" s="1"/>
  <c r="C384" i="18" s="1"/>
  <c r="C365" i="18"/>
  <c r="C375" i="18" s="1"/>
  <c r="C385" i="18" s="1"/>
  <c r="C358" i="18"/>
  <c r="C368" i="18" s="1"/>
  <c r="C378" i="18" s="1"/>
  <c r="B358" i="18"/>
  <c r="D342" i="18" l="1"/>
  <c r="B342" i="18"/>
  <c r="D343" i="18"/>
  <c r="B343" i="18"/>
  <c r="D344" i="18"/>
  <c r="B344" i="18"/>
  <c r="D345" i="18"/>
  <c r="B341" i="18"/>
  <c r="D341" i="18"/>
  <c r="C338" i="16"/>
  <c r="C337" i="16"/>
  <c r="E338" i="16"/>
  <c r="E337" i="16"/>
  <c r="C343" i="18" l="1"/>
  <c r="E342" i="18"/>
  <c r="E343" i="18"/>
  <c r="E447" i="18" s="1"/>
  <c r="C342" i="18"/>
  <c r="D447" i="18" l="1"/>
  <c r="D250" i="24"/>
  <c r="D249" i="24"/>
  <c r="D248" i="24"/>
  <c r="D247" i="24"/>
  <c r="F51" i="24"/>
  <c r="F50" i="24"/>
  <c r="F49" i="24"/>
  <c r="F48" i="24"/>
  <c r="C63" i="9"/>
  <c r="C62" i="9"/>
  <c r="C61" i="9"/>
  <c r="N111" i="9"/>
  <c r="E35" i="9" s="1"/>
  <c r="C66" i="9" s="1"/>
  <c r="N108" i="9"/>
  <c r="D110" i="9"/>
  <c r="N110" i="9" s="1"/>
  <c r="D109" i="9"/>
  <c r="N109" i="9" s="1"/>
  <c r="D108" i="9"/>
  <c r="D102" i="9"/>
  <c r="N102" i="9" s="1"/>
  <c r="E36" i="9" s="1"/>
  <c r="C64" i="9" s="1"/>
  <c r="D305" i="8"/>
  <c r="D103" i="9" s="1"/>
  <c r="F102" i="8"/>
  <c r="D299" i="8"/>
  <c r="D97" i="9" s="1"/>
  <c r="N97" i="9" s="1"/>
  <c r="C146" i="8"/>
  <c r="D298" i="8" s="1"/>
  <c r="D96" i="9" s="1"/>
  <c r="N96" i="9" s="1"/>
  <c r="D297" i="8"/>
  <c r="D95" i="9" s="1"/>
  <c r="N95" i="9" s="1"/>
  <c r="T35" i="17" l="1"/>
  <c r="O35" i="17"/>
  <c r="J35" i="17"/>
  <c r="C22" i="17"/>
  <c r="D196" i="24"/>
  <c r="D197" i="24"/>
  <c r="D198" i="24"/>
  <c r="D199" i="24"/>
  <c r="D200" i="24"/>
  <c r="C24" i="24"/>
  <c r="F38" i="24"/>
  <c r="F37" i="24"/>
  <c r="F36" i="24"/>
  <c r="B117" i="29"/>
  <c r="D108" i="29"/>
  <c r="B108" i="29"/>
  <c r="C107" i="29"/>
  <c r="B107" i="29"/>
  <c r="D106" i="29"/>
  <c r="C106" i="29"/>
  <c r="B106" i="29"/>
  <c r="C105" i="29"/>
  <c r="B105" i="29"/>
  <c r="D97" i="29"/>
  <c r="E97" i="29" s="1"/>
  <c r="C97" i="29"/>
  <c r="D96" i="29"/>
  <c r="C96" i="29"/>
  <c r="D95" i="29"/>
  <c r="C95" i="29"/>
  <c r="E95" i="29" s="1"/>
  <c r="D94" i="29"/>
  <c r="C94" i="29"/>
  <c r="E94" i="29" s="1"/>
  <c r="D93" i="29"/>
  <c r="E24" i="29" s="1"/>
  <c r="C93" i="29"/>
  <c r="D88" i="29"/>
  <c r="C88" i="29"/>
  <c r="D87" i="29"/>
  <c r="C87" i="29"/>
  <c r="D86" i="29"/>
  <c r="C86" i="29"/>
  <c r="D85" i="29"/>
  <c r="C85" i="29"/>
  <c r="H56" i="29"/>
  <c r="H55" i="29"/>
  <c r="H54" i="29"/>
  <c r="H53" i="29"/>
  <c r="E38" i="29"/>
  <c r="C108" i="29" s="1"/>
  <c r="C6" i="23"/>
  <c r="E96" i="29" l="1"/>
  <c r="D98" i="29"/>
  <c r="E93" i="29"/>
  <c r="C98" i="29"/>
  <c r="E98" i="29" s="1"/>
  <c r="C203" i="12" l="1"/>
  <c r="C79" i="27" l="1"/>
  <c r="B61" i="27" l="1"/>
  <c r="B59" i="27"/>
  <c r="B60" i="27"/>
  <c r="B58" i="27"/>
  <c r="I169" i="17" l="1"/>
  <c r="C160" i="17" l="1"/>
  <c r="K194" i="17"/>
  <c r="C89" i="21" l="1"/>
  <c r="C178" i="12"/>
  <c r="C179" i="12" s="1"/>
  <c r="C202" i="12" s="1"/>
  <c r="C200" i="12"/>
  <c r="C155" i="12"/>
  <c r="C156" i="12" s="1"/>
  <c r="C201" i="12" s="1"/>
  <c r="C204" i="12" l="1"/>
  <c r="C36" i="12" s="1"/>
  <c r="E52" i="12" s="1"/>
  <c r="C311" i="12" s="1"/>
  <c r="C166" i="27" s="1"/>
  <c r="C312" i="12" l="1"/>
  <c r="C167" i="27" s="1"/>
  <c r="G298" i="12"/>
  <c r="G153" i="27" s="1"/>
  <c r="O298" i="12"/>
  <c r="O153" i="27" s="1"/>
  <c r="W298" i="12"/>
  <c r="W153" i="27" s="1"/>
  <c r="AE298" i="12"/>
  <c r="AE153" i="27" s="1"/>
  <c r="I298" i="12"/>
  <c r="I153" i="27" s="1"/>
  <c r="K298" i="12"/>
  <c r="K153" i="27" s="1"/>
  <c r="S298" i="12"/>
  <c r="S153" i="27" s="1"/>
  <c r="L298" i="12"/>
  <c r="L153" i="27" s="1"/>
  <c r="E298" i="12"/>
  <c r="E153" i="27" s="1"/>
  <c r="M298" i="12"/>
  <c r="M153" i="27" s="1"/>
  <c r="U298" i="12"/>
  <c r="U153" i="27" s="1"/>
  <c r="AC298" i="12"/>
  <c r="AC153" i="27" s="1"/>
  <c r="F298" i="12"/>
  <c r="F153" i="27" s="1"/>
  <c r="V298" i="12"/>
  <c r="V153" i="27" s="1"/>
  <c r="AD298" i="12"/>
  <c r="AD153" i="27" s="1"/>
  <c r="H298" i="12"/>
  <c r="H153" i="27" s="1"/>
  <c r="P298" i="12"/>
  <c r="P153" i="27" s="1"/>
  <c r="X298" i="12"/>
  <c r="X153" i="27" s="1"/>
  <c r="C298" i="12"/>
  <c r="C153" i="27" s="1"/>
  <c r="Q298" i="12"/>
  <c r="Q153" i="27" s="1"/>
  <c r="Y298" i="12"/>
  <c r="Y153" i="27" s="1"/>
  <c r="J298" i="12"/>
  <c r="J153" i="27" s="1"/>
  <c r="R298" i="12"/>
  <c r="R153" i="27" s="1"/>
  <c r="Z298" i="12"/>
  <c r="Z153" i="27" s="1"/>
  <c r="AA298" i="12"/>
  <c r="AA153" i="27" s="1"/>
  <c r="D298" i="12"/>
  <c r="D153" i="27" s="1"/>
  <c r="T298" i="12"/>
  <c r="T153" i="27" s="1"/>
  <c r="AB298" i="12"/>
  <c r="AB153" i="27" s="1"/>
  <c r="N298" i="12"/>
  <c r="N153" i="27" s="1"/>
  <c r="C98" i="27"/>
  <c r="C37" i="12"/>
  <c r="C94" i="27"/>
  <c r="F16" i="27" s="1"/>
  <c r="D98" i="27" l="1"/>
  <c r="E53" i="12"/>
  <c r="C176" i="12"/>
  <c r="D152" i="12"/>
  <c r="C352" i="12" s="1"/>
  <c r="D153" i="12"/>
  <c r="C353" i="12" s="1"/>
  <c r="D154" i="12"/>
  <c r="D151" i="12"/>
  <c r="E132" i="12"/>
  <c r="E122" i="12"/>
  <c r="F122" i="12" s="1"/>
  <c r="E121" i="12"/>
  <c r="F121" i="12" s="1"/>
  <c r="E120" i="12"/>
  <c r="F120" i="12" s="1"/>
  <c r="E119" i="12"/>
  <c r="F119" i="12" s="1"/>
  <c r="E118" i="12"/>
  <c r="F118" i="12" s="1"/>
  <c r="E117" i="12"/>
  <c r="E131" i="12" s="1"/>
  <c r="E116" i="12"/>
  <c r="F116" i="12" s="1"/>
  <c r="E115" i="12"/>
  <c r="F115" i="12" s="1"/>
  <c r="E129" i="12"/>
  <c r="C129" i="12"/>
  <c r="D129" i="12"/>
  <c r="C130" i="12"/>
  <c r="D130" i="12"/>
  <c r="C131" i="12"/>
  <c r="D131" i="12"/>
  <c r="C132" i="12"/>
  <c r="D132" i="12"/>
  <c r="C133" i="12"/>
  <c r="D133" i="12"/>
  <c r="C134" i="12"/>
  <c r="D134" i="12"/>
  <c r="C135" i="12"/>
  <c r="D135" i="12"/>
  <c r="C136" i="12"/>
  <c r="D136" i="12"/>
  <c r="B130" i="12"/>
  <c r="B131" i="12"/>
  <c r="B132" i="12"/>
  <c r="B133" i="12"/>
  <c r="B134" i="12"/>
  <c r="B135" i="12"/>
  <c r="B136" i="12"/>
  <c r="B129" i="12"/>
  <c r="C99" i="27" l="1"/>
  <c r="E135" i="12"/>
  <c r="F135" i="12" s="1"/>
  <c r="F132" i="12"/>
  <c r="F129" i="12"/>
  <c r="E136" i="12"/>
  <c r="F136" i="12" s="1"/>
  <c r="E134" i="12"/>
  <c r="F134" i="12" s="1"/>
  <c r="F131" i="12"/>
  <c r="F117" i="12"/>
  <c r="F123" i="12" s="1"/>
  <c r="AE311" i="12" l="1"/>
  <c r="AE166" i="27" s="1"/>
  <c r="D161" i="27" s="1"/>
  <c r="C325" i="12"/>
  <c r="C179" i="27" s="1"/>
  <c r="D99" i="27"/>
  <c r="C100" i="27"/>
  <c r="G121" i="12"/>
  <c r="D306" i="12" l="1"/>
  <c r="D311" i="12" s="1"/>
  <c r="D166" i="27" s="1"/>
  <c r="AE325" i="12"/>
  <c r="AE179" i="27" s="1"/>
  <c r="D174" i="27" s="1"/>
  <c r="D100" i="27"/>
  <c r="G120" i="12"/>
  <c r="G119" i="12"/>
  <c r="G118" i="12"/>
  <c r="G117" i="12"/>
  <c r="G116" i="12"/>
  <c r="G115" i="12"/>
  <c r="G122" i="12"/>
  <c r="E311" i="12" l="1"/>
  <c r="E166" i="27" s="1"/>
  <c r="D320" i="12"/>
  <c r="D325" i="12" s="1"/>
  <c r="D179" i="27" s="1"/>
  <c r="H139" i="21"/>
  <c r="C317" i="18"/>
  <c r="E325" i="12" l="1"/>
  <c r="E179" i="27" s="1"/>
  <c r="F311" i="12"/>
  <c r="F166" i="27" s="1"/>
  <c r="W167" i="2"/>
  <c r="G311" i="12" l="1"/>
  <c r="G166" i="27" s="1"/>
  <c r="F325" i="12"/>
  <c r="F179" i="27" s="1"/>
  <c r="D57" i="6"/>
  <c r="G325" i="12" l="1"/>
  <c r="G179" i="27" s="1"/>
  <c r="H311" i="12"/>
  <c r="H166" i="27" s="1"/>
  <c r="H203" i="16"/>
  <c r="F313" i="16"/>
  <c r="G203" i="16"/>
  <c r="F303" i="16"/>
  <c r="I311" i="12" l="1"/>
  <c r="I166" i="27" s="1"/>
  <c r="H325" i="12"/>
  <c r="H179" i="27" s="1"/>
  <c r="F191" i="18"/>
  <c r="H191" i="18"/>
  <c r="I325" i="12" l="1"/>
  <c r="I179" i="27" s="1"/>
  <c r="J311" i="12"/>
  <c r="J166" i="27" s="1"/>
  <c r="C242" i="25"/>
  <c r="C240" i="25"/>
  <c r="C241" i="25"/>
  <c r="C239" i="25"/>
  <c r="C237" i="25"/>
  <c r="I232" i="25"/>
  <c r="H232" i="25"/>
  <c r="I202" i="17"/>
  <c r="Q9" i="28"/>
  <c r="C254" i="25" l="1"/>
  <c r="C29" i="12"/>
  <c r="D54" i="12"/>
  <c r="H54" i="12" s="1"/>
  <c r="K311" i="12"/>
  <c r="K166" i="27" s="1"/>
  <c r="J325" i="12"/>
  <c r="J179" i="27" s="1"/>
  <c r="I172" i="17"/>
  <c r="C31" i="12" l="1"/>
  <c r="F36" i="12" s="1"/>
  <c r="F37" i="12" s="1"/>
  <c r="AE295" i="12"/>
  <c r="K325" i="12"/>
  <c r="K179" i="27" s="1"/>
  <c r="L311" i="12"/>
  <c r="L166" i="27" s="1"/>
  <c r="C174" i="17"/>
  <c r="C176" i="17" s="1"/>
  <c r="D81" i="24"/>
  <c r="C81" i="24"/>
  <c r="C80" i="24"/>
  <c r="E80" i="24" s="1"/>
  <c r="P13" i="28"/>
  <c r="N10" i="28"/>
  <c r="N11" i="28"/>
  <c r="N12" i="28"/>
  <c r="N13" i="28"/>
  <c r="N14" i="28"/>
  <c r="N15" i="28"/>
  <c r="N9" i="28"/>
  <c r="N8" i="28"/>
  <c r="O7" i="28"/>
  <c r="P7" i="28"/>
  <c r="Q7" i="28"/>
  <c r="Q10" i="28"/>
  <c r="Q11" i="28"/>
  <c r="Q12" i="28"/>
  <c r="Q14" i="28"/>
  <c r="Q15" i="28"/>
  <c r="AE150" i="27" l="1"/>
  <c r="D53" i="12"/>
  <c r="G37" i="12"/>
  <c r="AE299" i="12"/>
  <c r="AE154" i="27" s="1"/>
  <c r="C156" i="27" s="1"/>
  <c r="D52" i="12"/>
  <c r="G36" i="12"/>
  <c r="M311" i="12"/>
  <c r="M166" i="27" s="1"/>
  <c r="L325" i="12"/>
  <c r="L179" i="27" s="1"/>
  <c r="E81" i="24"/>
  <c r="I177" i="17"/>
  <c r="G205" i="16"/>
  <c r="C295" i="12" l="1"/>
  <c r="H52" i="12"/>
  <c r="C301" i="12"/>
  <c r="G38" i="12"/>
  <c r="K323" i="12"/>
  <c r="K177" i="27" s="1"/>
  <c r="L323" i="12"/>
  <c r="L177" i="27" s="1"/>
  <c r="R323" i="12"/>
  <c r="R177" i="27" s="1"/>
  <c r="P323" i="12"/>
  <c r="P177" i="27" s="1"/>
  <c r="S323" i="12"/>
  <c r="S177" i="27" s="1"/>
  <c r="T323" i="12"/>
  <c r="T177" i="27" s="1"/>
  <c r="U323" i="12"/>
  <c r="U177" i="27" s="1"/>
  <c r="X323" i="12"/>
  <c r="X177" i="27" s="1"/>
  <c r="AB323" i="12"/>
  <c r="AB177" i="27" s="1"/>
  <c r="F323" i="12"/>
  <c r="F177" i="27" s="1"/>
  <c r="C323" i="12"/>
  <c r="C177" i="27" s="1"/>
  <c r="E323" i="12"/>
  <c r="E177" i="27" s="1"/>
  <c r="G323" i="12"/>
  <c r="G177" i="27" s="1"/>
  <c r="I323" i="12"/>
  <c r="I177" i="27" s="1"/>
  <c r="AC323" i="12"/>
  <c r="AC177" i="27" s="1"/>
  <c r="O323" i="12"/>
  <c r="O177" i="27" s="1"/>
  <c r="J323" i="12"/>
  <c r="J177" i="27" s="1"/>
  <c r="W323" i="12"/>
  <c r="W177" i="27" s="1"/>
  <c r="Z323" i="12"/>
  <c r="Z177" i="27" s="1"/>
  <c r="V323" i="12"/>
  <c r="V177" i="27" s="1"/>
  <c r="Y323" i="12"/>
  <c r="Y177" i="27" s="1"/>
  <c r="Q323" i="12"/>
  <c r="Q177" i="27" s="1"/>
  <c r="H323" i="12"/>
  <c r="H177" i="27" s="1"/>
  <c r="N323" i="12"/>
  <c r="N177" i="27" s="1"/>
  <c r="AA323" i="12"/>
  <c r="AA177" i="27" s="1"/>
  <c r="AE323" i="12"/>
  <c r="AE177" i="27" s="1"/>
  <c r="D323" i="12"/>
  <c r="D177" i="27" s="1"/>
  <c r="M323" i="12"/>
  <c r="M177" i="27" s="1"/>
  <c r="AD323" i="12"/>
  <c r="AD177" i="27" s="1"/>
  <c r="H53" i="12"/>
  <c r="M325" i="12"/>
  <c r="M179" i="27" s="1"/>
  <c r="N311" i="12"/>
  <c r="N166" i="27" s="1"/>
  <c r="C179" i="18"/>
  <c r="C182" i="18" s="1"/>
  <c r="I191" i="18" s="1"/>
  <c r="H204" i="16" s="1"/>
  <c r="C178" i="18"/>
  <c r="C181" i="18" s="1"/>
  <c r="G191" i="18" s="1"/>
  <c r="G204" i="16" s="1"/>
  <c r="H205" i="16"/>
  <c r="E299" i="16"/>
  <c r="E310" i="16" s="1"/>
  <c r="E296" i="16"/>
  <c r="E307" i="16" s="1"/>
  <c r="C191" i="16"/>
  <c r="C194" i="16" s="1"/>
  <c r="C192" i="16"/>
  <c r="C195" i="16" s="1"/>
  <c r="C26" i="23"/>
  <c r="E530" i="18" l="1"/>
  <c r="H217" i="16"/>
  <c r="C150" i="27"/>
  <c r="D147" i="27" s="1"/>
  <c r="D292" i="12"/>
  <c r="D295" i="12" s="1"/>
  <c r="D150" i="27" s="1"/>
  <c r="G217" i="16"/>
  <c r="M326" i="12"/>
  <c r="M180" i="27" s="1"/>
  <c r="C326" i="12"/>
  <c r="C180" i="27" s="1"/>
  <c r="L326" i="12"/>
  <c r="L180" i="27" s="1"/>
  <c r="K326" i="12"/>
  <c r="K180" i="27" s="1"/>
  <c r="J326" i="12"/>
  <c r="J180" i="27" s="1"/>
  <c r="H326" i="12"/>
  <c r="H180" i="27" s="1"/>
  <c r="D326" i="12"/>
  <c r="D180" i="27" s="1"/>
  <c r="AE326" i="12"/>
  <c r="F326" i="12"/>
  <c r="F180" i="27" s="1"/>
  <c r="H55" i="12"/>
  <c r="I326" i="12"/>
  <c r="I180" i="27" s="1"/>
  <c r="G326" i="12"/>
  <c r="G180" i="27" s="1"/>
  <c r="E326" i="12"/>
  <c r="E180" i="27" s="1"/>
  <c r="C296" i="12"/>
  <c r="C151" i="27" s="1"/>
  <c r="AE309" i="12"/>
  <c r="AE164" i="27" s="1"/>
  <c r="C299" i="12"/>
  <c r="C154" i="27" s="1"/>
  <c r="O311" i="12"/>
  <c r="O166" i="27" s="1"/>
  <c r="N325" i="12"/>
  <c r="G22" i="17"/>
  <c r="L22" i="17"/>
  <c r="Q22" i="17"/>
  <c r="H22" i="17"/>
  <c r="R22" i="17"/>
  <c r="M22" i="17"/>
  <c r="G23" i="20"/>
  <c r="I23" i="20"/>
  <c r="H23" i="20"/>
  <c r="C36" i="18"/>
  <c r="C57" i="18" s="1"/>
  <c r="D361" i="16" l="1"/>
  <c r="D354" i="16"/>
  <c r="D362" i="16"/>
  <c r="D355" i="16"/>
  <c r="C346" i="16"/>
  <c r="C345" i="16"/>
  <c r="C44" i="2"/>
  <c r="D44" i="2" s="1"/>
  <c r="AE180" i="27"/>
  <c r="C182" i="27" s="1"/>
  <c r="N326" i="12"/>
  <c r="N180" i="27" s="1"/>
  <c r="N179" i="27"/>
  <c r="AE312" i="12"/>
  <c r="AE167" i="27" s="1"/>
  <c r="C169" i="27" s="1"/>
  <c r="O325" i="12"/>
  <c r="O179" i="27" s="1"/>
  <c r="P311" i="12"/>
  <c r="P166" i="27" s="1"/>
  <c r="C327" i="16"/>
  <c r="C34" i="8" s="1"/>
  <c r="C326" i="16"/>
  <c r="C33" i="8" s="1"/>
  <c r="C107" i="23"/>
  <c r="E97" i="21"/>
  <c r="E96" i="21"/>
  <c r="O326" i="12" l="1"/>
  <c r="O180" i="27" s="1"/>
  <c r="C314" i="12"/>
  <c r="Q311" i="12"/>
  <c r="Q166" i="27" s="1"/>
  <c r="P325" i="12"/>
  <c r="E44" i="23"/>
  <c r="E34" i="23"/>
  <c r="C27" i="15"/>
  <c r="C26" i="14"/>
  <c r="C26" i="13"/>
  <c r="C52" i="13" s="1"/>
  <c r="C28" i="8"/>
  <c r="C26" i="5"/>
  <c r="C26" i="4"/>
  <c r="C26" i="3"/>
  <c r="C35" i="16"/>
  <c r="C29" i="8"/>
  <c r="C26" i="10"/>
  <c r="C27" i="10" s="1"/>
  <c r="E72" i="20"/>
  <c r="P326" i="12" l="1"/>
  <c r="P180" i="27" s="1"/>
  <c r="P179" i="27"/>
  <c r="Q325" i="12"/>
  <c r="Q179" i="27" s="1"/>
  <c r="R311" i="12"/>
  <c r="R166" i="27" s="1"/>
  <c r="C60" i="16"/>
  <c r="D203" i="16"/>
  <c r="F203" i="16"/>
  <c r="B100" i="12"/>
  <c r="C100" i="12" s="1"/>
  <c r="F46" i="12" s="1"/>
  <c r="E79" i="24"/>
  <c r="E78" i="24"/>
  <c r="E75" i="24"/>
  <c r="B36" i="23"/>
  <c r="E28" i="29"/>
  <c r="E25" i="29"/>
  <c r="E27" i="29"/>
  <c r="B24" i="29"/>
  <c r="B19" i="29"/>
  <c r="B18" i="29"/>
  <c r="D26" i="29"/>
  <c r="B46" i="23"/>
  <c r="B45" i="23"/>
  <c r="B44" i="23"/>
  <c r="B43" i="23"/>
  <c r="B42" i="23"/>
  <c r="B35" i="23"/>
  <c r="B34" i="23"/>
  <c r="B33" i="23"/>
  <c r="B32" i="23"/>
  <c r="Q326" i="12" l="1"/>
  <c r="Q180" i="27" s="1"/>
  <c r="S311" i="12"/>
  <c r="S166" i="27" s="1"/>
  <c r="R325" i="12"/>
  <c r="R179" i="27" s="1"/>
  <c r="C20" i="29"/>
  <c r="B114" i="29" s="1"/>
  <c r="C21" i="29"/>
  <c r="B115" i="29" s="1"/>
  <c r="C22" i="29"/>
  <c r="B116" i="29" s="1"/>
  <c r="C19" i="29"/>
  <c r="B113" i="29" s="1"/>
  <c r="E26" i="29"/>
  <c r="C133" i="23"/>
  <c r="F131" i="23"/>
  <c r="R326" i="12" l="1"/>
  <c r="R180" i="27" s="1"/>
  <c r="S325" i="12"/>
  <c r="T311" i="12"/>
  <c r="T166" i="27" s="1"/>
  <c r="C106" i="23"/>
  <c r="C105" i="23"/>
  <c r="C104" i="23"/>
  <c r="C103" i="23"/>
  <c r="C102" i="23"/>
  <c r="E42" i="23" s="1"/>
  <c r="S326" i="12" l="1"/>
  <c r="S180" i="27" s="1"/>
  <c r="S179" i="27"/>
  <c r="U311" i="12"/>
  <c r="U166" i="27" s="1"/>
  <c r="T325" i="12"/>
  <c r="T179" i="27" s="1"/>
  <c r="E46" i="23"/>
  <c r="E36" i="23"/>
  <c r="E32" i="23"/>
  <c r="E43" i="23"/>
  <c r="E33" i="23"/>
  <c r="E45" i="23"/>
  <c r="E35" i="23"/>
  <c r="C115" i="23"/>
  <c r="U325" i="12" l="1"/>
  <c r="U179" i="27" s="1"/>
  <c r="T326" i="12"/>
  <c r="T180" i="27" s="1"/>
  <c r="V311" i="12"/>
  <c r="V166" i="27" s="1"/>
  <c r="D28" i="29"/>
  <c r="D25" i="29"/>
  <c r="D24" i="29"/>
  <c r="D27" i="29"/>
  <c r="K264" i="18"/>
  <c r="K265" i="18"/>
  <c r="K266" i="18"/>
  <c r="K267" i="18"/>
  <c r="H268" i="18"/>
  <c r="I268" i="18"/>
  <c r="J268" i="18"/>
  <c r="N268" i="18"/>
  <c r="H280" i="18"/>
  <c r="H282" i="18"/>
  <c r="H283" i="18"/>
  <c r="H284" i="18"/>
  <c r="C285" i="18"/>
  <c r="D319" i="18"/>
  <c r="C319" i="18"/>
  <c r="F317" i="18"/>
  <c r="E317" i="18"/>
  <c r="D317" i="18"/>
  <c r="U326" i="12" l="1"/>
  <c r="U180" i="27" s="1"/>
  <c r="W311" i="12"/>
  <c r="W166" i="27" s="1"/>
  <c r="V325" i="12"/>
  <c r="H285" i="18"/>
  <c r="K268" i="18"/>
  <c r="D52" i="13"/>
  <c r="G232" i="25"/>
  <c r="F232" i="25"/>
  <c r="E232" i="25"/>
  <c r="D232" i="25"/>
  <c r="C232" i="25"/>
  <c r="C68" i="25"/>
  <c r="C67" i="25"/>
  <c r="D91" i="25"/>
  <c r="D136" i="25"/>
  <c r="V326" i="12" l="1"/>
  <c r="V180" i="27" s="1"/>
  <c r="V179" i="27"/>
  <c r="C336" i="16"/>
  <c r="W325" i="12"/>
  <c r="X311" i="12"/>
  <c r="X166" i="27" s="1"/>
  <c r="E336" i="16"/>
  <c r="J232" i="25"/>
  <c r="C341" i="18" l="1"/>
  <c r="C339" i="16"/>
  <c r="W326" i="12"/>
  <c r="W180" i="27" s="1"/>
  <c r="W179" i="27"/>
  <c r="Y311" i="12"/>
  <c r="Y166" i="27" s="1"/>
  <c r="X325" i="12"/>
  <c r="E341" i="18"/>
  <c r="E339" i="16"/>
  <c r="C243" i="25"/>
  <c r="W67" i="25"/>
  <c r="D67" i="25"/>
  <c r="E67" i="25"/>
  <c r="F67" i="25"/>
  <c r="G67" i="25"/>
  <c r="H67" i="25"/>
  <c r="I67" i="25"/>
  <c r="J67" i="25"/>
  <c r="K67" i="25"/>
  <c r="L67" i="25"/>
  <c r="M67" i="25"/>
  <c r="N67" i="25"/>
  <c r="O67" i="25"/>
  <c r="P67" i="25"/>
  <c r="Q67" i="25"/>
  <c r="R67" i="25"/>
  <c r="S67" i="25"/>
  <c r="T67" i="25"/>
  <c r="U67" i="25"/>
  <c r="V67" i="25"/>
  <c r="D36" i="25"/>
  <c r="E36" i="25"/>
  <c r="F36" i="25"/>
  <c r="G36" i="25"/>
  <c r="H36" i="25"/>
  <c r="I36" i="25"/>
  <c r="J36" i="25"/>
  <c r="K36" i="25"/>
  <c r="L36" i="25"/>
  <c r="M36" i="25"/>
  <c r="N36" i="25"/>
  <c r="O36" i="25"/>
  <c r="P36" i="25"/>
  <c r="Q36" i="25"/>
  <c r="R36" i="25"/>
  <c r="S36" i="25"/>
  <c r="T36" i="25"/>
  <c r="U36" i="25"/>
  <c r="V36" i="25"/>
  <c r="C36" i="25"/>
  <c r="D35" i="25"/>
  <c r="E35" i="25"/>
  <c r="F35" i="25"/>
  <c r="G35" i="25"/>
  <c r="H35" i="25"/>
  <c r="I35" i="25"/>
  <c r="J35" i="25"/>
  <c r="K35" i="25"/>
  <c r="L35" i="25"/>
  <c r="M35" i="25"/>
  <c r="N35" i="25"/>
  <c r="O35" i="25"/>
  <c r="P35" i="25"/>
  <c r="Q35" i="25"/>
  <c r="R35" i="25"/>
  <c r="S35" i="25"/>
  <c r="T35" i="25"/>
  <c r="U35" i="25"/>
  <c r="V35" i="25"/>
  <c r="C35" i="25"/>
  <c r="I12" i="28"/>
  <c r="P78" i="2" l="1"/>
  <c r="C340" i="16"/>
  <c r="C345" i="18" s="1"/>
  <c r="C344" i="18"/>
  <c r="P95" i="2"/>
  <c r="C447" i="18"/>
  <c r="C448" i="18" s="1"/>
  <c r="X326" i="12"/>
  <c r="X180" i="27" s="1"/>
  <c r="X179" i="27"/>
  <c r="Y325" i="12"/>
  <c r="Z311" i="12"/>
  <c r="Z166" i="27" s="1"/>
  <c r="E344" i="18"/>
  <c r="E340" i="16"/>
  <c r="E345" i="18" s="1"/>
  <c r="C248" i="25"/>
  <c r="C244" i="25" s="1"/>
  <c r="D448" i="18" l="1"/>
  <c r="E448" i="18"/>
  <c r="H378" i="18"/>
  <c r="D392" i="18" s="1"/>
  <c r="Y326" i="12"/>
  <c r="Y180" i="27" s="1"/>
  <c r="Y179" i="27"/>
  <c r="AA311" i="12"/>
  <c r="AA166" i="27" s="1"/>
  <c r="Z325" i="12"/>
  <c r="C238" i="25"/>
  <c r="C55" i="18" s="1"/>
  <c r="H388" i="18"/>
  <c r="E392" i="18" s="1"/>
  <c r="H368" i="18"/>
  <c r="C392" i="18" s="1"/>
  <c r="D97" i="24"/>
  <c r="D96" i="24"/>
  <c r="D93" i="24"/>
  <c r="D91" i="24"/>
  <c r="C94" i="24"/>
  <c r="C95" i="24"/>
  <c r="C96" i="24"/>
  <c r="C97" i="24"/>
  <c r="C93" i="24"/>
  <c r="C92" i="24"/>
  <c r="C91" i="24"/>
  <c r="C90" i="24"/>
  <c r="C89" i="24"/>
  <c r="C88" i="24"/>
  <c r="E76" i="24"/>
  <c r="E77" i="24"/>
  <c r="C173" i="24"/>
  <c r="D94" i="24" s="1"/>
  <c r="D95" i="24" s="1"/>
  <c r="C158" i="24"/>
  <c r="D92" i="24" s="1"/>
  <c r="C142" i="24"/>
  <c r="D90" i="24" s="1"/>
  <c r="C124" i="24"/>
  <c r="C130" i="24" s="1"/>
  <c r="D89" i="24" s="1"/>
  <c r="E97" i="24" l="1"/>
  <c r="Z326" i="12"/>
  <c r="Z180" i="27" s="1"/>
  <c r="Z179" i="27"/>
  <c r="C38" i="21"/>
  <c r="C27" i="5"/>
  <c r="C33" i="16"/>
  <c r="C27" i="4"/>
  <c r="C35" i="8"/>
  <c r="C58" i="16"/>
  <c r="C56" i="21"/>
  <c r="C27" i="3"/>
  <c r="C29" i="21"/>
  <c r="C73" i="21"/>
  <c r="C34" i="18"/>
  <c r="C27" i="23"/>
  <c r="AA325" i="12"/>
  <c r="AB311" i="12"/>
  <c r="AB166" i="27" s="1"/>
  <c r="E93" i="24"/>
  <c r="E96" i="24"/>
  <c r="E82" i="24"/>
  <c r="E91" i="24"/>
  <c r="E94" i="24"/>
  <c r="E95" i="24"/>
  <c r="E89" i="24"/>
  <c r="E90" i="24"/>
  <c r="E92" i="24"/>
  <c r="D88" i="24"/>
  <c r="E88" i="24" s="1"/>
  <c r="AA326" i="12" l="1"/>
  <c r="AA180" i="27" s="1"/>
  <c r="AA179" i="27"/>
  <c r="AC311" i="12"/>
  <c r="AC166" i="27" s="1"/>
  <c r="AB325" i="12"/>
  <c r="E98" i="24"/>
  <c r="C6" i="24"/>
  <c r="H32" i="22"/>
  <c r="G32" i="22"/>
  <c r="AB326" i="12" l="1"/>
  <c r="AB180" i="27" s="1"/>
  <c r="AB179" i="27"/>
  <c r="AC325" i="12"/>
  <c r="AD311" i="12"/>
  <c r="AD166" i="27" s="1"/>
  <c r="D105" i="24"/>
  <c r="E119" i="21"/>
  <c r="D119" i="21"/>
  <c r="C6" i="21"/>
  <c r="I31" i="20"/>
  <c r="E191" i="18"/>
  <c r="E23" i="20" s="1"/>
  <c r="G31" i="17"/>
  <c r="H31" i="17"/>
  <c r="F28" i="17"/>
  <c r="H23" i="17"/>
  <c r="D103" i="17" s="1"/>
  <c r="D104" i="17" s="1"/>
  <c r="G23" i="17"/>
  <c r="L23" i="17" s="1"/>
  <c r="H21" i="17"/>
  <c r="H231" i="16"/>
  <c r="E215" i="16" s="1"/>
  <c r="E33" i="17" s="1"/>
  <c r="D214" i="16"/>
  <c r="D32" i="17" s="1"/>
  <c r="D213" i="16"/>
  <c r="D31" i="17" s="1"/>
  <c r="D212" i="16"/>
  <c r="D30" i="17" s="1"/>
  <c r="C7" i="15"/>
  <c r="C6" i="16"/>
  <c r="C55" i="10"/>
  <c r="C61" i="10" s="1"/>
  <c r="C52" i="10"/>
  <c r="C58" i="10" s="1"/>
  <c r="C53" i="10"/>
  <c r="C59" i="10" s="1"/>
  <c r="C54" i="10"/>
  <c r="C60" i="10" s="1"/>
  <c r="C51" i="10"/>
  <c r="C57" i="10" s="1"/>
  <c r="C6" i="10"/>
  <c r="C6" i="8"/>
  <c r="C6" i="3"/>
  <c r="C6" i="4"/>
  <c r="C130" i="8"/>
  <c r="C131" i="8"/>
  <c r="C122" i="8"/>
  <c r="B322" i="8" s="1"/>
  <c r="C121" i="8"/>
  <c r="B321" i="8" s="1"/>
  <c r="C120" i="8"/>
  <c r="B320" i="8" s="1"/>
  <c r="C45" i="5"/>
  <c r="C47" i="5" s="1"/>
  <c r="D20" i="6"/>
  <c r="C45" i="4"/>
  <c r="C47" i="4" s="1"/>
  <c r="D47" i="4"/>
  <c r="E38" i="3"/>
  <c r="G50" i="3" s="1"/>
  <c r="G54" i="3" s="1"/>
  <c r="C51" i="3"/>
  <c r="C55" i="3" s="1"/>
  <c r="C50" i="3"/>
  <c r="C54" i="3" s="1"/>
  <c r="C49" i="3"/>
  <c r="C53" i="3" s="1"/>
  <c r="E63" i="18"/>
  <c r="F205" i="18"/>
  <c r="D205" i="18" s="1"/>
  <c r="D37" i="20" s="1"/>
  <c r="G39" i="20"/>
  <c r="G206" i="18"/>
  <c r="G38" i="20" s="1"/>
  <c r="F203" i="18"/>
  <c r="H203" i="18" s="1"/>
  <c r="H35" i="20" s="1"/>
  <c r="C231" i="18"/>
  <c r="F204" i="18" s="1"/>
  <c r="D204" i="18" s="1"/>
  <c r="D36" i="20" s="1"/>
  <c r="E65" i="16"/>
  <c r="F23" i="20"/>
  <c r="F192" i="18"/>
  <c r="F24" i="20" s="1"/>
  <c r="G192" i="18"/>
  <c r="G198" i="18"/>
  <c r="G197" i="18"/>
  <c r="G193" i="18"/>
  <c r="G199" i="18"/>
  <c r="M85" i="18"/>
  <c r="M86" i="18"/>
  <c r="M87" i="18"/>
  <c r="M88" i="18"/>
  <c r="M152" i="18"/>
  <c r="M89" i="18"/>
  <c r="M153" i="18"/>
  <c r="M154" i="18"/>
  <c r="M155" i="18"/>
  <c r="M156" i="18"/>
  <c r="M157" i="18"/>
  <c r="M90" i="18"/>
  <c r="M91" i="18"/>
  <c r="M92" i="18"/>
  <c r="M93" i="18"/>
  <c r="M94" i="18"/>
  <c r="M95" i="18"/>
  <c r="M96" i="18"/>
  <c r="M97" i="18"/>
  <c r="M98" i="18"/>
  <c r="M99" i="18"/>
  <c r="M158" i="18"/>
  <c r="M100" i="18"/>
  <c r="M101" i="18"/>
  <c r="M102" i="18"/>
  <c r="M103" i="18"/>
  <c r="M104" i="18"/>
  <c r="M105" i="18"/>
  <c r="M106" i="18"/>
  <c r="M107" i="18"/>
  <c r="M108" i="18"/>
  <c r="M109" i="18"/>
  <c r="M110" i="18"/>
  <c r="M111" i="18"/>
  <c r="M112" i="18"/>
  <c r="M159" i="18"/>
  <c r="M160" i="18"/>
  <c r="M113" i="18"/>
  <c r="M114" i="18"/>
  <c r="M161" i="18"/>
  <c r="M115" i="18"/>
  <c r="M116" i="18"/>
  <c r="M117" i="18"/>
  <c r="M118" i="18"/>
  <c r="M119" i="18"/>
  <c r="M162" i="18"/>
  <c r="M120" i="18"/>
  <c r="M121" i="18"/>
  <c r="M122" i="18"/>
  <c r="M123" i="18"/>
  <c r="M124" i="18"/>
  <c r="M125" i="18"/>
  <c r="M126" i="18"/>
  <c r="M163" i="18"/>
  <c r="M127" i="18"/>
  <c r="M164" i="18"/>
  <c r="M128" i="18"/>
  <c r="M129" i="18"/>
  <c r="M130" i="18"/>
  <c r="M131" i="18"/>
  <c r="M132" i="18"/>
  <c r="M133" i="18"/>
  <c r="M134" i="18"/>
  <c r="M165" i="18"/>
  <c r="M135" i="18"/>
  <c r="M136" i="18"/>
  <c r="M137" i="18"/>
  <c r="M138" i="18"/>
  <c r="M166" i="18"/>
  <c r="M167" i="18"/>
  <c r="M139" i="18"/>
  <c r="M140" i="18"/>
  <c r="M141" i="18"/>
  <c r="M142" i="18"/>
  <c r="M168" i="18"/>
  <c r="M143" i="18"/>
  <c r="M144" i="18"/>
  <c r="M145" i="18"/>
  <c r="M169" i="18"/>
  <c r="M146" i="18"/>
  <c r="M147" i="18"/>
  <c r="M148" i="18"/>
  <c r="M149" i="18"/>
  <c r="M150" i="18"/>
  <c r="M170" i="18"/>
  <c r="M151" i="18"/>
  <c r="M84" i="18"/>
  <c r="F85" i="18"/>
  <c r="F86" i="18"/>
  <c r="F87" i="18"/>
  <c r="F88" i="18"/>
  <c r="I190" i="18"/>
  <c r="F89" i="18"/>
  <c r="F153" i="18"/>
  <c r="F154" i="18"/>
  <c r="F156" i="18"/>
  <c r="F157" i="18"/>
  <c r="F90" i="18"/>
  <c r="F91" i="18"/>
  <c r="F92" i="18"/>
  <c r="F93" i="18"/>
  <c r="F94" i="18"/>
  <c r="F95" i="18"/>
  <c r="F96" i="18"/>
  <c r="F97" i="18"/>
  <c r="F98" i="18"/>
  <c r="F99" i="18"/>
  <c r="F158" i="18"/>
  <c r="F100" i="18"/>
  <c r="F101" i="18"/>
  <c r="F102" i="18"/>
  <c r="F103" i="18"/>
  <c r="F104" i="18"/>
  <c r="F105" i="18"/>
  <c r="F106" i="18"/>
  <c r="F107" i="18"/>
  <c r="F108" i="18"/>
  <c r="F109" i="18"/>
  <c r="F110" i="18"/>
  <c r="F111" i="18"/>
  <c r="F112" i="18"/>
  <c r="F159" i="18"/>
  <c r="F160" i="18"/>
  <c r="F113" i="18"/>
  <c r="F114" i="18"/>
  <c r="F161" i="18"/>
  <c r="F115" i="18"/>
  <c r="F116" i="18"/>
  <c r="F117" i="18"/>
  <c r="F118" i="18"/>
  <c r="F119" i="18"/>
  <c r="F162" i="18"/>
  <c r="F120" i="18"/>
  <c r="F121" i="18"/>
  <c r="F122" i="18"/>
  <c r="F123" i="18"/>
  <c r="F124" i="18"/>
  <c r="F125" i="18"/>
  <c r="F126" i="18"/>
  <c r="F163" i="18"/>
  <c r="F127" i="18"/>
  <c r="F164" i="18"/>
  <c r="F128" i="18"/>
  <c r="F129" i="18"/>
  <c r="F130" i="18"/>
  <c r="F131" i="18"/>
  <c r="F132" i="18"/>
  <c r="F133" i="18"/>
  <c r="F134" i="18"/>
  <c r="F165" i="18"/>
  <c r="F135" i="18"/>
  <c r="F136" i="18"/>
  <c r="F137" i="18"/>
  <c r="F138" i="18"/>
  <c r="F166" i="18"/>
  <c r="F167" i="18"/>
  <c r="F139" i="18"/>
  <c r="F140" i="18"/>
  <c r="F141" i="18"/>
  <c r="F142" i="18"/>
  <c r="F168" i="18"/>
  <c r="F143" i="18"/>
  <c r="F144" i="18"/>
  <c r="F145" i="18"/>
  <c r="F169" i="18"/>
  <c r="F146" i="18"/>
  <c r="F147" i="18"/>
  <c r="F148" i="18"/>
  <c r="F149" i="18"/>
  <c r="F150" i="18"/>
  <c r="F170" i="18"/>
  <c r="F84" i="18"/>
  <c r="L26" i="17"/>
  <c r="L25" i="17"/>
  <c r="L24" i="17"/>
  <c r="I25" i="17"/>
  <c r="I24" i="17"/>
  <c r="E40" i="16"/>
  <c r="E41" i="16"/>
  <c r="E42" i="16"/>
  <c r="C48" i="16"/>
  <c r="E66" i="16"/>
  <c r="C237" i="16"/>
  <c r="E248" i="16"/>
  <c r="C41" i="16" s="1"/>
  <c r="D208" i="16" s="1"/>
  <c r="D26" i="17" s="1"/>
  <c r="E249" i="16"/>
  <c r="C40" i="16" s="1"/>
  <c r="D207" i="16" s="1"/>
  <c r="E250" i="16"/>
  <c r="C39" i="16" s="1"/>
  <c r="D206" i="16" s="1"/>
  <c r="D24" i="17" s="1"/>
  <c r="C251" i="16"/>
  <c r="D251" i="16"/>
  <c r="I251" i="16"/>
  <c r="C302" i="16"/>
  <c r="G21" i="17"/>
  <c r="D191" i="18"/>
  <c r="D23" i="20" s="1"/>
  <c r="E39" i="16" l="1"/>
  <c r="C386" i="16"/>
  <c r="D25" i="17"/>
  <c r="E204" i="16"/>
  <c r="I192" i="18"/>
  <c r="C495" i="18" s="1"/>
  <c r="AC326" i="12"/>
  <c r="AC180" i="27" s="1"/>
  <c r="AC179" i="27"/>
  <c r="AD325" i="12"/>
  <c r="AD179" i="27" s="1"/>
  <c r="G24" i="20"/>
  <c r="C422" i="18"/>
  <c r="G29" i="20"/>
  <c r="G25" i="20"/>
  <c r="AM27" i="20" s="1"/>
  <c r="G30" i="20"/>
  <c r="G31" i="20"/>
  <c r="AM28" i="20" s="1"/>
  <c r="D369" i="18"/>
  <c r="E345" i="16"/>
  <c r="E369" i="18" s="1"/>
  <c r="E346" i="16"/>
  <c r="E379" i="18" s="1"/>
  <c r="D379" i="18"/>
  <c r="D105" i="17"/>
  <c r="W22" i="17" s="1"/>
  <c r="H35" i="17"/>
  <c r="L21" i="17"/>
  <c r="V21" i="17" s="1"/>
  <c r="G35" i="17"/>
  <c r="F204" i="16"/>
  <c r="D204" i="16"/>
  <c r="F190" i="18"/>
  <c r="C103" i="17"/>
  <c r="C104" i="17" s="1"/>
  <c r="C105" i="17" s="1"/>
  <c r="V22" i="17" s="1"/>
  <c r="F37" i="20"/>
  <c r="D47" i="5"/>
  <c r="D53" i="3"/>
  <c r="F35" i="20"/>
  <c r="E206" i="18"/>
  <c r="E38" i="20" s="1"/>
  <c r="E39" i="20"/>
  <c r="F36" i="20"/>
  <c r="D203" i="18"/>
  <c r="D35" i="20" s="1"/>
  <c r="D211" i="16"/>
  <c r="E48" i="16"/>
  <c r="I39" i="20"/>
  <c r="H205" i="18"/>
  <c r="H37" i="20" s="1"/>
  <c r="H204" i="18"/>
  <c r="H36" i="20" s="1"/>
  <c r="E64" i="18"/>
  <c r="G190" i="18"/>
  <c r="C530" i="18" s="1"/>
  <c r="H190" i="18"/>
  <c r="H193" i="18"/>
  <c r="H25" i="20" s="1"/>
  <c r="F194" i="18"/>
  <c r="F26" i="20" s="1"/>
  <c r="H194" i="18"/>
  <c r="H26" i="20" s="1"/>
  <c r="H195" i="18"/>
  <c r="H27" i="20" s="1"/>
  <c r="H197" i="18"/>
  <c r="H29" i="20" s="1"/>
  <c r="H192" i="18"/>
  <c r="H24" i="20" s="1"/>
  <c r="F193" i="18"/>
  <c r="F25" i="20" s="1"/>
  <c r="F197" i="18"/>
  <c r="F29" i="20" s="1"/>
  <c r="F195" i="18"/>
  <c r="F27" i="20" s="1"/>
  <c r="F196" i="18"/>
  <c r="F28" i="20" s="1"/>
  <c r="H196" i="18"/>
  <c r="H28" i="20" s="1"/>
  <c r="C42" i="16"/>
  <c r="D209" i="16" s="1"/>
  <c r="D27" i="17" s="1"/>
  <c r="E251" i="16"/>
  <c r="E471" i="18" l="1"/>
  <c r="E22" i="17"/>
  <c r="I24" i="20"/>
  <c r="D29" i="17"/>
  <c r="E532" i="18"/>
  <c r="C246" i="25"/>
  <c r="AD326" i="12"/>
  <c r="AD180" i="27" s="1"/>
  <c r="D469" i="18"/>
  <c r="E469" i="18"/>
  <c r="I208" i="18"/>
  <c r="P558" i="18" s="1"/>
  <c r="C423" i="18"/>
  <c r="H22" i="20"/>
  <c r="F22" i="20"/>
  <c r="I22" i="17"/>
  <c r="D22" i="17"/>
  <c r="N22" i="17"/>
  <c r="S22" i="17" s="1"/>
  <c r="P22" i="17"/>
  <c r="U22" i="17" s="1"/>
  <c r="F22" i="17"/>
  <c r="K22" i="17"/>
  <c r="G22" i="20"/>
  <c r="E21" i="17"/>
  <c r="I22" i="20"/>
  <c r="E43" i="9"/>
  <c r="C81" i="9" s="1"/>
  <c r="E42" i="9"/>
  <c r="C80" i="9" s="1"/>
  <c r="E41" i="9"/>
  <c r="C79" i="9" s="1"/>
  <c r="E533" i="18" l="1"/>
  <c r="C43" i="9"/>
  <c r="B81" i="9" s="1"/>
  <c r="C42" i="9"/>
  <c r="B80" i="9" s="1"/>
  <c r="C41" i="9"/>
  <c r="B79" i="9" s="1"/>
  <c r="C39" i="9"/>
  <c r="C40" i="9"/>
  <c r="C38" i="9"/>
  <c r="G108" i="8"/>
  <c r="E108" i="8"/>
  <c r="B100" i="8"/>
  <c r="C100" i="8"/>
  <c r="C108" i="8" s="1"/>
  <c r="D100" i="8"/>
  <c r="D108" i="8" s="1"/>
  <c r="C25" i="9"/>
  <c r="C23" i="9"/>
  <c r="C24" i="9"/>
  <c r="D166" i="8"/>
  <c r="D168" i="8"/>
  <c r="D167" i="8"/>
  <c r="E167" i="8" s="1"/>
  <c r="F530" i="18" l="1"/>
  <c r="D23" i="6"/>
  <c r="D22" i="6"/>
  <c r="D21" i="6"/>
  <c r="R197" i="25" l="1"/>
  <c r="Q197" i="25"/>
  <c r="Q196" i="25"/>
  <c r="D165" i="25"/>
  <c r="C89" i="25"/>
  <c r="C88" i="25"/>
  <c r="C87" i="25"/>
  <c r="C86" i="25"/>
  <c r="C85" i="25"/>
  <c r="C84" i="25"/>
  <c r="C83" i="25"/>
  <c r="C82" i="25"/>
  <c r="C81" i="25"/>
  <c r="C80" i="25"/>
  <c r="C79" i="25"/>
  <c r="C78" i="25"/>
  <c r="W35" i="25"/>
  <c r="W36" i="25"/>
  <c r="AH50" i="20"/>
  <c r="AG50" i="20"/>
  <c r="AF51" i="20"/>
  <c r="AF53" i="20"/>
  <c r="AF54" i="20"/>
  <c r="AF52" i="20"/>
  <c r="C91" i="25" l="1"/>
  <c r="D46" i="14"/>
  <c r="D50" i="15"/>
  <c r="AG29" i="20"/>
  <c r="AI26" i="20"/>
  <c r="AG27" i="20"/>
  <c r="D221" i="17" l="1"/>
  <c r="D220" i="17"/>
  <c r="D222" i="17"/>
  <c r="B221" i="17"/>
  <c r="B220" i="17"/>
  <c r="B222" i="17"/>
  <c r="C284" i="8"/>
  <c r="C286" i="8" s="1"/>
  <c r="H242" i="8"/>
  <c r="H241" i="8"/>
  <c r="F238" i="8"/>
  <c r="H224" i="8"/>
  <c r="G231" i="8" s="1"/>
  <c r="H223" i="8"/>
  <c r="F228" i="8" s="1"/>
  <c r="K207" i="8"/>
  <c r="J207" i="8"/>
  <c r="I207" i="8"/>
  <c r="H207" i="8"/>
  <c r="G207" i="8"/>
  <c r="F207" i="8"/>
  <c r="E207" i="8"/>
  <c r="L206" i="8"/>
  <c r="L205" i="8"/>
  <c r="D196" i="8"/>
  <c r="D195" i="8"/>
  <c r="D194" i="8"/>
  <c r="C193" i="8"/>
  <c r="C197" i="8" s="1"/>
  <c r="E182" i="8"/>
  <c r="E184" i="8" s="1"/>
  <c r="F180" i="8"/>
  <c r="F179" i="8"/>
  <c r="C178" i="8"/>
  <c r="D177" i="8"/>
  <c r="D184" i="8" s="1"/>
  <c r="C177" i="8"/>
  <c r="C159" i="8"/>
  <c r="E166" i="8" s="1"/>
  <c r="E183" i="8" l="1"/>
  <c r="E168" i="8"/>
  <c r="F110" i="8" s="1"/>
  <c r="F177" i="8"/>
  <c r="D183" i="8"/>
  <c r="D182" i="8"/>
  <c r="I229" i="8"/>
  <c r="C32" i="8" s="1"/>
  <c r="C27" i="21" s="1"/>
  <c r="I232" i="8"/>
  <c r="C242" i="8"/>
  <c r="L207" i="8"/>
  <c r="D213" i="8" s="1"/>
  <c r="C184" i="8"/>
  <c r="F184" i="8" s="1"/>
  <c r="E195" i="8"/>
  <c r="E197" i="8"/>
  <c r="E194" i="8"/>
  <c r="E196" i="8"/>
  <c r="E193" i="8"/>
  <c r="D193" i="8"/>
  <c r="D197" i="8" s="1"/>
  <c r="F178" i="8"/>
  <c r="G238" i="8"/>
  <c r="F111" i="8" l="1"/>
  <c r="D131" i="8" s="1"/>
  <c r="D40" i="9" s="1"/>
  <c r="D130" i="8"/>
  <c r="D39" i="9" s="1"/>
  <c r="F109" i="8"/>
  <c r="D129" i="8" s="1"/>
  <c r="D38" i="9" s="1"/>
  <c r="C213" i="8"/>
  <c r="C214" i="8"/>
  <c r="C183" i="8"/>
  <c r="F183" i="8" s="1"/>
  <c r="C182" i="8"/>
  <c r="F182" i="8" s="1"/>
  <c r="F232" i="8"/>
  <c r="F229" i="8"/>
  <c r="C31" i="8" s="1"/>
  <c r="C81" i="8" s="1"/>
  <c r="K242" i="8"/>
  <c r="K241" i="8"/>
  <c r="H238" i="8"/>
  <c r="C27" i="13" l="1"/>
  <c r="C26" i="21"/>
  <c r="C40" i="21" s="1"/>
  <c r="D214" i="8"/>
  <c r="D215" i="8" s="1"/>
  <c r="C215" i="8"/>
  <c r="B150" i="10" l="1"/>
  <c r="B147" i="10"/>
  <c r="C298" i="16" l="1"/>
  <c r="T224" i="25"/>
  <c r="S224" i="25"/>
  <c r="C267" i="25" s="1"/>
  <c r="C271" i="25" s="1"/>
  <c r="R224" i="25"/>
  <c r="Q224" i="25"/>
  <c r="P224" i="25"/>
  <c r="O224" i="25"/>
  <c r="N224" i="25"/>
  <c r="M224" i="25"/>
  <c r="L224" i="25"/>
  <c r="K224" i="25"/>
  <c r="J224" i="25"/>
  <c r="I224" i="25"/>
  <c r="H224" i="25"/>
  <c r="G224" i="25"/>
  <c r="F224" i="25"/>
  <c r="E224" i="25"/>
  <c r="D224" i="25"/>
  <c r="C224" i="25"/>
  <c r="S223" i="25"/>
  <c r="R223" i="25"/>
  <c r="Q223" i="25"/>
  <c r="P223" i="25"/>
  <c r="O223" i="25"/>
  <c r="N223" i="25"/>
  <c r="M223" i="25"/>
  <c r="L223" i="25"/>
  <c r="K223" i="25"/>
  <c r="J223" i="25"/>
  <c r="I223" i="25"/>
  <c r="H223" i="25"/>
  <c r="G223" i="25"/>
  <c r="F223" i="25"/>
  <c r="E223" i="25"/>
  <c r="D223" i="25"/>
  <c r="C223" i="25"/>
  <c r="P197" i="25"/>
  <c r="O197" i="25"/>
  <c r="N197" i="25"/>
  <c r="M197" i="25"/>
  <c r="L197" i="25"/>
  <c r="K197" i="25"/>
  <c r="J197" i="25"/>
  <c r="I197" i="25"/>
  <c r="H197" i="25"/>
  <c r="G197" i="25"/>
  <c r="F197" i="25"/>
  <c r="E197" i="25"/>
  <c r="D197" i="25"/>
  <c r="C197" i="25"/>
  <c r="P196" i="25"/>
  <c r="O196" i="25"/>
  <c r="N196" i="25"/>
  <c r="M196" i="25"/>
  <c r="L196" i="25"/>
  <c r="K196" i="25"/>
  <c r="J196" i="25"/>
  <c r="I196" i="25"/>
  <c r="H196" i="25"/>
  <c r="G196" i="25"/>
  <c r="F196" i="25"/>
  <c r="E196" i="25"/>
  <c r="D196" i="25"/>
  <c r="C196" i="25"/>
  <c r="G231" i="25"/>
  <c r="X68" i="25"/>
  <c r="W68" i="25"/>
  <c r="C255" i="25" s="1"/>
  <c r="V68" i="25"/>
  <c r="U68" i="25"/>
  <c r="T68" i="25"/>
  <c r="S68" i="25"/>
  <c r="R68" i="25"/>
  <c r="Q68" i="25"/>
  <c r="P68" i="25"/>
  <c r="O68" i="25"/>
  <c r="N68" i="25"/>
  <c r="M68" i="25"/>
  <c r="L68" i="25"/>
  <c r="K68" i="25"/>
  <c r="J68" i="25"/>
  <c r="I68" i="25"/>
  <c r="H68" i="25"/>
  <c r="G68" i="25"/>
  <c r="F68" i="25"/>
  <c r="E68" i="25"/>
  <c r="D68" i="25"/>
  <c r="X36" i="25"/>
  <c r="D231" i="25"/>
  <c r="C245" i="25" s="1"/>
  <c r="C247" i="25" s="1"/>
  <c r="C32" i="24"/>
  <c r="H36" i="24" s="1"/>
  <c r="H37" i="24" s="1"/>
  <c r="C130" i="23"/>
  <c r="F130" i="23" s="1"/>
  <c r="C129" i="23"/>
  <c r="F129" i="23" s="1"/>
  <c r="C128" i="23"/>
  <c r="F128" i="23" s="1"/>
  <c r="C127" i="23"/>
  <c r="F127" i="23" s="1"/>
  <c r="C126" i="23"/>
  <c r="F126" i="23" s="1"/>
  <c r="G116" i="23"/>
  <c r="G115" i="23"/>
  <c r="F259" i="21"/>
  <c r="C259" i="21"/>
  <c r="C246" i="21"/>
  <c r="E81" i="21"/>
  <c r="E80" i="21"/>
  <c r="F186" i="21"/>
  <c r="F185" i="21"/>
  <c r="E63" i="21"/>
  <c r="E62" i="21"/>
  <c r="C177" i="21"/>
  <c r="C175" i="21"/>
  <c r="C170" i="21"/>
  <c r="E95" i="21" s="1"/>
  <c r="CZ162" i="21"/>
  <c r="E45" i="21"/>
  <c r="CZ161" i="21"/>
  <c r="E44" i="21"/>
  <c r="CZ160" i="21"/>
  <c r="CZ159" i="21"/>
  <c r="CZ158" i="21"/>
  <c r="CZ157" i="21"/>
  <c r="DA155" i="21"/>
  <c r="CZ155" i="21"/>
  <c r="C28" i="21" s="1"/>
  <c r="C39" i="21" s="1"/>
  <c r="C147" i="21"/>
  <c r="C146" i="21"/>
  <c r="E79" i="21" s="1"/>
  <c r="H145" i="21"/>
  <c r="C137" i="21" s="1"/>
  <c r="E78" i="21" s="1"/>
  <c r="C136" i="21"/>
  <c r="B111" i="20"/>
  <c r="B110" i="20"/>
  <c r="B75" i="20"/>
  <c r="B109" i="20" s="1"/>
  <c r="B74" i="20"/>
  <c r="B108" i="20" s="1"/>
  <c r="B73" i="20"/>
  <c r="B107" i="20" s="1"/>
  <c r="B72" i="20"/>
  <c r="B106" i="20" s="1"/>
  <c r="B71" i="20"/>
  <c r="B105" i="20" s="1"/>
  <c r="T36" i="20"/>
  <c r="Z36" i="20" s="1"/>
  <c r="T34" i="20"/>
  <c r="Z34" i="20" s="1"/>
  <c r="R34" i="20"/>
  <c r="X34" i="20" s="1"/>
  <c r="P34" i="20"/>
  <c r="V34" i="20" s="1"/>
  <c r="AH27" i="20"/>
  <c r="H111" i="20"/>
  <c r="AH29" i="20"/>
  <c r="G109" i="20"/>
  <c r="I109" i="20" s="1"/>
  <c r="N29" i="20" s="1"/>
  <c r="T29" i="20" s="1"/>
  <c r="Z29" i="20" s="1"/>
  <c r="C109" i="20"/>
  <c r="E109" i="20" s="1"/>
  <c r="L29" i="20" s="1"/>
  <c r="R29" i="20" s="1"/>
  <c r="X29" i="20" s="1"/>
  <c r="G108" i="20"/>
  <c r="I108" i="20" s="1"/>
  <c r="N28" i="20" s="1"/>
  <c r="T28" i="20" s="1"/>
  <c r="Z28" i="20" s="1"/>
  <c r="G107" i="20"/>
  <c r="I107" i="20" s="1"/>
  <c r="N27" i="20" s="1"/>
  <c r="T27" i="20" s="1"/>
  <c r="Z27" i="20" s="1"/>
  <c r="AJ26" i="20"/>
  <c r="G106" i="20"/>
  <c r="C106" i="20"/>
  <c r="G105" i="20"/>
  <c r="I105" i="20" s="1"/>
  <c r="N25" i="20" s="1"/>
  <c r="T25" i="20" s="1"/>
  <c r="Z25" i="20" s="1"/>
  <c r="C105" i="20"/>
  <c r="O24" i="20"/>
  <c r="U24" i="20" s="1"/>
  <c r="AA24" i="20" s="1"/>
  <c r="N24" i="20"/>
  <c r="T24" i="20" s="1"/>
  <c r="Z24" i="20" s="1"/>
  <c r="L24" i="20"/>
  <c r="R24" i="20" s="1"/>
  <c r="X24" i="20" s="1"/>
  <c r="O23" i="20"/>
  <c r="U23" i="20" s="1"/>
  <c r="E145" i="20"/>
  <c r="D145" i="20"/>
  <c r="D146" i="20" s="1"/>
  <c r="O22" i="20"/>
  <c r="N22" i="20"/>
  <c r="L22" i="20"/>
  <c r="C268" i="18"/>
  <c r="E65" i="18"/>
  <c r="C58" i="18"/>
  <c r="M252" i="18"/>
  <c r="M251" i="18"/>
  <c r="C62" i="18" s="1"/>
  <c r="M250" i="18"/>
  <c r="E250" i="18"/>
  <c r="M249" i="18"/>
  <c r="C65" i="18" s="1"/>
  <c r="E249" i="18"/>
  <c r="M248" i="18"/>
  <c r="C64" i="18" s="1"/>
  <c r="E248" i="18"/>
  <c r="M247" i="18"/>
  <c r="C63" i="18" s="1"/>
  <c r="E247" i="18"/>
  <c r="M246" i="18"/>
  <c r="E246" i="18"/>
  <c r="E43" i="18"/>
  <c r="E42" i="18"/>
  <c r="C230" i="18"/>
  <c r="E37" i="18"/>
  <c r="E190" i="18" s="1"/>
  <c r="H231" i="18"/>
  <c r="G201" i="18" s="1"/>
  <c r="H225" i="18"/>
  <c r="F200" i="18" s="1"/>
  <c r="C7" i="18"/>
  <c r="C213" i="17"/>
  <c r="D213" i="17"/>
  <c r="C146" i="17"/>
  <c r="C148" i="17" s="1"/>
  <c r="C135" i="17"/>
  <c r="C125" i="17"/>
  <c r="C210" i="17" s="1"/>
  <c r="C115" i="17"/>
  <c r="C82" i="17" s="1"/>
  <c r="C113" i="17"/>
  <c r="C84" i="17"/>
  <c r="C83" i="17"/>
  <c r="D75" i="17"/>
  <c r="C75" i="17"/>
  <c r="C61" i="17"/>
  <c r="D59" i="17"/>
  <c r="U28" i="17"/>
  <c r="P28" i="17"/>
  <c r="M26" i="17"/>
  <c r="R26" i="17" s="1"/>
  <c r="Q26" i="17"/>
  <c r="I26" i="17"/>
  <c r="N26" i="17" s="1"/>
  <c r="Q25" i="17"/>
  <c r="Q24" i="17"/>
  <c r="V23" i="17"/>
  <c r="M21" i="17"/>
  <c r="H41" i="15"/>
  <c r="H40" i="15"/>
  <c r="H39" i="15"/>
  <c r="H38" i="15"/>
  <c r="H37" i="15"/>
  <c r="C63" i="14"/>
  <c r="C36" i="14"/>
  <c r="G36" i="14" s="1"/>
  <c r="G35" i="14"/>
  <c r="C6" i="14"/>
  <c r="E42" i="13"/>
  <c r="D42" i="13"/>
  <c r="H42" i="13" s="1"/>
  <c r="E41" i="13"/>
  <c r="D41" i="13"/>
  <c r="H41" i="13" s="1"/>
  <c r="F36" i="13"/>
  <c r="E36" i="13"/>
  <c r="D36" i="13"/>
  <c r="E35" i="13"/>
  <c r="D35" i="13"/>
  <c r="G35" i="13" s="1"/>
  <c r="E34" i="13"/>
  <c r="D34" i="13"/>
  <c r="E33" i="13"/>
  <c r="D33" i="13"/>
  <c r="D68" i="13"/>
  <c r="D67" i="13"/>
  <c r="C6" i="13"/>
  <c r="D86" i="12"/>
  <c r="D85" i="12"/>
  <c r="D80" i="12"/>
  <c r="D79" i="12"/>
  <c r="C68" i="12"/>
  <c r="C6" i="12"/>
  <c r="C137" i="10"/>
  <c r="C142" i="10" s="1"/>
  <c r="C131" i="10"/>
  <c r="C132" i="10" s="1"/>
  <c r="C141" i="10" s="1"/>
  <c r="F112" i="10"/>
  <c r="C107" i="10"/>
  <c r="C99" i="10" s="1"/>
  <c r="D36" i="10" s="1"/>
  <c r="G54" i="10" s="1"/>
  <c r="G60" i="10" s="1"/>
  <c r="D42" i="10"/>
  <c r="G55" i="10" s="1"/>
  <c r="G61" i="10" s="1"/>
  <c r="D35" i="10"/>
  <c r="G53" i="10" s="1"/>
  <c r="G59" i="10" s="1"/>
  <c r="D34" i="10"/>
  <c r="G52" i="10" s="1"/>
  <c r="G58" i="10" s="1"/>
  <c r="D33" i="10"/>
  <c r="G51" i="10" s="1"/>
  <c r="G57" i="10" s="1"/>
  <c r="D59" i="6"/>
  <c r="C67" i="6" s="1"/>
  <c r="D58" i="6"/>
  <c r="C65" i="6" s="1"/>
  <c r="C68" i="6"/>
  <c r="C77" i="6" s="1"/>
  <c r="E23" i="6" s="1"/>
  <c r="D56" i="6"/>
  <c r="I117" i="5"/>
  <c r="H117" i="5"/>
  <c r="D110" i="5"/>
  <c r="C110" i="5"/>
  <c r="N105" i="5"/>
  <c r="M105" i="5"/>
  <c r="M97" i="5"/>
  <c r="H97" i="5"/>
  <c r="C97" i="5"/>
  <c r="J89" i="5"/>
  <c r="I89" i="5"/>
  <c r="H89" i="5"/>
  <c r="G89" i="5"/>
  <c r="F89" i="5"/>
  <c r="E89" i="5"/>
  <c r="D89" i="5"/>
  <c r="C89" i="5"/>
  <c r="E35" i="5"/>
  <c r="G45" i="5" s="1"/>
  <c r="G47" i="5" s="1"/>
  <c r="C117" i="5"/>
  <c r="C120" i="5" s="1"/>
  <c r="C6" i="5"/>
  <c r="D99" i="4"/>
  <c r="C99" i="4"/>
  <c r="E35" i="4"/>
  <c r="G45" i="4" s="1"/>
  <c r="G47" i="4" s="1"/>
  <c r="I126" i="3"/>
  <c r="H126" i="3"/>
  <c r="D119" i="3"/>
  <c r="C119" i="3"/>
  <c r="N114" i="3"/>
  <c r="M114" i="3"/>
  <c r="M106" i="3"/>
  <c r="H106" i="3"/>
  <c r="C106" i="3"/>
  <c r="J98" i="3"/>
  <c r="I98" i="3"/>
  <c r="H98" i="3"/>
  <c r="G98" i="3"/>
  <c r="F98" i="3"/>
  <c r="E98" i="3"/>
  <c r="D98" i="3"/>
  <c r="C98" i="3"/>
  <c r="E39" i="3"/>
  <c r="G51" i="3" s="1"/>
  <c r="G55" i="3" s="1"/>
  <c r="E37" i="3"/>
  <c r="G49" i="3" s="1"/>
  <c r="G53" i="3" s="1"/>
  <c r="C259" i="25" l="1"/>
  <c r="C260" i="25" s="1"/>
  <c r="C272" i="25" s="1"/>
  <c r="C256" i="25"/>
  <c r="C268" i="25" s="1"/>
  <c r="F208" i="18"/>
  <c r="E146" i="20"/>
  <c r="AA23" i="20" s="1"/>
  <c r="D470" i="18"/>
  <c r="C323" i="16"/>
  <c r="C44" i="24"/>
  <c r="C33" i="24"/>
  <c r="C45" i="24" s="1"/>
  <c r="I51" i="24" s="1"/>
  <c r="E133" i="12"/>
  <c r="F133" i="12" s="1"/>
  <c r="E130" i="12"/>
  <c r="F130" i="12" s="1"/>
  <c r="D147" i="20"/>
  <c r="E22" i="20"/>
  <c r="K22" i="20" s="1"/>
  <c r="D197" i="18"/>
  <c r="D29" i="20" s="1"/>
  <c r="D194" i="18"/>
  <c r="D196" i="18"/>
  <c r="D28" i="20" s="1"/>
  <c r="D195" i="18"/>
  <c r="G37" i="14"/>
  <c r="C47" i="14" s="1"/>
  <c r="C145" i="23"/>
  <c r="F132" i="23"/>
  <c r="E118" i="21"/>
  <c r="E31" i="22" s="1"/>
  <c r="D118" i="21"/>
  <c r="D31" i="22" s="1"/>
  <c r="F116" i="21"/>
  <c r="F29" i="22" s="1"/>
  <c r="F120" i="21"/>
  <c r="F33" i="22" s="1"/>
  <c r="F121" i="21"/>
  <c r="F34" i="22" s="1"/>
  <c r="E117" i="21"/>
  <c r="E30" i="22" s="1"/>
  <c r="D117" i="21"/>
  <c r="D30" i="22" s="1"/>
  <c r="F122" i="21"/>
  <c r="F35" i="22" s="1"/>
  <c r="E61" i="21"/>
  <c r="C229" i="16"/>
  <c r="C111" i="17" s="1"/>
  <c r="C85" i="17" s="1"/>
  <c r="F32" i="20"/>
  <c r="D200" i="18"/>
  <c r="D32" i="20" s="1"/>
  <c r="G33" i="20"/>
  <c r="E201" i="18"/>
  <c r="E33" i="20" s="1"/>
  <c r="E41" i="18"/>
  <c r="G205" i="18"/>
  <c r="H200" i="18"/>
  <c r="E470" i="18" s="1"/>
  <c r="E472" i="18" s="1"/>
  <c r="E473" i="18" s="1"/>
  <c r="H43" i="13"/>
  <c r="D52" i="10"/>
  <c r="D53" i="10"/>
  <c r="D55" i="10"/>
  <c r="D54" i="10"/>
  <c r="C42" i="10"/>
  <c r="D51" i="10"/>
  <c r="H120" i="5"/>
  <c r="C59" i="16"/>
  <c r="F205" i="16" s="1"/>
  <c r="C300" i="16"/>
  <c r="E61" i="18"/>
  <c r="M24" i="20"/>
  <c r="S24" i="20" s="1"/>
  <c r="Y24" i="20" s="1"/>
  <c r="C95" i="25"/>
  <c r="C34" i="16"/>
  <c r="C132" i="20"/>
  <c r="M39" i="20" s="1"/>
  <c r="L31" i="17"/>
  <c r="L35" i="17" s="1"/>
  <c r="C221" i="17"/>
  <c r="R21" i="17"/>
  <c r="D45" i="5"/>
  <c r="D49" i="3"/>
  <c r="C64" i="6"/>
  <c r="C73" i="6" s="1"/>
  <c r="E20" i="6" s="1"/>
  <c r="F15" i="30" s="1"/>
  <c r="C30" i="8"/>
  <c r="C50" i="15"/>
  <c r="C46" i="14"/>
  <c r="M108" i="5"/>
  <c r="C98" i="5"/>
  <c r="C113" i="5"/>
  <c r="H98" i="5"/>
  <c r="M98" i="5"/>
  <c r="M107" i="3"/>
  <c r="C56" i="18"/>
  <c r="D192" i="18" s="1"/>
  <c r="D24" i="20" s="1"/>
  <c r="CZ163" i="21"/>
  <c r="DA157" i="21" s="1"/>
  <c r="C57" i="21"/>
  <c r="E43" i="21"/>
  <c r="C222" i="18"/>
  <c r="E58" i="18"/>
  <c r="D190" i="18" s="1"/>
  <c r="C74" i="21"/>
  <c r="C35" i="18"/>
  <c r="G117" i="23"/>
  <c r="C122" i="3"/>
  <c r="H129" i="3"/>
  <c r="M117" i="3"/>
  <c r="C107" i="3"/>
  <c r="H107" i="3"/>
  <c r="G36" i="13"/>
  <c r="C143" i="10"/>
  <c r="C33" i="10" s="1"/>
  <c r="D110" i="20"/>
  <c r="AM25" i="20"/>
  <c r="D111" i="20"/>
  <c r="F111" i="20" s="1"/>
  <c r="M31" i="20" s="1"/>
  <c r="S31" i="20" s="1"/>
  <c r="Y31" i="20" s="1"/>
  <c r="AN26" i="20" s="1"/>
  <c r="D109" i="20"/>
  <c r="AM26" i="20"/>
  <c r="D105" i="20"/>
  <c r="F105" i="20" s="1"/>
  <c r="M31" i="17"/>
  <c r="W21" i="17"/>
  <c r="I152" i="17"/>
  <c r="D211" i="17" s="1"/>
  <c r="G83" i="17" s="1"/>
  <c r="F83" i="17" s="1"/>
  <c r="Q30" i="17" s="1"/>
  <c r="V30" i="17" s="1"/>
  <c r="W26" i="17"/>
  <c r="C152" i="17"/>
  <c r="C211" i="17" s="1"/>
  <c r="E84" i="17"/>
  <c r="D84" i="17" s="1"/>
  <c r="I31" i="17" s="1"/>
  <c r="N36" i="20"/>
  <c r="C107" i="20"/>
  <c r="E107" i="20" s="1"/>
  <c r="L27" i="20" s="1"/>
  <c r="R27" i="20" s="1"/>
  <c r="X27" i="20" s="1"/>
  <c r="L23" i="20"/>
  <c r="R23" i="20" s="1"/>
  <c r="N23" i="20"/>
  <c r="T23" i="20" s="1"/>
  <c r="Q23" i="17"/>
  <c r="V25" i="17"/>
  <c r="S26" i="17"/>
  <c r="S24" i="17"/>
  <c r="N24" i="17"/>
  <c r="C222" i="17"/>
  <c r="C126" i="3"/>
  <c r="C129" i="3" s="1"/>
  <c r="C39" i="3" s="1"/>
  <c r="Q21" i="17"/>
  <c r="E40" i="18"/>
  <c r="C223" i="18"/>
  <c r="C76" i="6"/>
  <c r="E22" i="6" s="1"/>
  <c r="C66" i="6"/>
  <c r="C75" i="6" s="1"/>
  <c r="W23" i="17"/>
  <c r="M23" i="17"/>
  <c r="V24" i="17"/>
  <c r="C61" i="18"/>
  <c r="C88" i="22"/>
  <c r="C91" i="22" s="1"/>
  <c r="C129" i="20"/>
  <c r="D210" i="17"/>
  <c r="E82" i="17"/>
  <c r="D132" i="20"/>
  <c r="S39" i="20" s="1"/>
  <c r="Y39" i="20" s="1"/>
  <c r="Q31" i="17"/>
  <c r="V31" i="17" s="1"/>
  <c r="R31" i="17"/>
  <c r="W31" i="17" s="1"/>
  <c r="G84" i="17"/>
  <c r="F84" i="17" s="1"/>
  <c r="N31" i="17" s="1"/>
  <c r="S31" i="17" s="1"/>
  <c r="C108" i="20"/>
  <c r="E108" i="20" s="1"/>
  <c r="L28" i="20" s="1"/>
  <c r="R28" i="20" s="1"/>
  <c r="X28" i="20" s="1"/>
  <c r="U22" i="20"/>
  <c r="C74" i="6"/>
  <c r="E21" i="6" s="1"/>
  <c r="H42" i="15"/>
  <c r="C51" i="15" s="1"/>
  <c r="S25" i="17"/>
  <c r="N25" i="17"/>
  <c r="T22" i="20"/>
  <c r="V26" i="17"/>
  <c r="M23" i="20"/>
  <c r="S23" i="20" s="1"/>
  <c r="E105" i="20"/>
  <c r="I106" i="20"/>
  <c r="R22" i="20"/>
  <c r="M22" i="20"/>
  <c r="H112" i="20"/>
  <c r="J111" i="20"/>
  <c r="F187" i="21"/>
  <c r="G186" i="21" s="1"/>
  <c r="C58" i="21" s="1"/>
  <c r="C92" i="22"/>
  <c r="G112" i="20"/>
  <c r="D471" i="18" l="1"/>
  <c r="D472" i="18" s="1"/>
  <c r="D473" i="18" s="1"/>
  <c r="C532" i="18"/>
  <c r="C531" i="18"/>
  <c r="Z23" i="20"/>
  <c r="E147" i="20"/>
  <c r="C496" i="18"/>
  <c r="G208" i="18"/>
  <c r="H208" i="18"/>
  <c r="O558" i="18" s="1"/>
  <c r="D27" i="20"/>
  <c r="C73" i="20" s="1"/>
  <c r="H330" i="18"/>
  <c r="D26" i="20"/>
  <c r="C72" i="20" s="1"/>
  <c r="H329" i="18"/>
  <c r="C399" i="18"/>
  <c r="C400" i="18" s="1"/>
  <c r="G330" i="18"/>
  <c r="M35" i="17"/>
  <c r="I36" i="24"/>
  <c r="I37" i="24"/>
  <c r="G57" i="24"/>
  <c r="I57" i="24" s="1"/>
  <c r="G56" i="24"/>
  <c r="I56" i="24" s="1"/>
  <c r="G55" i="24"/>
  <c r="I55" i="24" s="1"/>
  <c r="I48" i="24"/>
  <c r="I49" i="24"/>
  <c r="I50" i="24"/>
  <c r="W35" i="17"/>
  <c r="I38" i="24"/>
  <c r="F137" i="12"/>
  <c r="F138" i="12" s="1"/>
  <c r="G31" i="22"/>
  <c r="H31" i="22"/>
  <c r="D39" i="16"/>
  <c r="E205" i="16"/>
  <c r="C130" i="20"/>
  <c r="M38" i="20" s="1"/>
  <c r="I170" i="17"/>
  <c r="I182" i="17" s="1"/>
  <c r="C161" i="17"/>
  <c r="C163" i="17" s="1"/>
  <c r="F21" i="17"/>
  <c r="D22" i="20"/>
  <c r="D58" i="10"/>
  <c r="E192" i="18"/>
  <c r="D63" i="18"/>
  <c r="G63" i="18" s="1"/>
  <c r="D64" i="18"/>
  <c r="G64" i="18" s="1"/>
  <c r="D62" i="18"/>
  <c r="G62" i="18" s="1"/>
  <c r="D65" i="18"/>
  <c r="G65" i="18" s="1"/>
  <c r="D193" i="18"/>
  <c r="D208" i="18" s="1"/>
  <c r="D61" i="18"/>
  <c r="E55" i="10"/>
  <c r="E61" i="10" s="1"/>
  <c r="E51" i="10"/>
  <c r="O39" i="20"/>
  <c r="K39" i="20"/>
  <c r="C91" i="21"/>
  <c r="C90" i="21"/>
  <c r="C141" i="23"/>
  <c r="C143" i="23"/>
  <c r="C144" i="23"/>
  <c r="C139" i="23"/>
  <c r="C32" i="23" s="1"/>
  <c r="G32" i="23" s="1"/>
  <c r="D145" i="23"/>
  <c r="C140" i="23"/>
  <c r="C142" i="23"/>
  <c r="C140" i="25"/>
  <c r="C169" i="25" s="1"/>
  <c r="DA161" i="21"/>
  <c r="DA160" i="21"/>
  <c r="I35" i="22"/>
  <c r="DA158" i="21"/>
  <c r="C43" i="21" s="1"/>
  <c r="E108" i="21"/>
  <c r="E21" i="22" s="1"/>
  <c r="H21" i="22" s="1"/>
  <c r="D108" i="21"/>
  <c r="D21" i="22" s="1"/>
  <c r="G21" i="22" s="1"/>
  <c r="E116" i="21"/>
  <c r="E29" i="22" s="1"/>
  <c r="D116" i="21"/>
  <c r="D29" i="22" s="1"/>
  <c r="F108" i="21"/>
  <c r="F21" i="22" s="1"/>
  <c r="I21" i="22" s="1"/>
  <c r="DA159" i="21"/>
  <c r="C45" i="21" s="1"/>
  <c r="F23" i="17"/>
  <c r="K23" i="17" s="1"/>
  <c r="E64" i="16"/>
  <c r="F216" i="16"/>
  <c r="H32" i="20"/>
  <c r="H40" i="20" s="1"/>
  <c r="E205" i="18"/>
  <c r="E37" i="20" s="1"/>
  <c r="K37" i="20" s="1"/>
  <c r="G37" i="20"/>
  <c r="J24" i="20"/>
  <c r="P24" i="20" s="1"/>
  <c r="V24" i="20" s="1"/>
  <c r="F40" i="20"/>
  <c r="D66" i="16"/>
  <c r="G66" i="16" s="1"/>
  <c r="D205" i="16"/>
  <c r="D64" i="16"/>
  <c r="D65" i="16"/>
  <c r="G65" i="16" s="1"/>
  <c r="D67" i="16"/>
  <c r="G67" i="16" s="1"/>
  <c r="F42" i="10"/>
  <c r="F33" i="10"/>
  <c r="C34" i="10"/>
  <c r="E52" i="10" s="1"/>
  <c r="C35" i="10"/>
  <c r="E53" i="10" s="1"/>
  <c r="C36" i="10"/>
  <c r="E54" i="10" s="1"/>
  <c r="R84" i="4"/>
  <c r="W84" i="4" s="1"/>
  <c r="C35" i="4" s="1"/>
  <c r="C138" i="4" s="1"/>
  <c r="C140" i="4" s="1"/>
  <c r="D45" i="4"/>
  <c r="E51" i="3"/>
  <c r="C84" i="16"/>
  <c r="C85" i="16" s="1"/>
  <c r="C79" i="16"/>
  <c r="C301" i="16"/>
  <c r="C315" i="16" s="1"/>
  <c r="C320" i="16" s="1"/>
  <c r="M84" i="4"/>
  <c r="H84" i="4"/>
  <c r="C299" i="16"/>
  <c r="C314" i="16" s="1"/>
  <c r="C319" i="16" s="1"/>
  <c r="D41" i="16"/>
  <c r="D48" i="16"/>
  <c r="D40" i="16"/>
  <c r="D42" i="16"/>
  <c r="E263" i="16" s="1"/>
  <c r="D82" i="17"/>
  <c r="L29" i="17" s="1"/>
  <c r="C116" i="5"/>
  <c r="C119" i="5" s="1"/>
  <c r="C121" i="5" s="1"/>
  <c r="C35" i="5"/>
  <c r="C73" i="8"/>
  <c r="C111" i="8" s="1"/>
  <c r="C71" i="8"/>
  <c r="G39" i="3"/>
  <c r="C115" i="4"/>
  <c r="C37" i="3"/>
  <c r="E49" i="3" s="1"/>
  <c r="C125" i="3"/>
  <c r="C128" i="3" s="1"/>
  <c r="C38" i="3" s="1"/>
  <c r="C48" i="8"/>
  <c r="C58" i="8"/>
  <c r="C57" i="8"/>
  <c r="C74" i="8"/>
  <c r="C72" i="8"/>
  <c r="C64" i="8"/>
  <c r="G185" i="21"/>
  <c r="C75" i="21" s="1"/>
  <c r="D51" i="15"/>
  <c r="D52" i="15" s="1"/>
  <c r="C56" i="15" s="1"/>
  <c r="C6" i="15" s="1"/>
  <c r="C11" i="15" s="1"/>
  <c r="C52" i="15"/>
  <c r="N30" i="17"/>
  <c r="S30" i="17" s="1"/>
  <c r="D112" i="20"/>
  <c r="F109" i="20"/>
  <c r="M29" i="20" s="1"/>
  <c r="S29" i="20" s="1"/>
  <c r="Y29" i="20" s="1"/>
  <c r="F110" i="20"/>
  <c r="M30" i="20" s="1"/>
  <c r="S30" i="20" s="1"/>
  <c r="Y30" i="20" s="1"/>
  <c r="AN28" i="20" s="1"/>
  <c r="E83" i="17"/>
  <c r="D83" i="17" s="1"/>
  <c r="D130" i="20"/>
  <c r="T35" i="20" s="1"/>
  <c r="Z35" i="20" s="1"/>
  <c r="C89" i="22"/>
  <c r="I34" i="22" s="1"/>
  <c r="C74" i="20"/>
  <c r="Q39" i="20"/>
  <c r="W39" i="20" s="1"/>
  <c r="C75" i="20"/>
  <c r="L37" i="20"/>
  <c r="U39" i="20"/>
  <c r="AA39" i="20" s="1"/>
  <c r="I33" i="22"/>
  <c r="Z22" i="20"/>
  <c r="D129" i="20"/>
  <c r="G82" i="17"/>
  <c r="F82" i="17" s="1"/>
  <c r="N29" i="17" s="1"/>
  <c r="C112" i="20"/>
  <c r="N37" i="20"/>
  <c r="C219" i="17"/>
  <c r="P36" i="20"/>
  <c r="V36" i="20" s="1"/>
  <c r="J36" i="20"/>
  <c r="S22" i="20"/>
  <c r="AA22" i="20"/>
  <c r="E106" i="20"/>
  <c r="L26" i="20" s="1"/>
  <c r="R26" i="20" s="1"/>
  <c r="X26" i="20" s="1"/>
  <c r="L25" i="20"/>
  <c r="J37" i="20"/>
  <c r="R36" i="20"/>
  <c r="X36" i="20" s="1"/>
  <c r="L36" i="20"/>
  <c r="F34" i="13"/>
  <c r="G34" i="13" s="1"/>
  <c r="F33" i="13"/>
  <c r="G33" i="13" s="1"/>
  <c r="X22" i="20"/>
  <c r="N26" i="20"/>
  <c r="T26" i="20" s="1"/>
  <c r="Z26" i="20" s="1"/>
  <c r="I112" i="20"/>
  <c r="Q22" i="20"/>
  <c r="R23" i="17"/>
  <c r="R35" i="17" s="1"/>
  <c r="K23" i="20"/>
  <c r="Q23" i="20" s="1"/>
  <c r="C145" i="20"/>
  <c r="J112" i="20"/>
  <c r="O31" i="20"/>
  <c r="U31" i="20" s="1"/>
  <c r="AA31" i="20" s="1"/>
  <c r="M25" i="20"/>
  <c r="S25" i="20" s="1"/>
  <c r="Y25" i="20" s="1"/>
  <c r="AN27" i="20" s="1"/>
  <c r="Y23" i="20"/>
  <c r="X23" i="20"/>
  <c r="S558" i="18" l="1"/>
  <c r="T558" i="18"/>
  <c r="D549" i="18"/>
  <c r="D353" i="16"/>
  <c r="D360" i="16"/>
  <c r="C550" i="18"/>
  <c r="F34" i="17"/>
  <c r="F35" i="17" s="1"/>
  <c r="E217" i="16"/>
  <c r="E524" i="18"/>
  <c r="D217" i="16"/>
  <c r="E522" i="18"/>
  <c r="E523" i="18"/>
  <c r="D422" i="18"/>
  <c r="C43" i="2"/>
  <c r="D43" i="2" s="1"/>
  <c r="X43" i="2" s="1"/>
  <c r="C350" i="18"/>
  <c r="D368" i="18" s="1"/>
  <c r="D445" i="18"/>
  <c r="C533" i="18"/>
  <c r="D532" i="18" s="1"/>
  <c r="D423" i="18"/>
  <c r="E445" i="18"/>
  <c r="AG25" i="20"/>
  <c r="D350" i="18"/>
  <c r="E368" i="18" s="1"/>
  <c r="AG26" i="20"/>
  <c r="G328" i="18"/>
  <c r="G331" i="18" s="1"/>
  <c r="C421" i="18"/>
  <c r="D25" i="20"/>
  <c r="D40" i="20" s="1"/>
  <c r="H328" i="18"/>
  <c r="E57" i="10"/>
  <c r="F51" i="10"/>
  <c r="H51" i="10" s="1"/>
  <c r="D351" i="18"/>
  <c r="E378" i="18" s="1"/>
  <c r="C351" i="18"/>
  <c r="D378" i="18" s="1"/>
  <c r="AA40" i="20"/>
  <c r="I58" i="24"/>
  <c r="I39" i="24"/>
  <c r="I52" i="24"/>
  <c r="C299" i="8"/>
  <c r="C97" i="9" s="1"/>
  <c r="C305" i="8"/>
  <c r="C103" i="9" s="1"/>
  <c r="C312" i="8"/>
  <c r="C110" i="9" s="1"/>
  <c r="I181" i="17"/>
  <c r="D212" i="17" s="1"/>
  <c r="D131" i="20" s="1"/>
  <c r="J35" i="20"/>
  <c r="N35" i="20"/>
  <c r="L35" i="20"/>
  <c r="K38" i="20"/>
  <c r="F217" i="16"/>
  <c r="G133" i="12"/>
  <c r="G130" i="12"/>
  <c r="G129" i="12"/>
  <c r="G136" i="12"/>
  <c r="G135" i="12"/>
  <c r="G132" i="12"/>
  <c r="G131" i="12"/>
  <c r="G134" i="12"/>
  <c r="D23" i="17"/>
  <c r="C57" i="17" s="1"/>
  <c r="C181" i="17"/>
  <c r="I173" i="17"/>
  <c r="D60" i="10"/>
  <c r="D21" i="17"/>
  <c r="F107" i="21"/>
  <c r="C146" i="20"/>
  <c r="C147" i="20" s="1"/>
  <c r="D61" i="10"/>
  <c r="F61" i="10" s="1"/>
  <c r="H61" i="10" s="1"/>
  <c r="D57" i="10"/>
  <c r="D107" i="21"/>
  <c r="E107" i="21"/>
  <c r="E20" i="22" s="1"/>
  <c r="D59" i="10"/>
  <c r="E24" i="20"/>
  <c r="K24" i="20" s="1"/>
  <c r="Q24" i="20" s="1"/>
  <c r="W24" i="20" s="1"/>
  <c r="C95" i="21"/>
  <c r="D95" i="21" s="1"/>
  <c r="G95" i="21" s="1"/>
  <c r="D43" i="21"/>
  <c r="G43" i="21" s="1"/>
  <c r="C97" i="21"/>
  <c r="D97" i="21" s="1"/>
  <c r="G97" i="21" s="1"/>
  <c r="D45" i="21"/>
  <c r="G45" i="21" s="1"/>
  <c r="C80" i="16"/>
  <c r="C87" i="16" s="1"/>
  <c r="G64" i="16"/>
  <c r="G69" i="16" s="1"/>
  <c r="I67" i="16" s="1"/>
  <c r="E23" i="17"/>
  <c r="E35" i="17" s="1"/>
  <c r="F49" i="3"/>
  <c r="E53" i="3"/>
  <c r="G37" i="13"/>
  <c r="J27" i="20"/>
  <c r="P27" i="20" s="1"/>
  <c r="V27" i="20" s="1"/>
  <c r="E73" i="20"/>
  <c r="J29" i="20"/>
  <c r="P29" i="20" s="1"/>
  <c r="V29" i="20" s="1"/>
  <c r="E75" i="20"/>
  <c r="J28" i="20"/>
  <c r="P28" i="20" s="1"/>
  <c r="V28" i="20" s="1"/>
  <c r="E74" i="20"/>
  <c r="C46" i="23"/>
  <c r="C36" i="23"/>
  <c r="G36" i="23" s="1"/>
  <c r="C45" i="23"/>
  <c r="C35" i="23"/>
  <c r="G35" i="23" s="1"/>
  <c r="C43" i="23"/>
  <c r="C33" i="23"/>
  <c r="G33" i="23" s="1"/>
  <c r="C42" i="23"/>
  <c r="C44" i="23"/>
  <c r="C34" i="23"/>
  <c r="G34" i="23" s="1"/>
  <c r="D139" i="23"/>
  <c r="D142" i="23"/>
  <c r="D144" i="23"/>
  <c r="D143" i="23"/>
  <c r="D141" i="23"/>
  <c r="D140" i="23"/>
  <c r="C44" i="21"/>
  <c r="D44" i="21" s="1"/>
  <c r="C46" i="21"/>
  <c r="D46" i="21" s="1"/>
  <c r="G46" i="21" s="1"/>
  <c r="DA163" i="21"/>
  <c r="C61" i="21"/>
  <c r="D61" i="21" s="1"/>
  <c r="D109" i="21"/>
  <c r="D22" i="22" s="1"/>
  <c r="C66" i="22" s="1"/>
  <c r="E66" i="22" s="1"/>
  <c r="D111" i="21"/>
  <c r="D24" i="22" s="1"/>
  <c r="C68" i="22" s="1"/>
  <c r="E68" i="22" s="1"/>
  <c r="G187" i="21"/>
  <c r="G117" i="20"/>
  <c r="G118" i="20" s="1"/>
  <c r="S37" i="20"/>
  <c r="Y37" i="20" s="1"/>
  <c r="E264" i="18"/>
  <c r="C307" i="16"/>
  <c r="C310" i="16" s="1"/>
  <c r="G46" i="12"/>
  <c r="F55" i="10"/>
  <c r="H55" i="10" s="1"/>
  <c r="F34" i="10"/>
  <c r="F36" i="10"/>
  <c r="F35" i="10"/>
  <c r="G115" i="4"/>
  <c r="C117" i="4"/>
  <c r="D117" i="4" s="1"/>
  <c r="E45" i="5"/>
  <c r="C113" i="4"/>
  <c r="D113" i="4" s="1"/>
  <c r="H35" i="4"/>
  <c r="H36" i="4" s="1"/>
  <c r="E45" i="4"/>
  <c r="F45" i="4" s="1"/>
  <c r="E50" i="3"/>
  <c r="H51" i="3"/>
  <c r="E55" i="3"/>
  <c r="F51" i="3"/>
  <c r="U21" i="17"/>
  <c r="K21" i="17"/>
  <c r="G42" i="16"/>
  <c r="F263" i="16" s="1"/>
  <c r="E265" i="16"/>
  <c r="G40" i="16"/>
  <c r="E266" i="16"/>
  <c r="G48" i="16"/>
  <c r="G41" i="16"/>
  <c r="E264" i="16"/>
  <c r="E267" i="16"/>
  <c r="G39" i="16"/>
  <c r="C56" i="8"/>
  <c r="E267" i="18"/>
  <c r="C81" i="21" s="1"/>
  <c r="D81" i="21" s="1"/>
  <c r="I29" i="17"/>
  <c r="C220" i="17"/>
  <c r="I30" i="17"/>
  <c r="L30" i="17"/>
  <c r="G35" i="5"/>
  <c r="H30" i="22"/>
  <c r="C109" i="8"/>
  <c r="D109" i="8" s="1"/>
  <c r="E109" i="8" s="1"/>
  <c r="C110" i="8"/>
  <c r="D111" i="8"/>
  <c r="E111" i="8" s="1"/>
  <c r="G111" i="8"/>
  <c r="C49" i="8"/>
  <c r="C51" i="8"/>
  <c r="C311" i="8" s="1"/>
  <c r="C109" i="9" s="1"/>
  <c r="D115" i="4"/>
  <c r="C130" i="3"/>
  <c r="C50" i="8"/>
  <c r="C52" i="8"/>
  <c r="C297" i="8" s="1"/>
  <c r="G38" i="3"/>
  <c r="C114" i="4"/>
  <c r="G37" i="3"/>
  <c r="C116" i="4"/>
  <c r="D116" i="4" s="1"/>
  <c r="F112" i="20"/>
  <c r="R35" i="20"/>
  <c r="X35" i="20" s="1"/>
  <c r="AN25" i="20"/>
  <c r="Q38" i="20"/>
  <c r="W38" i="20" s="1"/>
  <c r="G30" i="22"/>
  <c r="P35" i="20"/>
  <c r="V35" i="20" s="1"/>
  <c r="S38" i="20"/>
  <c r="Y38" i="20" s="1"/>
  <c r="Y22" i="20"/>
  <c r="J23" i="20"/>
  <c r="E265" i="18"/>
  <c r="E266" i="18"/>
  <c r="Q29" i="17"/>
  <c r="R37" i="20"/>
  <c r="X37" i="20" s="1"/>
  <c r="T37" i="20"/>
  <c r="Z37" i="20" s="1"/>
  <c r="Q37" i="20"/>
  <c r="W37" i="20" s="1"/>
  <c r="R25" i="20"/>
  <c r="E117" i="20"/>
  <c r="E118" i="20" s="1"/>
  <c r="E112" i="20"/>
  <c r="G61" i="18"/>
  <c r="C63" i="21"/>
  <c r="D63" i="21" s="1"/>
  <c r="P37" i="20"/>
  <c r="V37" i="20" s="1"/>
  <c r="W22" i="20"/>
  <c r="AB43" i="2" l="1"/>
  <c r="D359" i="16"/>
  <c r="D352" i="16"/>
  <c r="D356" i="16" s="1"/>
  <c r="C344" i="16"/>
  <c r="D363" i="16"/>
  <c r="E525" i="18"/>
  <c r="F524" i="18" s="1"/>
  <c r="G533" i="18"/>
  <c r="D530" i="18"/>
  <c r="Z43" i="2" s="1"/>
  <c r="D531" i="18"/>
  <c r="AA43" i="2" s="1"/>
  <c r="C27" i="2"/>
  <c r="D27" i="2" s="1"/>
  <c r="D498" i="18"/>
  <c r="AG28" i="20"/>
  <c r="C71" i="20"/>
  <c r="E71" i="20" s="1"/>
  <c r="E399" i="18"/>
  <c r="I60" i="24"/>
  <c r="F57" i="10"/>
  <c r="H57" i="10" s="1"/>
  <c r="E344" i="16"/>
  <c r="E359" i="18" s="1"/>
  <c r="D67" i="24"/>
  <c r="D35" i="17"/>
  <c r="D36" i="17" s="1"/>
  <c r="C6" i="17" s="1"/>
  <c r="C95" i="9"/>
  <c r="C95" i="8"/>
  <c r="D95" i="8" s="1"/>
  <c r="D103" i="8" s="1"/>
  <c r="C304" i="8"/>
  <c r="C310" i="8"/>
  <c r="C108" i="9" s="1"/>
  <c r="C298" i="8"/>
  <c r="V29" i="17"/>
  <c r="V35" i="17" s="1"/>
  <c r="Q35" i="17"/>
  <c r="P21" i="17"/>
  <c r="I21" i="17"/>
  <c r="C212" i="17"/>
  <c r="C182" i="17"/>
  <c r="I23" i="17"/>
  <c r="S23" i="17" s="1"/>
  <c r="C56" i="17"/>
  <c r="C58" i="17"/>
  <c r="C93" i="8"/>
  <c r="C101" i="8" s="1"/>
  <c r="C140" i="12"/>
  <c r="C141" i="12"/>
  <c r="C139" i="12"/>
  <c r="G85" i="17"/>
  <c r="F85" i="17" s="1"/>
  <c r="P34" i="17" s="1"/>
  <c r="U34" i="17" s="1"/>
  <c r="V23" i="20"/>
  <c r="W23" i="20"/>
  <c r="AH25" i="20"/>
  <c r="D20" i="22"/>
  <c r="G20" i="22" s="1"/>
  <c r="F20" i="22"/>
  <c r="H20" i="22" s="1"/>
  <c r="G37" i="23"/>
  <c r="G40" i="3"/>
  <c r="I64" i="16"/>
  <c r="I65" i="16"/>
  <c r="I66" i="16"/>
  <c r="C53" i="13"/>
  <c r="C54" i="13" s="1"/>
  <c r="G47" i="12"/>
  <c r="G117" i="4"/>
  <c r="G36" i="5"/>
  <c r="G113" i="4"/>
  <c r="D112" i="21"/>
  <c r="D25" i="22" s="1"/>
  <c r="C69" i="22" s="1"/>
  <c r="C98" i="21"/>
  <c r="D98" i="21" s="1"/>
  <c r="G98" i="21" s="1"/>
  <c r="G44" i="21"/>
  <c r="G47" i="21" s="1"/>
  <c r="C96" i="21"/>
  <c r="D96" i="21" s="1"/>
  <c r="G96" i="21" s="1"/>
  <c r="D110" i="21"/>
  <c r="D23" i="22" s="1"/>
  <c r="C67" i="22" s="1"/>
  <c r="E67" i="22" s="1"/>
  <c r="E69" i="22" s="1"/>
  <c r="E73" i="22" s="1"/>
  <c r="C62" i="21"/>
  <c r="G61" i="21"/>
  <c r="C64" i="21"/>
  <c r="G43" i="23"/>
  <c r="G42" i="23"/>
  <c r="D18" i="29"/>
  <c r="G44" i="23"/>
  <c r="G46" i="23"/>
  <c r="G45" i="23"/>
  <c r="E111" i="21"/>
  <c r="E24" i="22" s="1"/>
  <c r="F115" i="21"/>
  <c r="F28" i="22" s="1"/>
  <c r="D72" i="22" s="1"/>
  <c r="F72" i="22" s="1"/>
  <c r="I28" i="22" s="1"/>
  <c r="E109" i="21"/>
  <c r="E22" i="22" s="1"/>
  <c r="C220" i="16"/>
  <c r="C5" i="16" s="1"/>
  <c r="C60" i="2" s="1"/>
  <c r="F117" i="20"/>
  <c r="G40" i="20"/>
  <c r="M37" i="20"/>
  <c r="F53" i="10"/>
  <c r="H53" i="10" s="1"/>
  <c r="E59" i="10"/>
  <c r="F54" i="10"/>
  <c r="H54" i="10" s="1"/>
  <c r="E60" i="10"/>
  <c r="F60" i="10" s="1"/>
  <c r="H60" i="10" s="1"/>
  <c r="F52" i="10"/>
  <c r="H52" i="10" s="1"/>
  <c r="E58" i="10"/>
  <c r="H45" i="5"/>
  <c r="H46" i="5" s="1"/>
  <c r="F45" i="5"/>
  <c r="E47" i="5"/>
  <c r="H45" i="4"/>
  <c r="H46" i="4" s="1"/>
  <c r="E47" i="4"/>
  <c r="F55" i="3"/>
  <c r="E115" i="4" s="1"/>
  <c r="H55" i="3"/>
  <c r="F50" i="3"/>
  <c r="E54" i="3"/>
  <c r="H50" i="3"/>
  <c r="F264" i="16"/>
  <c r="F266" i="16"/>
  <c r="F265" i="16"/>
  <c r="F267" i="16"/>
  <c r="G50" i="16"/>
  <c r="I39" i="16" s="1"/>
  <c r="E268" i="16"/>
  <c r="C264" i="16" s="1"/>
  <c r="C43" i="18"/>
  <c r="S29" i="17"/>
  <c r="H111" i="8"/>
  <c r="H109" i="8"/>
  <c r="C94" i="8"/>
  <c r="D110" i="8"/>
  <c r="E110" i="8" s="1"/>
  <c r="G110" i="8"/>
  <c r="C112" i="8"/>
  <c r="D114" i="4"/>
  <c r="C118" i="4"/>
  <c r="F113" i="4" s="1"/>
  <c r="D24" i="6" s="1"/>
  <c r="C90" i="6" s="1"/>
  <c r="G116" i="4"/>
  <c r="G114" i="4"/>
  <c r="C48" i="14"/>
  <c r="D47" i="14"/>
  <c r="D48" i="14" s="1"/>
  <c r="C52" i="14" s="1"/>
  <c r="C5" i="14" s="1"/>
  <c r="J26" i="20"/>
  <c r="P26" i="20" s="1"/>
  <c r="V26" i="20" s="1"/>
  <c r="AH26" i="20" s="1"/>
  <c r="H22" i="22"/>
  <c r="G22" i="22"/>
  <c r="G66" i="18"/>
  <c r="C80" i="21"/>
  <c r="D80" i="21" s="1"/>
  <c r="C42" i="18"/>
  <c r="D268" i="18"/>
  <c r="H24" i="22"/>
  <c r="G24" i="22"/>
  <c r="C79" i="21"/>
  <c r="D79" i="21" s="1"/>
  <c r="C41" i="18"/>
  <c r="G63" i="21"/>
  <c r="X25" i="20"/>
  <c r="P23" i="20"/>
  <c r="C78" i="21"/>
  <c r="D78" i="21" s="1"/>
  <c r="E268" i="18"/>
  <c r="C40" i="18"/>
  <c r="AE43" i="2" l="1"/>
  <c r="AC43" i="2"/>
  <c r="AD43" i="2"/>
  <c r="C78" i="20"/>
  <c r="D78" i="20" s="1"/>
  <c r="E78" i="20" s="1"/>
  <c r="F78" i="20" s="1"/>
  <c r="C10" i="14"/>
  <c r="C336" i="12"/>
  <c r="C590" i="18"/>
  <c r="C589" i="18"/>
  <c r="C60" i="27"/>
  <c r="C80" i="27" s="1"/>
  <c r="E351" i="12"/>
  <c r="C59" i="27"/>
  <c r="C68" i="27" s="1"/>
  <c r="D351" i="12"/>
  <c r="C58" i="27"/>
  <c r="C74" i="27" s="1"/>
  <c r="C351" i="12"/>
  <c r="D514" i="18"/>
  <c r="D547" i="18"/>
  <c r="F522" i="18"/>
  <c r="F531" i="18"/>
  <c r="F532" i="18"/>
  <c r="F523" i="18"/>
  <c r="D60" i="2"/>
  <c r="D533" i="18"/>
  <c r="C300" i="21"/>
  <c r="D538" i="18" s="1"/>
  <c r="C10" i="2"/>
  <c r="D10" i="2" s="1"/>
  <c r="D106" i="24"/>
  <c r="D107" i="24" s="1"/>
  <c r="C5" i="24" s="1"/>
  <c r="E99" i="24"/>
  <c r="D48" i="2" s="1"/>
  <c r="C265" i="16"/>
  <c r="H56" i="10"/>
  <c r="C347" i="16"/>
  <c r="C78" i="2" s="1"/>
  <c r="D359" i="18"/>
  <c r="E347" i="16"/>
  <c r="C95" i="2" s="1"/>
  <c r="N23" i="17"/>
  <c r="C90" i="22"/>
  <c r="H29" i="22" s="1"/>
  <c r="C131" i="20"/>
  <c r="J32" i="20" s="1"/>
  <c r="C103" i="8"/>
  <c r="C96" i="9"/>
  <c r="D98" i="9" s="1"/>
  <c r="N98" i="9" s="1"/>
  <c r="E34" i="9" s="1"/>
  <c r="C65" i="9" s="1"/>
  <c r="D306" i="8"/>
  <c r="F103" i="8" s="1"/>
  <c r="D128" i="8" s="1"/>
  <c r="D36" i="9" s="1"/>
  <c r="C102" i="9"/>
  <c r="D104" i="9" s="1"/>
  <c r="D300" i="8"/>
  <c r="F101" i="8" s="1"/>
  <c r="D126" i="8" s="1"/>
  <c r="D34" i="9" s="1"/>
  <c r="D93" i="8"/>
  <c r="D101" i="8" s="1"/>
  <c r="E101" i="8" s="1"/>
  <c r="S21" i="17"/>
  <c r="S35" i="17" s="1"/>
  <c r="I35" i="17"/>
  <c r="E85" i="17"/>
  <c r="D85" i="17" s="1"/>
  <c r="K34" i="17" s="1"/>
  <c r="K35" i="17" s="1"/>
  <c r="N21" i="17"/>
  <c r="C96" i="8"/>
  <c r="C59" i="17"/>
  <c r="O15" i="28"/>
  <c r="P15" i="28" s="1"/>
  <c r="C142" i="12"/>
  <c r="C61" i="27" s="1"/>
  <c r="T32" i="20"/>
  <c r="R32" i="20"/>
  <c r="S33" i="20"/>
  <c r="Q33" i="20"/>
  <c r="W33" i="20" s="1"/>
  <c r="P32" i="20"/>
  <c r="V32" i="20" s="1"/>
  <c r="I20" i="22"/>
  <c r="C187" i="2"/>
  <c r="C153" i="2"/>
  <c r="C120" i="2"/>
  <c r="E110" i="21"/>
  <c r="D62" i="21"/>
  <c r="G62" i="21" s="1"/>
  <c r="E112" i="21"/>
  <c r="D64" i="21"/>
  <c r="G64" i="21" s="1"/>
  <c r="D123" i="21"/>
  <c r="E197" i="18"/>
  <c r="D41" i="18"/>
  <c r="G41" i="18" s="1"/>
  <c r="E198" i="18"/>
  <c r="D42" i="18"/>
  <c r="G42" i="18" s="1"/>
  <c r="E193" i="18"/>
  <c r="E558" i="18" s="1"/>
  <c r="D40" i="18"/>
  <c r="G40" i="18" s="1"/>
  <c r="E199" i="18"/>
  <c r="D43" i="18"/>
  <c r="G43" i="18" s="1"/>
  <c r="C10" i="16"/>
  <c r="D53" i="13"/>
  <c r="D54" i="13" s="1"/>
  <c r="C57" i="13" s="1"/>
  <c r="C5" i="13" s="1"/>
  <c r="D36" i="22"/>
  <c r="C73" i="22"/>
  <c r="G99" i="21"/>
  <c r="I97" i="21" s="1"/>
  <c r="G23" i="22"/>
  <c r="H23" i="22"/>
  <c r="G47" i="23"/>
  <c r="C50" i="23" s="1"/>
  <c r="C5" i="23" s="1"/>
  <c r="C67" i="2" s="1"/>
  <c r="D19" i="29"/>
  <c r="D20" i="29"/>
  <c r="D21" i="29"/>
  <c r="D22" i="29"/>
  <c r="D23" i="29"/>
  <c r="F114" i="21"/>
  <c r="F113" i="21"/>
  <c r="F109" i="21"/>
  <c r="D515" i="18" s="1"/>
  <c r="F118" i="20"/>
  <c r="O40" i="20"/>
  <c r="H117" i="20"/>
  <c r="I40" i="20"/>
  <c r="F58" i="10"/>
  <c r="H58" i="10" s="1"/>
  <c r="F59" i="10"/>
  <c r="H59" i="10" s="1"/>
  <c r="H47" i="5"/>
  <c r="H48" i="5" s="1"/>
  <c r="C51" i="5" s="1"/>
  <c r="C5" i="5" s="1"/>
  <c r="C10" i="5" s="1"/>
  <c r="F47" i="5"/>
  <c r="E117" i="4" s="1"/>
  <c r="H47" i="4"/>
  <c r="H48" i="4" s="1"/>
  <c r="C51" i="4" s="1"/>
  <c r="C5" i="4" s="1"/>
  <c r="C10" i="4" s="1"/>
  <c r="F47" i="4"/>
  <c r="E113" i="4" s="1"/>
  <c r="F54" i="3"/>
  <c r="E114" i="4" s="1"/>
  <c r="H54" i="3"/>
  <c r="F268" i="16"/>
  <c r="D266" i="16" s="1"/>
  <c r="C266" i="16"/>
  <c r="I42" i="16"/>
  <c r="I48" i="16"/>
  <c r="C263" i="16"/>
  <c r="I41" i="16"/>
  <c r="C267" i="16"/>
  <c r="I40" i="16"/>
  <c r="H110" i="8"/>
  <c r="H112" i="8" s="1"/>
  <c r="C102" i="8"/>
  <c r="D94" i="8"/>
  <c r="D102" i="8" s="1"/>
  <c r="E102" i="8" s="1"/>
  <c r="E103" i="8"/>
  <c r="D127" i="8"/>
  <c r="D35" i="9" s="1"/>
  <c r="D112" i="8"/>
  <c r="F117" i="4"/>
  <c r="D28" i="6" s="1"/>
  <c r="C94" i="6" s="1"/>
  <c r="I43" i="21"/>
  <c r="I46" i="21"/>
  <c r="D118" i="4"/>
  <c r="F114" i="4"/>
  <c r="D25" i="6" s="1"/>
  <c r="C91" i="6" s="1"/>
  <c r="F115" i="4"/>
  <c r="D26" i="6" s="1"/>
  <c r="C92" i="6" s="1"/>
  <c r="F116" i="4"/>
  <c r="G118" i="4"/>
  <c r="H113" i="4" s="1"/>
  <c r="I44" i="21"/>
  <c r="I45" i="21"/>
  <c r="I61" i="18"/>
  <c r="J25" i="20"/>
  <c r="G81" i="21"/>
  <c r="U23" i="17"/>
  <c r="U35" i="17" s="1"/>
  <c r="P23" i="17"/>
  <c r="P35" i="17" s="1"/>
  <c r="G80" i="21"/>
  <c r="G79" i="21"/>
  <c r="I64" i="18"/>
  <c r="I63" i="18"/>
  <c r="I62" i="18"/>
  <c r="I65" i="18"/>
  <c r="H25" i="22"/>
  <c r="G25" i="22"/>
  <c r="C76" i="22"/>
  <c r="E25" i="22" l="1"/>
  <c r="D550" i="18"/>
  <c r="E550" i="18" s="1"/>
  <c r="I550" i="18" s="1"/>
  <c r="C560" i="18"/>
  <c r="E560" i="18"/>
  <c r="C559" i="18"/>
  <c r="E559" i="18"/>
  <c r="F558" i="18" s="1"/>
  <c r="C82" i="27"/>
  <c r="F15" i="27" s="1"/>
  <c r="C591" i="18"/>
  <c r="C557" i="18"/>
  <c r="E557" i="18"/>
  <c r="C548" i="18"/>
  <c r="C558" i="18"/>
  <c r="C549" i="18"/>
  <c r="E549" i="18" s="1"/>
  <c r="I549" i="18" s="1"/>
  <c r="C547" i="18"/>
  <c r="C514" i="18"/>
  <c r="D548" i="18"/>
  <c r="F27" i="22"/>
  <c r="D71" i="22" s="1"/>
  <c r="D516" i="18"/>
  <c r="C522" i="18"/>
  <c r="C10" i="24"/>
  <c r="C64" i="2"/>
  <c r="D64" i="2" s="1"/>
  <c r="C7" i="27"/>
  <c r="C335" i="12"/>
  <c r="F533" i="18"/>
  <c r="F525" i="18"/>
  <c r="D67" i="2"/>
  <c r="C524" i="18"/>
  <c r="C523" i="18"/>
  <c r="E208" i="18"/>
  <c r="C302" i="21"/>
  <c r="D540" i="18" s="1"/>
  <c r="F22" i="22"/>
  <c r="D66" i="22" s="1"/>
  <c r="C301" i="21"/>
  <c r="D539" i="18" s="1"/>
  <c r="C469" i="18"/>
  <c r="C515" i="18"/>
  <c r="C470" i="18"/>
  <c r="C497" i="18"/>
  <c r="C6" i="30"/>
  <c r="C7" i="30" s="1"/>
  <c r="C471" i="18"/>
  <c r="C10" i="13"/>
  <c r="D329" i="18"/>
  <c r="C329" i="18"/>
  <c r="D331" i="18"/>
  <c r="C331" i="18"/>
  <c r="O12" i="28" s="1"/>
  <c r="D328" i="18"/>
  <c r="C328" i="18"/>
  <c r="D330" i="18"/>
  <c r="C330" i="18"/>
  <c r="O14" i="28" s="1"/>
  <c r="H62" i="10"/>
  <c r="N35" i="17"/>
  <c r="K33" i="20"/>
  <c r="L32" i="20"/>
  <c r="L40" i="20" s="1"/>
  <c r="G29" i="22"/>
  <c r="G36" i="22" s="1"/>
  <c r="I29" i="22"/>
  <c r="D114" i="29"/>
  <c r="C114" i="29"/>
  <c r="D113" i="29"/>
  <c r="C113" i="29"/>
  <c r="D117" i="29"/>
  <c r="C117" i="29"/>
  <c r="C116" i="29"/>
  <c r="D116" i="29"/>
  <c r="D115" i="29"/>
  <c r="C115" i="29"/>
  <c r="M33" i="20"/>
  <c r="M40" i="20" s="1"/>
  <c r="N32" i="20"/>
  <c r="N40" i="20" s="1"/>
  <c r="G103" i="8"/>
  <c r="J36" i="17"/>
  <c r="C8" i="17" s="1"/>
  <c r="C9" i="17" s="1"/>
  <c r="T36" i="17"/>
  <c r="G8" i="17" s="1"/>
  <c r="D187" i="2" s="1"/>
  <c r="C17" i="2"/>
  <c r="D17" i="2" s="1"/>
  <c r="G101" i="8"/>
  <c r="E23" i="22"/>
  <c r="E36" i="22" s="1"/>
  <c r="C77" i="22" s="1"/>
  <c r="F26" i="22"/>
  <c r="D70" i="22" s="1"/>
  <c r="Y33" i="20"/>
  <c r="Y40" i="20" s="1"/>
  <c r="S40" i="20"/>
  <c r="X32" i="20"/>
  <c r="X40" i="20" s="1"/>
  <c r="R40" i="20"/>
  <c r="Z32" i="20"/>
  <c r="Z40" i="20" s="1"/>
  <c r="T40" i="20"/>
  <c r="E123" i="21"/>
  <c r="E30" i="20"/>
  <c r="AI29" i="20" s="1"/>
  <c r="AG53" i="20" s="1"/>
  <c r="E29" i="20"/>
  <c r="D75" i="20" s="1"/>
  <c r="E31" i="20"/>
  <c r="AI27" i="20" s="1"/>
  <c r="AG52" i="20" s="1"/>
  <c r="E25" i="20"/>
  <c r="C10" i="23"/>
  <c r="C126" i="2"/>
  <c r="H13" i="28" s="1"/>
  <c r="C159" i="2"/>
  <c r="C193" i="2"/>
  <c r="G44" i="18"/>
  <c r="I40" i="18" s="1"/>
  <c r="I95" i="21"/>
  <c r="D29" i="29"/>
  <c r="H36" i="22"/>
  <c r="I98" i="21"/>
  <c r="I96" i="21"/>
  <c r="C6" i="29"/>
  <c r="F123" i="21"/>
  <c r="U40" i="20"/>
  <c r="H118" i="20"/>
  <c r="D267" i="16"/>
  <c r="D263" i="16"/>
  <c r="D264" i="16"/>
  <c r="D265" i="16"/>
  <c r="C268" i="16"/>
  <c r="D96" i="8"/>
  <c r="D104" i="8"/>
  <c r="E104" i="8"/>
  <c r="D118" i="8" s="1"/>
  <c r="H101" i="8"/>
  <c r="C104" i="8"/>
  <c r="H103" i="8"/>
  <c r="G102" i="8"/>
  <c r="H102" i="8"/>
  <c r="E112" i="8"/>
  <c r="F118" i="4"/>
  <c r="D27" i="6"/>
  <c r="C93" i="6" s="1"/>
  <c r="H117" i="4"/>
  <c r="H115" i="4"/>
  <c r="H116" i="4"/>
  <c r="H114" i="4"/>
  <c r="P25" i="20"/>
  <c r="V25" i="20" s="1"/>
  <c r="AH28" i="20" s="1"/>
  <c r="G78" i="21"/>
  <c r="G65" i="21"/>
  <c r="F559" i="18" l="1"/>
  <c r="F71" i="22"/>
  <c r="I27" i="22" s="1"/>
  <c r="D558" i="18"/>
  <c r="F560" i="18"/>
  <c r="F557" i="18"/>
  <c r="I515" i="18"/>
  <c r="I514" i="18"/>
  <c r="O36" i="17"/>
  <c r="E8" i="17" s="1"/>
  <c r="E9" i="17" s="1"/>
  <c r="C246" i="17"/>
  <c r="D559" i="18"/>
  <c r="D560" i="18"/>
  <c r="D557" i="18"/>
  <c r="C551" i="18"/>
  <c r="E547" i="18"/>
  <c r="I547" i="18" s="1"/>
  <c r="C540" i="18"/>
  <c r="C538" i="18"/>
  <c r="D517" i="18"/>
  <c r="C539" i="18"/>
  <c r="E548" i="18"/>
  <c r="I548" i="18" s="1"/>
  <c r="D551" i="18"/>
  <c r="C445" i="18"/>
  <c r="C349" i="18"/>
  <c r="C99" i="2"/>
  <c r="C82" i="2"/>
  <c r="C85" i="2"/>
  <c r="K82" i="2" s="1"/>
  <c r="C102" i="2"/>
  <c r="K99" i="2" s="1"/>
  <c r="D300" i="21"/>
  <c r="C525" i="18"/>
  <c r="D523" i="18" s="1"/>
  <c r="C303" i="21"/>
  <c r="D541" i="18" s="1"/>
  <c r="D301" i="21"/>
  <c r="C26" i="2"/>
  <c r="D26" i="2" s="1"/>
  <c r="X44" i="2" s="1"/>
  <c r="D302" i="21"/>
  <c r="C156" i="20"/>
  <c r="C155" i="20"/>
  <c r="C472" i="18"/>
  <c r="C473" i="18" s="1"/>
  <c r="D71" i="20"/>
  <c r="F71" i="20" s="1"/>
  <c r="K25" i="20" s="1"/>
  <c r="C34" i="2"/>
  <c r="E400" i="18"/>
  <c r="D421" i="18"/>
  <c r="D20" i="9"/>
  <c r="E20" i="9" s="1"/>
  <c r="D332" i="18"/>
  <c r="D386" i="18"/>
  <c r="E366" i="18"/>
  <c r="D366" i="18"/>
  <c r="E386" i="18"/>
  <c r="E376" i="18"/>
  <c r="D376" i="18"/>
  <c r="D399" i="18"/>
  <c r="D400" i="18" s="1"/>
  <c r="D209" i="18"/>
  <c r="C213" i="18" s="1"/>
  <c r="D349" i="18"/>
  <c r="C114" i="22"/>
  <c r="C113" i="22"/>
  <c r="D76" i="20"/>
  <c r="F36" i="22"/>
  <c r="D37" i="22" s="1"/>
  <c r="C6" i="22" s="1"/>
  <c r="C118" i="29"/>
  <c r="D118" i="29"/>
  <c r="E18" i="29" s="1"/>
  <c r="D120" i="2"/>
  <c r="E120" i="2" s="1"/>
  <c r="G104" i="8"/>
  <c r="O11" i="28"/>
  <c r="P11" i="28" s="1"/>
  <c r="AI30" i="20"/>
  <c r="AG54" i="20" s="1"/>
  <c r="D124" i="21"/>
  <c r="C127" i="21" s="1"/>
  <c r="P14" i="28"/>
  <c r="P12" i="28"/>
  <c r="D77" i="20"/>
  <c r="F77" i="20" s="1"/>
  <c r="AJ27" i="20" s="1"/>
  <c r="AH52" i="20" s="1"/>
  <c r="AI28" i="20"/>
  <c r="AG51" i="20" s="1"/>
  <c r="E40" i="20"/>
  <c r="D41" i="20" s="1"/>
  <c r="C154" i="20" s="1"/>
  <c r="I42" i="18"/>
  <c r="I41" i="18"/>
  <c r="C72" i="18"/>
  <c r="C73" i="18" s="1"/>
  <c r="C74" i="18" s="1"/>
  <c r="I43" i="18"/>
  <c r="D268" i="16"/>
  <c r="C65" i="10"/>
  <c r="C5" i="10" s="1"/>
  <c r="C66" i="2" s="1"/>
  <c r="D120" i="8"/>
  <c r="D121" i="8"/>
  <c r="D119" i="8"/>
  <c r="D125" i="8"/>
  <c r="D123" i="8"/>
  <c r="D124" i="8"/>
  <c r="D122" i="8"/>
  <c r="G9" i="17"/>
  <c r="D203" i="2"/>
  <c r="H104" i="8"/>
  <c r="H118" i="4"/>
  <c r="I62" i="21"/>
  <c r="I64" i="21"/>
  <c r="F70" i="22"/>
  <c r="I26" i="22" s="1"/>
  <c r="I61" i="21"/>
  <c r="I63" i="21"/>
  <c r="G82" i="21"/>
  <c r="F66" i="22"/>
  <c r="D73" i="22"/>
  <c r="AA44" i="2" l="1"/>
  <c r="D153" i="2"/>
  <c r="D519" i="18"/>
  <c r="D518" i="18"/>
  <c r="D520" i="18"/>
  <c r="C541" i="18"/>
  <c r="E540" i="18" s="1"/>
  <c r="D322" i="8"/>
  <c r="D323" i="8"/>
  <c r="D320" i="8"/>
  <c r="D28" i="9"/>
  <c r="E31" i="9" s="1"/>
  <c r="C77" i="9" s="1"/>
  <c r="D324" i="8"/>
  <c r="D29" i="9"/>
  <c r="E32" i="9" s="1"/>
  <c r="C78" i="9" s="1"/>
  <c r="D325" i="8"/>
  <c r="D321" i="8"/>
  <c r="D66" i="2"/>
  <c r="M99" i="2"/>
  <c r="P99" i="2"/>
  <c r="M82" i="2"/>
  <c r="P82" i="2"/>
  <c r="D524" i="18"/>
  <c r="AB44" i="2" s="1"/>
  <c r="G525" i="18"/>
  <c r="D522" i="18"/>
  <c r="Z44" i="2" s="1"/>
  <c r="AC44" i="2" s="1"/>
  <c r="H71" i="20"/>
  <c r="D156" i="20"/>
  <c r="A156" i="20" s="1"/>
  <c r="C6" i="18"/>
  <c r="C516" i="18"/>
  <c r="D192" i="2"/>
  <c r="D125" i="2"/>
  <c r="D158" i="2"/>
  <c r="D155" i="20"/>
  <c r="A155" i="20" s="1"/>
  <c r="D34" i="2"/>
  <c r="C51" i="2"/>
  <c r="D51" i="2" s="1"/>
  <c r="D24" i="9"/>
  <c r="D23" i="9"/>
  <c r="D25" i="9"/>
  <c r="E320" i="8"/>
  <c r="E321" i="8"/>
  <c r="E322" i="8"/>
  <c r="D27" i="9"/>
  <c r="E30" i="9" s="1"/>
  <c r="C76" i="9" s="1"/>
  <c r="E323" i="8"/>
  <c r="D21" i="9"/>
  <c r="E325" i="8"/>
  <c r="E324" i="8"/>
  <c r="D352" i="18"/>
  <c r="C94" i="2" s="1"/>
  <c r="E358" i="18"/>
  <c r="C352" i="18"/>
  <c r="C77" i="2" s="1"/>
  <c r="D358" i="18"/>
  <c r="D114" i="22"/>
  <c r="E114" i="29"/>
  <c r="E20" i="29" s="1"/>
  <c r="E115" i="29"/>
  <c r="E21" i="29" s="1"/>
  <c r="F76" i="20"/>
  <c r="K30" i="20" s="1"/>
  <c r="Q30" i="20" s="1"/>
  <c r="W30" i="20" s="1"/>
  <c r="AJ29" i="20" s="1"/>
  <c r="AH53" i="20" s="1"/>
  <c r="E113" i="29"/>
  <c r="E117" i="29"/>
  <c r="E23" i="29" s="1"/>
  <c r="E116" i="29"/>
  <c r="E22" i="29" s="1"/>
  <c r="C60" i="9"/>
  <c r="C67" i="9" s="1"/>
  <c r="C112" i="22"/>
  <c r="D113" i="22" s="1"/>
  <c r="D136" i="2"/>
  <c r="O10" i="28"/>
  <c r="P10" i="28" s="1"/>
  <c r="P16" i="28" s="1"/>
  <c r="H77" i="20"/>
  <c r="H76" i="20"/>
  <c r="H75" i="20"/>
  <c r="F75" i="20"/>
  <c r="K29" i="20" s="1"/>
  <c r="Q29" i="20" s="1"/>
  <c r="W29" i="20" s="1"/>
  <c r="AJ30" i="20" s="1"/>
  <c r="AH54" i="20" s="1"/>
  <c r="C125" i="2"/>
  <c r="C158" i="2"/>
  <c r="C192" i="2"/>
  <c r="C10" i="10"/>
  <c r="D132" i="8"/>
  <c r="C135" i="8" s="1"/>
  <c r="I78" i="21"/>
  <c r="E187" i="2"/>
  <c r="I79" i="21"/>
  <c r="I80" i="21"/>
  <c r="I81" i="21"/>
  <c r="Q25" i="20"/>
  <c r="I22" i="22"/>
  <c r="F73" i="22"/>
  <c r="E76" i="22"/>
  <c r="AE44" i="2" l="1"/>
  <c r="AD44" i="2"/>
  <c r="D169" i="2"/>
  <c r="R169" i="2" s="1"/>
  <c r="E153" i="2"/>
  <c r="C517" i="18"/>
  <c r="I516" i="18"/>
  <c r="I517" i="18" s="1"/>
  <c r="J514" i="18" s="1"/>
  <c r="E539" i="18"/>
  <c r="E538" i="18"/>
  <c r="E541" i="18"/>
  <c r="D525" i="18"/>
  <c r="K64" i="2"/>
  <c r="C151" i="2"/>
  <c r="C59" i="2"/>
  <c r="C9" i="2" s="1"/>
  <c r="D9" i="2" s="1"/>
  <c r="C84" i="2"/>
  <c r="K83" i="2" s="1"/>
  <c r="C101" i="2"/>
  <c r="G532" i="18"/>
  <c r="G530" i="18"/>
  <c r="G531" i="18"/>
  <c r="G524" i="18"/>
  <c r="G523" i="18"/>
  <c r="G522" i="18"/>
  <c r="C118" i="2"/>
  <c r="C11" i="18"/>
  <c r="C185" i="2"/>
  <c r="C157" i="20"/>
  <c r="J22" i="9"/>
  <c r="J23" i="9"/>
  <c r="C325" i="8"/>
  <c r="C322" i="8"/>
  <c r="D375" i="18"/>
  <c r="C16" i="2"/>
  <c r="C321" i="8"/>
  <c r="C320" i="8"/>
  <c r="C324" i="8"/>
  <c r="D44" i="9"/>
  <c r="J21" i="9" s="1"/>
  <c r="C323" i="8"/>
  <c r="E365" i="18"/>
  <c r="E385" i="18"/>
  <c r="E375" i="18"/>
  <c r="D365" i="18"/>
  <c r="D385" i="18"/>
  <c r="E21" i="9"/>
  <c r="C75" i="9" s="1"/>
  <c r="C82" i="9" s="1"/>
  <c r="C85" i="9" s="1"/>
  <c r="E19" i="29"/>
  <c r="E29" i="29" s="1"/>
  <c r="C7" i="29" s="1"/>
  <c r="E118" i="29"/>
  <c r="X175" i="2"/>
  <c r="O16" i="28"/>
  <c r="Q16" i="28" s="1"/>
  <c r="D117" i="20"/>
  <c r="D118" i="20" s="1"/>
  <c r="P17" i="28"/>
  <c r="K40" i="20"/>
  <c r="D175" i="2"/>
  <c r="E125" i="2"/>
  <c r="D142" i="2"/>
  <c r="E158" i="2"/>
  <c r="D209" i="2"/>
  <c r="E192" i="2"/>
  <c r="C5" i="21"/>
  <c r="C61" i="2" s="1"/>
  <c r="W25" i="20"/>
  <c r="Q40" i="20"/>
  <c r="E77" i="22"/>
  <c r="G76" i="22"/>
  <c r="G77" i="22" s="1"/>
  <c r="C115" i="22"/>
  <c r="C116" i="22"/>
  <c r="I36" i="22"/>
  <c r="H37" i="22" s="1"/>
  <c r="X172" i="2" l="1"/>
  <c r="E517" i="18"/>
  <c r="E514" i="18" s="1"/>
  <c r="C519" i="18"/>
  <c r="C518" i="18"/>
  <c r="C520" i="18"/>
  <c r="P83" i="2"/>
  <c r="M83" i="2"/>
  <c r="D59" i="2"/>
  <c r="D61" i="2"/>
  <c r="J516" i="18"/>
  <c r="I22" i="9"/>
  <c r="D157" i="20"/>
  <c r="A157" i="20" s="1"/>
  <c r="E44" i="9"/>
  <c r="C7" i="9" s="1"/>
  <c r="D122" i="2" s="1"/>
  <c r="D16" i="2"/>
  <c r="C33" i="2"/>
  <c r="C6" i="9"/>
  <c r="I23" i="9"/>
  <c r="C8" i="29"/>
  <c r="D126" i="2"/>
  <c r="D159" i="2"/>
  <c r="E159" i="2" s="1"/>
  <c r="D193" i="2"/>
  <c r="D210" i="2" s="1"/>
  <c r="C156" i="2"/>
  <c r="C190" i="2"/>
  <c r="C123" i="2"/>
  <c r="C10" i="21"/>
  <c r="K22" i="9"/>
  <c r="K23" i="9"/>
  <c r="W40" i="20"/>
  <c r="AJ28" i="20"/>
  <c r="AH51" i="20" s="1"/>
  <c r="D116" i="22"/>
  <c r="D115" i="22"/>
  <c r="C117" i="22"/>
  <c r="C118" i="22" s="1"/>
  <c r="C7" i="22"/>
  <c r="E515" i="18" l="1"/>
  <c r="E516" i="18"/>
  <c r="C96" i="2"/>
  <c r="C79" i="2"/>
  <c r="K77" i="2" s="1"/>
  <c r="J517" i="18"/>
  <c r="J515" i="18"/>
  <c r="C11" i="2"/>
  <c r="D11" i="2" s="1"/>
  <c r="D155" i="2"/>
  <c r="J24" i="9"/>
  <c r="D189" i="2"/>
  <c r="E360" i="18"/>
  <c r="D360" i="18"/>
  <c r="E370" i="18"/>
  <c r="D33" i="2"/>
  <c r="C50" i="2"/>
  <c r="D50" i="2" s="1"/>
  <c r="D380" i="18"/>
  <c r="D370" i="18"/>
  <c r="E380" i="18"/>
  <c r="H8" i="28"/>
  <c r="O8" i="28" s="1"/>
  <c r="E126" i="2"/>
  <c r="D143" i="2"/>
  <c r="D176" i="2"/>
  <c r="D123" i="2"/>
  <c r="E123" i="2" s="1"/>
  <c r="D190" i="2"/>
  <c r="D204" i="2" s="1"/>
  <c r="D156" i="2"/>
  <c r="E193" i="2"/>
  <c r="C8" i="22"/>
  <c r="D117" i="22"/>
  <c r="E156" i="2" l="1"/>
  <c r="E295" i="2"/>
  <c r="E309" i="2" s="1"/>
  <c r="E323" i="2" s="1"/>
  <c r="D295" i="2"/>
  <c r="D309" i="2" s="1"/>
  <c r="D323" i="2" s="1"/>
  <c r="X173" i="2"/>
  <c r="K94" i="2"/>
  <c r="P94" i="2" s="1"/>
  <c r="D170" i="2"/>
  <c r="R170" i="2" s="1"/>
  <c r="P77" i="2"/>
  <c r="M77" i="2"/>
  <c r="C28" i="2"/>
  <c r="C45" i="2" s="1"/>
  <c r="D137" i="2"/>
  <c r="I8" i="28"/>
  <c r="J8" i="28" s="1"/>
  <c r="Q8" i="28" s="1"/>
  <c r="P8" i="28" s="1"/>
  <c r="E190" i="2"/>
  <c r="X174" i="2" l="1"/>
  <c r="M94" i="2"/>
  <c r="K59" i="2" s="1"/>
  <c r="D28" i="2"/>
  <c r="D45" i="2"/>
  <c r="C8" i="9"/>
  <c r="G109" i="8"/>
  <c r="G112" i="8" s="1"/>
  <c r="F112" i="8" l="1"/>
  <c r="C5" i="8" l="1"/>
  <c r="C63" i="2" s="1"/>
  <c r="D63" i="2" l="1"/>
  <c r="C10" i="8"/>
  <c r="C189" i="2"/>
  <c r="D206" i="2" s="1"/>
  <c r="C155" i="2"/>
  <c r="D293" i="2" s="1"/>
  <c r="D307" i="2" s="1"/>
  <c r="D321" i="2" s="1"/>
  <c r="C122" i="2"/>
  <c r="H10" i="28" s="1"/>
  <c r="I10" i="28" s="1"/>
  <c r="J10" i="28" s="1"/>
  <c r="C98" i="2" l="1"/>
  <c r="C81" i="2"/>
  <c r="K80" i="2" s="1"/>
  <c r="C13" i="2"/>
  <c r="D362" i="18"/>
  <c r="E382" i="18"/>
  <c r="E372" i="18"/>
  <c r="D372" i="18"/>
  <c r="E362" i="18"/>
  <c r="D382" i="18"/>
  <c r="D139" i="2"/>
  <c r="E122" i="2"/>
  <c r="D172" i="2"/>
  <c r="R172" i="2" s="1"/>
  <c r="E155" i="2"/>
  <c r="E293" i="2" s="1"/>
  <c r="E307" i="2" s="1"/>
  <c r="E321" i="2" s="1"/>
  <c r="E189" i="2"/>
  <c r="C158" i="20"/>
  <c r="C117" i="20"/>
  <c r="I117" i="20" s="1"/>
  <c r="J22" i="20"/>
  <c r="P22" i="20" s="1"/>
  <c r="X169" i="2" l="1"/>
  <c r="K97" i="2"/>
  <c r="M97" i="2" s="1"/>
  <c r="P80" i="2"/>
  <c r="M80" i="2"/>
  <c r="D158" i="20"/>
  <c r="A158" i="20" s="1"/>
  <c r="C30" i="2"/>
  <c r="D13" i="2"/>
  <c r="J40" i="20"/>
  <c r="K41" i="20" s="1"/>
  <c r="I118" i="20"/>
  <c r="C118" i="20"/>
  <c r="V22" i="20"/>
  <c r="V40" i="20" s="1"/>
  <c r="W41" i="20" s="1"/>
  <c r="G8" i="20" s="1"/>
  <c r="P40" i="20"/>
  <c r="C6" i="20"/>
  <c r="Q41" i="20" l="1"/>
  <c r="E8" i="20" s="1"/>
  <c r="C169" i="20"/>
  <c r="P97" i="2"/>
  <c r="K62" i="2"/>
  <c r="D30" i="2"/>
  <c r="C47" i="2"/>
  <c r="D47" i="2" s="1"/>
  <c r="C8" i="20"/>
  <c r="C159" i="20"/>
  <c r="D185" i="2"/>
  <c r="D202" i="2" s="1"/>
  <c r="D159" i="20" l="1"/>
  <c r="A159" i="20" s="1"/>
  <c r="C9" i="20"/>
  <c r="D118" i="2"/>
  <c r="D135" i="2" s="1"/>
  <c r="E9" i="20"/>
  <c r="D151" i="2"/>
  <c r="G9" i="20"/>
  <c r="C160" i="20"/>
  <c r="D168" i="2" l="1"/>
  <c r="R168" i="2" s="1"/>
  <c r="D296" i="2"/>
  <c r="D310" i="2" s="1"/>
  <c r="D324" i="2" s="1"/>
  <c r="E151" i="2"/>
  <c r="E296" i="2" s="1"/>
  <c r="E310" i="2" s="1"/>
  <c r="E324" i="2" s="1"/>
  <c r="E118" i="2"/>
  <c r="E185" i="2"/>
  <c r="X176" i="2" l="1"/>
  <c r="F53" i="3"/>
  <c r="E116" i="4" s="1"/>
  <c r="E118" i="4" s="1"/>
  <c r="D29" i="6" s="1"/>
  <c r="H49" i="3"/>
  <c r="H52" i="3" s="1"/>
  <c r="C99" i="6" l="1"/>
  <c r="C155" i="6"/>
  <c r="C166" i="6" s="1"/>
  <c r="E29" i="6" s="1"/>
  <c r="D30" i="6"/>
  <c r="I21" i="6" s="1"/>
  <c r="H53" i="3"/>
  <c r="H56" i="3" s="1"/>
  <c r="C59" i="3" s="1"/>
  <c r="C5" i="3" s="1"/>
  <c r="C10" i="3" l="1"/>
  <c r="C6" i="6"/>
  <c r="C65" i="2" s="1"/>
  <c r="C103" i="6"/>
  <c r="C104" i="6"/>
  <c r="C107" i="6"/>
  <c r="C105" i="6"/>
  <c r="C106" i="6"/>
  <c r="D65" i="2" l="1"/>
  <c r="C157" i="2"/>
  <c r="C124" i="2"/>
  <c r="C191" i="2"/>
  <c r="C130" i="6"/>
  <c r="C126" i="6"/>
  <c r="C83" i="2" l="1"/>
  <c r="K81" i="2" s="1"/>
  <c r="C100" i="2"/>
  <c r="C15" i="2"/>
  <c r="C32" i="2" s="1"/>
  <c r="E384" i="18"/>
  <c r="D374" i="18"/>
  <c r="E364" i="18"/>
  <c r="E374" i="18"/>
  <c r="D364" i="18"/>
  <c r="D384" i="18"/>
  <c r="I13" i="28"/>
  <c r="C134" i="6"/>
  <c r="C139" i="6" s="1"/>
  <c r="E24" i="6" s="1"/>
  <c r="K98" i="2" l="1"/>
  <c r="M98" i="2" s="1"/>
  <c r="M81" i="2"/>
  <c r="P81" i="2"/>
  <c r="D15" i="2"/>
  <c r="D32" i="2"/>
  <c r="C49" i="2"/>
  <c r="D49" i="2" s="1"/>
  <c r="J13" i="28"/>
  <c r="C141" i="6"/>
  <c r="E26" i="6" s="1"/>
  <c r="C140" i="6"/>
  <c r="E25" i="6" s="1"/>
  <c r="C142" i="6"/>
  <c r="E27" i="6" s="1"/>
  <c r="C143" i="6"/>
  <c r="E28" i="6" s="1"/>
  <c r="P98" i="2" l="1"/>
  <c r="K63" i="2"/>
  <c r="I22" i="6"/>
  <c r="J22" i="6" s="1"/>
  <c r="I23" i="6"/>
  <c r="J23" i="6" s="1"/>
  <c r="I24" i="6"/>
  <c r="J24" i="6" s="1"/>
  <c r="E30" i="6"/>
  <c r="I25" i="6" s="1"/>
  <c r="H22" i="6" l="1"/>
  <c r="H23" i="6" s="1"/>
  <c r="H24" i="6" s="1"/>
  <c r="C7" i="6"/>
  <c r="D191" i="2" l="1"/>
  <c r="D207" i="2" s="1"/>
  <c r="D157" i="2"/>
  <c r="D292" i="2" s="1"/>
  <c r="D306" i="2" s="1"/>
  <c r="D124" i="2"/>
  <c r="C8" i="6"/>
  <c r="E157" i="2" l="1"/>
  <c r="E292" i="2" s="1"/>
  <c r="E306" i="2" s="1"/>
  <c r="D173" i="2"/>
  <c r="E124" i="2"/>
  <c r="D140" i="2"/>
  <c r="E191" i="2"/>
  <c r="X170" i="2" l="1"/>
  <c r="C58" i="12"/>
  <c r="C5" i="12" s="1"/>
  <c r="C334" i="12" l="1"/>
  <c r="C62" i="2"/>
  <c r="C186" i="2"/>
  <c r="C10" i="12"/>
  <c r="C119" i="2"/>
  <c r="H9" i="28" s="1"/>
  <c r="I9" i="28" s="1"/>
  <c r="C6" i="27"/>
  <c r="C8" i="27" s="1"/>
  <c r="C152" i="2"/>
  <c r="D62" i="2" l="1"/>
  <c r="C68" i="2"/>
  <c r="E62" i="2" s="1"/>
  <c r="C337" i="12"/>
  <c r="D334" i="12" s="1"/>
  <c r="C12" i="2"/>
  <c r="D361" i="18"/>
  <c r="D381" i="18"/>
  <c r="E361" i="18"/>
  <c r="E371" i="18"/>
  <c r="D371" i="18"/>
  <c r="E381" i="18"/>
  <c r="D119" i="2"/>
  <c r="J9" i="28"/>
  <c r="D336" i="12" l="1"/>
  <c r="D335" i="12"/>
  <c r="E64" i="2"/>
  <c r="E61" i="2"/>
  <c r="E63" i="2"/>
  <c r="D68" i="2"/>
  <c r="E65" i="2"/>
  <c r="E60" i="2"/>
  <c r="E59" i="2"/>
  <c r="E68" i="2"/>
  <c r="E67" i="2"/>
  <c r="E66" i="2"/>
  <c r="C97" i="2"/>
  <c r="C80" i="2"/>
  <c r="K79" i="2" s="1"/>
  <c r="D12" i="2"/>
  <c r="C29" i="2"/>
  <c r="D186" i="2"/>
  <c r="D152" i="2"/>
  <c r="D291" i="2" s="1"/>
  <c r="D305" i="2" s="1"/>
  <c r="D319" i="2" s="1"/>
  <c r="C8" i="30"/>
  <c r="M79" i="2" l="1"/>
  <c r="P79" i="2"/>
  <c r="K84" i="2"/>
  <c r="C103" i="2"/>
  <c r="K96" i="2"/>
  <c r="C46" i="2"/>
  <c r="D46" i="2" s="1"/>
  <c r="D29" i="2"/>
  <c r="D171" i="2"/>
  <c r="R171" i="2" s="1"/>
  <c r="E152" i="2"/>
  <c r="E291" i="2" s="1"/>
  <c r="E305" i="2" s="1"/>
  <c r="E319" i="2" s="1"/>
  <c r="E119" i="2"/>
  <c r="D138" i="2"/>
  <c r="E186" i="2"/>
  <c r="D205" i="2"/>
  <c r="C121" i="2"/>
  <c r="C154" i="2"/>
  <c r="C188" i="2"/>
  <c r="X168" i="2" l="1"/>
  <c r="P96" i="2"/>
  <c r="M96" i="2"/>
  <c r="K61" i="2" s="1"/>
  <c r="P84" i="2"/>
  <c r="C368" i="16"/>
  <c r="M84" i="2"/>
  <c r="N79" i="2" s="1"/>
  <c r="E449" i="18"/>
  <c r="D449" i="18"/>
  <c r="C14" i="2"/>
  <c r="D14" i="2" s="1"/>
  <c r="D492" i="18"/>
  <c r="E383" i="18"/>
  <c r="E387" i="18" s="1"/>
  <c r="D383" i="18"/>
  <c r="D387" i="18" s="1"/>
  <c r="E373" i="18"/>
  <c r="E377" i="18" s="1"/>
  <c r="D373" i="18"/>
  <c r="D377" i="18" s="1"/>
  <c r="D363" i="18"/>
  <c r="D367" i="18" s="1"/>
  <c r="E363" i="18"/>
  <c r="E367" i="18" s="1"/>
  <c r="K100" i="2"/>
  <c r="P100" i="2" s="1"/>
  <c r="C160" i="2"/>
  <c r="D167" i="2" s="1"/>
  <c r="C194" i="2"/>
  <c r="D201" i="2" s="1"/>
  <c r="D154" i="2"/>
  <c r="D188" i="2"/>
  <c r="D121" i="2"/>
  <c r="C127" i="2"/>
  <c r="H11" i="28"/>
  <c r="D290" i="2" l="1"/>
  <c r="R167" i="2"/>
  <c r="R178" i="2" s="1"/>
  <c r="T178" i="2" s="1"/>
  <c r="D208" i="2"/>
  <c r="E294" i="2"/>
  <c r="E308" i="2" s="1"/>
  <c r="D304" i="2"/>
  <c r="C291" i="2"/>
  <c r="D294" i="2"/>
  <c r="D308" i="2" s="1"/>
  <c r="N78" i="2"/>
  <c r="N83" i="2"/>
  <c r="N77" i="2"/>
  <c r="N80" i="2"/>
  <c r="N81" i="2"/>
  <c r="N82" i="2"/>
  <c r="C31" i="2"/>
  <c r="D31" i="2" s="1"/>
  <c r="C224" i="2"/>
  <c r="D134" i="2"/>
  <c r="C223" i="2"/>
  <c r="C202" i="2"/>
  <c r="C203" i="2" s="1"/>
  <c r="C204" i="2" s="1"/>
  <c r="C205" i="2" s="1"/>
  <c r="C206" i="2" s="1"/>
  <c r="C207" i="2" s="1"/>
  <c r="C208" i="2" s="1"/>
  <c r="C209" i="2" s="1"/>
  <c r="C210" i="2" s="1"/>
  <c r="C225" i="2"/>
  <c r="M100" i="2"/>
  <c r="K65" i="2" s="1"/>
  <c r="K101" i="2"/>
  <c r="C18" i="2"/>
  <c r="D18" i="2" s="1"/>
  <c r="C86" i="2"/>
  <c r="G77" i="2" s="1"/>
  <c r="D52" i="2"/>
  <c r="F45" i="2" s="1"/>
  <c r="G377" i="18"/>
  <c r="D391" i="18" s="1"/>
  <c r="G367" i="18"/>
  <c r="C391" i="18" s="1"/>
  <c r="G387" i="18"/>
  <c r="E391" i="18" s="1"/>
  <c r="G94" i="2"/>
  <c r="G95" i="2" s="1"/>
  <c r="H14" i="28"/>
  <c r="I11" i="28"/>
  <c r="D194" i="2"/>
  <c r="E188" i="2"/>
  <c r="D127" i="2"/>
  <c r="E121" i="2"/>
  <c r="D141" i="2"/>
  <c r="D160" i="2"/>
  <c r="E154" i="2"/>
  <c r="D174" i="2"/>
  <c r="D313" i="2" l="1"/>
  <c r="D318" i="2"/>
  <c r="C292" i="2"/>
  <c r="C305" i="2"/>
  <c r="C319" i="2" s="1"/>
  <c r="X171" i="2"/>
  <c r="G226" i="2"/>
  <c r="O226" i="2"/>
  <c r="H226" i="2"/>
  <c r="P226" i="2"/>
  <c r="I226" i="2"/>
  <c r="Q226" i="2"/>
  <c r="Q225" i="2" s="1"/>
  <c r="J226" i="2"/>
  <c r="C226" i="2"/>
  <c r="K226" i="2"/>
  <c r="D226" i="2"/>
  <c r="L226" i="2"/>
  <c r="E226" i="2"/>
  <c r="M226" i="2"/>
  <c r="F226" i="2"/>
  <c r="N226" i="2"/>
  <c r="C135" i="2"/>
  <c r="C136" i="2" s="1"/>
  <c r="C137" i="2" s="1"/>
  <c r="C138" i="2" s="1"/>
  <c r="C139" i="2" s="1"/>
  <c r="C140" i="2" s="1"/>
  <c r="C141" i="2" s="1"/>
  <c r="C142" i="2" s="1"/>
  <c r="C143" i="2" s="1"/>
  <c r="N84" i="2"/>
  <c r="L10" i="2"/>
  <c r="K10" i="2"/>
  <c r="J10" i="2"/>
  <c r="L515" i="18"/>
  <c r="P514" i="18" s="1"/>
  <c r="G78" i="2"/>
  <c r="H78" i="2"/>
  <c r="C369" i="16"/>
  <c r="P101" i="2"/>
  <c r="G59" i="2"/>
  <c r="E48" i="2"/>
  <c r="J46" i="2" s="1"/>
  <c r="E44" i="2"/>
  <c r="J44" i="2" s="1"/>
  <c r="G43" i="2"/>
  <c r="L43" i="2" s="1"/>
  <c r="F43" i="2"/>
  <c r="K43" i="2" s="1"/>
  <c r="E43" i="2"/>
  <c r="J43" i="2" s="1"/>
  <c r="G10" i="2"/>
  <c r="E10" i="2"/>
  <c r="F10" i="2"/>
  <c r="K11" i="2"/>
  <c r="J11" i="2"/>
  <c r="E11" i="2"/>
  <c r="F11" i="2"/>
  <c r="L11" i="2"/>
  <c r="G11" i="2"/>
  <c r="C35" i="2"/>
  <c r="C449" i="18" s="1"/>
  <c r="C48" i="2"/>
  <c r="C52" i="2" s="1"/>
  <c r="E16" i="2"/>
  <c r="C168" i="2"/>
  <c r="Q168" i="2" s="1"/>
  <c r="E14" i="2"/>
  <c r="J14" i="2" s="1"/>
  <c r="E15" i="2"/>
  <c r="J15" i="2" s="1"/>
  <c r="E12" i="2"/>
  <c r="J12" i="2" s="1"/>
  <c r="E17" i="2"/>
  <c r="E13" i="2"/>
  <c r="J13" i="2" s="1"/>
  <c r="D35" i="2"/>
  <c r="E26" i="2" s="1"/>
  <c r="L26" i="2" s="1"/>
  <c r="D211" i="2"/>
  <c r="D144" i="2"/>
  <c r="D145" i="2" s="1"/>
  <c r="E160" i="2"/>
  <c r="R224" i="2" s="1"/>
  <c r="Q224" i="2"/>
  <c r="M101" i="2"/>
  <c r="E194" i="2"/>
  <c r="R225" i="2" s="1"/>
  <c r="E127" i="2"/>
  <c r="R223" i="2" s="1"/>
  <c r="Q223" i="2"/>
  <c r="D223" i="2" s="1"/>
  <c r="H95" i="2"/>
  <c r="D82" i="2"/>
  <c r="D100" i="2"/>
  <c r="D101" i="2"/>
  <c r="D102" i="2"/>
  <c r="D97" i="2"/>
  <c r="D98" i="2"/>
  <c r="D94" i="2"/>
  <c r="D95" i="2"/>
  <c r="D96" i="2"/>
  <c r="D99" i="2"/>
  <c r="E49" i="2"/>
  <c r="E50" i="2"/>
  <c r="E51" i="2"/>
  <c r="K45" i="2"/>
  <c r="E46" i="2"/>
  <c r="J47" i="2" s="1"/>
  <c r="E47" i="2"/>
  <c r="J48" i="2" s="1"/>
  <c r="D85" i="2"/>
  <c r="D83" i="2"/>
  <c r="D84" i="2"/>
  <c r="D78" i="2"/>
  <c r="D80" i="2"/>
  <c r="D77" i="2"/>
  <c r="D79" i="2"/>
  <c r="D81" i="2"/>
  <c r="D177" i="2"/>
  <c r="X167" i="2"/>
  <c r="X178" i="2" s="1"/>
  <c r="I14" i="28"/>
  <c r="J14" i="28" s="1"/>
  <c r="J11" i="28"/>
  <c r="E313" i="2" l="1"/>
  <c r="E326" i="2" s="1"/>
  <c r="D326" i="2"/>
  <c r="C293" i="2"/>
  <c r="C306" i="2"/>
  <c r="C320" i="2" s="1"/>
  <c r="D178" i="2"/>
  <c r="D297" i="2"/>
  <c r="R226" i="2"/>
  <c r="P517" i="18"/>
  <c r="R517" i="18" s="1"/>
  <c r="P515" i="18"/>
  <c r="P516" i="18"/>
  <c r="L517" i="18"/>
  <c r="Y168" i="2"/>
  <c r="Y170" i="2"/>
  <c r="Y175" i="2"/>
  <c r="Y172" i="2"/>
  <c r="Y173" i="2"/>
  <c r="Y174" i="2"/>
  <c r="Y169" i="2"/>
  <c r="Y176" i="2"/>
  <c r="Y171" i="2"/>
  <c r="N100" i="2"/>
  <c r="K66" i="2"/>
  <c r="D369" i="16"/>
  <c r="D368" i="16"/>
  <c r="G60" i="2"/>
  <c r="H60" i="2"/>
  <c r="F177" i="2"/>
  <c r="F144" i="2"/>
  <c r="F211" i="2"/>
  <c r="C446" i="18"/>
  <c r="D446" i="18"/>
  <c r="J49" i="2"/>
  <c r="E52" i="2"/>
  <c r="G28" i="2"/>
  <c r="K28" i="2" s="1"/>
  <c r="F28" i="2"/>
  <c r="J28" i="2" s="1"/>
  <c r="E28" i="2"/>
  <c r="L28" i="2" s="1"/>
  <c r="F27" i="2"/>
  <c r="J27" i="2" s="1"/>
  <c r="E27" i="2"/>
  <c r="L27" i="2" s="1"/>
  <c r="G27" i="2"/>
  <c r="K27" i="2" s="1"/>
  <c r="G26" i="2"/>
  <c r="K26" i="2" s="1"/>
  <c r="F26" i="2"/>
  <c r="J26" i="2" s="1"/>
  <c r="E31" i="2"/>
  <c r="J31" i="2" s="1"/>
  <c r="E34" i="2"/>
  <c r="E33" i="2"/>
  <c r="E30" i="2"/>
  <c r="J30" i="2" s="1"/>
  <c r="E32" i="2"/>
  <c r="J32" i="2" s="1"/>
  <c r="E29" i="2"/>
  <c r="J29" i="2" s="1"/>
  <c r="J16" i="2"/>
  <c r="C169" i="2"/>
  <c r="Q169" i="2" s="1"/>
  <c r="I225" i="2"/>
  <c r="D225" i="2"/>
  <c r="J225" i="2"/>
  <c r="K225" i="2"/>
  <c r="L225" i="2"/>
  <c r="E225" i="2"/>
  <c r="M225" i="2"/>
  <c r="F225" i="2"/>
  <c r="N225" i="2"/>
  <c r="G225" i="2"/>
  <c r="O225" i="2"/>
  <c r="H225" i="2"/>
  <c r="P225" i="2"/>
  <c r="J223" i="2"/>
  <c r="K223" i="2"/>
  <c r="E223" i="2"/>
  <c r="L223" i="2"/>
  <c r="M223" i="2"/>
  <c r="F223" i="2"/>
  <c r="N223" i="2"/>
  <c r="G223" i="2"/>
  <c r="O223" i="2"/>
  <c r="H223" i="2"/>
  <c r="P223" i="2"/>
  <c r="I223" i="2"/>
  <c r="E224" i="2"/>
  <c r="M224" i="2"/>
  <c r="N224" i="2"/>
  <c r="D224" i="2"/>
  <c r="O224" i="2"/>
  <c r="P224" i="2"/>
  <c r="F224" i="2"/>
  <c r="G224" i="2"/>
  <c r="H224" i="2"/>
  <c r="I224" i="2"/>
  <c r="J224" i="2"/>
  <c r="K224" i="2"/>
  <c r="L224" i="2"/>
  <c r="N95" i="2"/>
  <c r="N99" i="2"/>
  <c r="N94" i="2"/>
  <c r="N97" i="2"/>
  <c r="N98" i="2"/>
  <c r="N96" i="2"/>
  <c r="D103" i="2"/>
  <c r="D86" i="2"/>
  <c r="I15" i="28"/>
  <c r="W168" i="2"/>
  <c r="W169" i="2" s="1"/>
  <c r="W170" i="2" s="1"/>
  <c r="W171" i="2" s="1"/>
  <c r="W172" i="2" s="1"/>
  <c r="W173" i="2" s="1"/>
  <c r="W174" i="2" s="1"/>
  <c r="W175" i="2" s="1"/>
  <c r="W176" i="2" s="1"/>
  <c r="Z178" i="2"/>
  <c r="E297" i="2" l="1"/>
  <c r="E311" i="2" s="1"/>
  <c r="D311" i="2"/>
  <c r="C294" i="2"/>
  <c r="C307" i="2"/>
  <c r="C321" i="2" s="1"/>
  <c r="X96" i="2"/>
  <c r="X94" i="2"/>
  <c r="X95" i="2"/>
  <c r="R515" i="18"/>
  <c r="R516" i="18"/>
  <c r="U516" i="18"/>
  <c r="U514" i="18"/>
  <c r="U517" i="18"/>
  <c r="W517" i="18" s="1"/>
  <c r="U515" i="18"/>
  <c r="R514" i="18"/>
  <c r="L64" i="2"/>
  <c r="L63" i="2"/>
  <c r="L65" i="2"/>
  <c r="L66" i="2"/>
  <c r="L60" i="2"/>
  <c r="L59" i="2"/>
  <c r="L62" i="2"/>
  <c r="L61" i="2"/>
  <c r="J33" i="2"/>
  <c r="E35" i="2"/>
  <c r="C170" i="2"/>
  <c r="Q170" i="2" s="1"/>
  <c r="E446" i="18"/>
  <c r="N101" i="2"/>
  <c r="C295" i="2" l="1"/>
  <c r="C308" i="2"/>
  <c r="C322" i="2" s="1"/>
  <c r="U519" i="18"/>
  <c r="U518" i="18"/>
  <c r="U520" i="18"/>
  <c r="W515" i="18"/>
  <c r="W514" i="18"/>
  <c r="W516" i="18"/>
  <c r="C171" i="2"/>
  <c r="Q171" i="2" s="1"/>
  <c r="C296" i="2" l="1"/>
  <c r="C310" i="2" s="1"/>
  <c r="C324" i="2" s="1"/>
  <c r="C309" i="2"/>
  <c r="C323" i="2" s="1"/>
  <c r="C172" i="2"/>
  <c r="Q172" i="2" s="1"/>
  <c r="D312" i="2" l="1"/>
  <c r="C173" i="2"/>
  <c r="Q173" i="2" s="1"/>
  <c r="C312" i="2" l="1"/>
  <c r="C325" i="2" s="1"/>
  <c r="D325" i="2"/>
  <c r="C174" i="2"/>
  <c r="Q174" i="2" s="1"/>
  <c r="C175" i="2" l="1"/>
  <c r="Q175" i="2" s="1"/>
  <c r="C176" i="2" l="1"/>
  <c r="Q176" i="2" s="1"/>
  <c r="R177" i="2" s="1"/>
  <c r="Q177" i="2" s="1"/>
  <c r="X177" i="2" l="1"/>
  <c r="W177" i="2" s="1"/>
  <c r="C332" i="18"/>
  <c r="O9" i="28"/>
  <c r="P9" i="28" s="1"/>
  <c r="D309" i="12"/>
  <c r="D164" i="27" s="1"/>
  <c r="Y177" i="2" l="1"/>
  <c r="D312" i="12"/>
  <c r="D167" i="27" s="1"/>
  <c r="D296" i="12"/>
  <c r="D151" i="27" s="1"/>
  <c r="D299" i="12"/>
  <c r="D154" i="27" s="1"/>
  <c r="E295" i="12"/>
  <c r="E150" i="27" s="1"/>
  <c r="E299" i="12" l="1"/>
  <c r="E154" i="27" s="1"/>
  <c r="E309" i="12"/>
  <c r="E164" i="27" s="1"/>
  <c r="E296" i="12"/>
  <c r="E151" i="27" s="1"/>
  <c r="F295" i="12"/>
  <c r="F150" i="27" s="1"/>
  <c r="E312" i="12" l="1"/>
  <c r="E167" i="27" s="1"/>
  <c r="F299" i="12"/>
  <c r="F154" i="27" s="1"/>
  <c r="F309" i="12"/>
  <c r="F164" i="27" s="1"/>
  <c r="G295" i="12"/>
  <c r="G150" i="27" s="1"/>
  <c r="F296" i="12"/>
  <c r="F151" i="27" s="1"/>
  <c r="G309" i="12" l="1"/>
  <c r="G164" i="27" s="1"/>
  <c r="F312" i="12"/>
  <c r="F167" i="27" s="1"/>
  <c r="H295" i="12"/>
  <c r="H150" i="27" s="1"/>
  <c r="G299" i="12"/>
  <c r="G154" i="27" s="1"/>
  <c r="G296" i="12"/>
  <c r="G151" i="27" s="1"/>
  <c r="H309" i="12" l="1"/>
  <c r="H164" i="27" s="1"/>
  <c r="G312" i="12"/>
  <c r="G167" i="27" s="1"/>
  <c r="H296" i="12"/>
  <c r="H151" i="27" s="1"/>
  <c r="H299" i="12"/>
  <c r="H154" i="27" s="1"/>
  <c r="I295" i="12"/>
  <c r="I150" i="27" s="1"/>
  <c r="H312" i="12" l="1"/>
  <c r="H167" i="27" s="1"/>
  <c r="I299" i="12"/>
  <c r="I154" i="27" s="1"/>
  <c r="I309" i="12"/>
  <c r="I164" i="27" s="1"/>
  <c r="J295" i="12"/>
  <c r="J150" i="27" s="1"/>
  <c r="I296" i="12"/>
  <c r="I151" i="27" s="1"/>
  <c r="I312" i="12" l="1"/>
  <c r="I167" i="27" s="1"/>
  <c r="J299" i="12"/>
  <c r="J154" i="27" s="1"/>
  <c r="J309" i="12"/>
  <c r="J164" i="27" s="1"/>
  <c r="K295" i="12"/>
  <c r="K150" i="27" s="1"/>
  <c r="J296" i="12"/>
  <c r="J151" i="27" s="1"/>
  <c r="J312" i="12" l="1"/>
  <c r="J167" i="27" s="1"/>
  <c r="K299" i="12"/>
  <c r="K154" i="27" s="1"/>
  <c r="K309" i="12"/>
  <c r="K164" i="27" s="1"/>
  <c r="L295" i="12"/>
  <c r="L150" i="27" s="1"/>
  <c r="K296" i="12"/>
  <c r="K151" i="27" s="1"/>
  <c r="K312" i="12" l="1"/>
  <c r="K167" i="27" s="1"/>
  <c r="L299" i="12"/>
  <c r="L154" i="27" s="1"/>
  <c r="L309" i="12"/>
  <c r="L164" i="27" s="1"/>
  <c r="M295" i="12"/>
  <c r="M150" i="27" s="1"/>
  <c r="L296" i="12"/>
  <c r="L151" i="27" s="1"/>
  <c r="L312" i="12" l="1"/>
  <c r="L167" i="27" s="1"/>
  <c r="M299" i="12"/>
  <c r="M154" i="27" s="1"/>
  <c r="M309" i="12"/>
  <c r="M164" i="27" s="1"/>
  <c r="N295" i="12"/>
  <c r="N150" i="27" s="1"/>
  <c r="M296" i="12"/>
  <c r="M151" i="27" s="1"/>
  <c r="M312" i="12" l="1"/>
  <c r="M167" i="27" s="1"/>
  <c r="N299" i="12"/>
  <c r="N154" i="27" s="1"/>
  <c r="N309" i="12"/>
  <c r="N164" i="27" s="1"/>
  <c r="O295" i="12"/>
  <c r="O150" i="27" s="1"/>
  <c r="N296" i="12"/>
  <c r="N151" i="27" s="1"/>
  <c r="N312" i="12" l="1"/>
  <c r="N167" i="27" s="1"/>
  <c r="O299" i="12"/>
  <c r="O154" i="27" s="1"/>
  <c r="O309" i="12"/>
  <c r="O164" i="27" s="1"/>
  <c r="P295" i="12"/>
  <c r="P150" i="27" s="1"/>
  <c r="O296" i="12"/>
  <c r="O151" i="27" s="1"/>
  <c r="O312" i="12" l="1"/>
  <c r="O167" i="27" s="1"/>
  <c r="P299" i="12"/>
  <c r="P154" i="27" s="1"/>
  <c r="P309" i="12"/>
  <c r="P164" i="27" s="1"/>
  <c r="Q295" i="12"/>
  <c r="Q150" i="27" s="1"/>
  <c r="P296" i="12"/>
  <c r="P151" i="27" s="1"/>
  <c r="P312" i="12" l="1"/>
  <c r="P167" i="27" s="1"/>
  <c r="Q299" i="12"/>
  <c r="Q154" i="27" s="1"/>
  <c r="Q309" i="12"/>
  <c r="Q164" i="27" s="1"/>
  <c r="R295" i="12"/>
  <c r="R150" i="27" s="1"/>
  <c r="Q296" i="12"/>
  <c r="Q151" i="27" s="1"/>
  <c r="Q312" i="12" l="1"/>
  <c r="Q167" i="27" s="1"/>
  <c r="R299" i="12"/>
  <c r="R154" i="27" s="1"/>
  <c r="R309" i="12"/>
  <c r="R164" i="27" s="1"/>
  <c r="S295" i="12"/>
  <c r="S150" i="27" s="1"/>
  <c r="R296" i="12"/>
  <c r="R151" i="27" s="1"/>
  <c r="R312" i="12" l="1"/>
  <c r="R167" i="27" s="1"/>
  <c r="S299" i="12"/>
  <c r="S154" i="27" s="1"/>
  <c r="S309" i="12"/>
  <c r="S164" i="27" s="1"/>
  <c r="T295" i="12"/>
  <c r="T150" i="27" s="1"/>
  <c r="S296" i="12"/>
  <c r="S151" i="27" s="1"/>
  <c r="S312" i="12" l="1"/>
  <c r="S167" i="27" s="1"/>
  <c r="T299" i="12"/>
  <c r="T154" i="27" s="1"/>
  <c r="T309" i="12"/>
  <c r="T164" i="27" s="1"/>
  <c r="U295" i="12"/>
  <c r="U150" i="27" s="1"/>
  <c r="T296" i="12"/>
  <c r="T151" i="27" s="1"/>
  <c r="T312" i="12" l="1"/>
  <c r="T167" i="27" s="1"/>
  <c r="U299" i="12"/>
  <c r="U154" i="27" s="1"/>
  <c r="U309" i="12"/>
  <c r="U164" i="27" s="1"/>
  <c r="V295" i="12"/>
  <c r="V150" i="27" s="1"/>
  <c r="U296" i="12"/>
  <c r="U151" i="27" s="1"/>
  <c r="U312" i="12" l="1"/>
  <c r="U167" i="27" s="1"/>
  <c r="V299" i="12"/>
  <c r="V154" i="27" s="1"/>
  <c r="V309" i="12"/>
  <c r="V164" i="27" s="1"/>
  <c r="W295" i="12"/>
  <c r="W150" i="27" s="1"/>
  <c r="V296" i="12"/>
  <c r="V151" i="27" s="1"/>
  <c r="V312" i="12" l="1"/>
  <c r="V167" i="27" s="1"/>
  <c r="W299" i="12"/>
  <c r="W154" i="27" s="1"/>
  <c r="W309" i="12"/>
  <c r="W164" i="27" s="1"/>
  <c r="X295" i="12"/>
  <c r="X150" i="27" s="1"/>
  <c r="W296" i="12"/>
  <c r="W151" i="27" s="1"/>
  <c r="W312" i="12" l="1"/>
  <c r="W167" i="27" s="1"/>
  <c r="X299" i="12"/>
  <c r="X154" i="27" s="1"/>
  <c r="X309" i="12"/>
  <c r="X164" i="27" s="1"/>
  <c r="Y295" i="12"/>
  <c r="Y150" i="27" s="1"/>
  <c r="X296" i="12"/>
  <c r="X151" i="27" s="1"/>
  <c r="X312" i="12" l="1"/>
  <c r="X167" i="27" s="1"/>
  <c r="Y299" i="12"/>
  <c r="Y154" i="27" s="1"/>
  <c r="Y309" i="12"/>
  <c r="Y164" i="27" s="1"/>
  <c r="Z295" i="12"/>
  <c r="Z150" i="27" s="1"/>
  <c r="Y296" i="12"/>
  <c r="Y151" i="27" s="1"/>
  <c r="Y312" i="12" l="1"/>
  <c r="Y167" i="27" s="1"/>
  <c r="Z299" i="12"/>
  <c r="Z154" i="27" s="1"/>
  <c r="Z309" i="12"/>
  <c r="Z164" i="27" s="1"/>
  <c r="AA295" i="12"/>
  <c r="AA150" i="27" s="1"/>
  <c r="Z296" i="12"/>
  <c r="Z151" i="27" s="1"/>
  <c r="Z312" i="12" l="1"/>
  <c r="Z167" i="27" s="1"/>
  <c r="AA299" i="12"/>
  <c r="AA154" i="27" s="1"/>
  <c r="AA309" i="12"/>
  <c r="AA164" i="27" s="1"/>
  <c r="AB295" i="12"/>
  <c r="AB150" i="27" s="1"/>
  <c r="AA296" i="12"/>
  <c r="AA151" i="27" s="1"/>
  <c r="AA312" i="12" l="1"/>
  <c r="AA167" i="27" s="1"/>
  <c r="AB299" i="12"/>
  <c r="AB154" i="27" s="1"/>
  <c r="AB309" i="12"/>
  <c r="AB164" i="27" s="1"/>
  <c r="AC295" i="12"/>
  <c r="AC150" i="27" s="1"/>
  <c r="AB296" i="12"/>
  <c r="AB151" i="27" s="1"/>
  <c r="AB312" i="12" l="1"/>
  <c r="AB167" i="27" s="1"/>
  <c r="AC299" i="12"/>
  <c r="AC154" i="27" s="1"/>
  <c r="AC309" i="12"/>
  <c r="AC164" i="27" s="1"/>
  <c r="AD295" i="12"/>
  <c r="AD150" i="27" s="1"/>
  <c r="AC296" i="12"/>
  <c r="AC151" i="27" s="1"/>
  <c r="AC312" i="12" l="1"/>
  <c r="AC167" i="27" s="1"/>
  <c r="AD309" i="12"/>
  <c r="AD164" i="27" s="1"/>
  <c r="AD296" i="12"/>
  <c r="AD151" i="27" s="1"/>
  <c r="AD299" i="12"/>
  <c r="AD154" i="27" s="1"/>
  <c r="AD312" i="12" l="1"/>
  <c r="AD167" i="27" s="1"/>
  <c r="K9" i="2" l="1"/>
  <c r="F9" i="2"/>
  <c r="E9" i="2"/>
  <c r="J9" i="2"/>
  <c r="G9" i="2"/>
  <c r="L9" i="2"/>
  <c r="E18" i="2" l="1"/>
  <c r="E551" i="18"/>
  <c r="I551" i="18"/>
  <c r="J548" i="18" l="1"/>
  <c r="J550" i="18"/>
  <c r="J549" i="18"/>
  <c r="J551" i="18"/>
  <c r="J547" i="18"/>
</calcChain>
</file>

<file path=xl/sharedStrings.xml><?xml version="1.0" encoding="utf-8"?>
<sst xmlns="http://schemas.openxmlformats.org/spreadsheetml/2006/main" count="6560" uniqueCount="2752">
  <si>
    <t>Commentaires</t>
  </si>
  <si>
    <t>Nombre de sportif mobilisé sur un match (pour une équipe) en moyenne :</t>
  </si>
  <si>
    <t xml:space="preserve">Rugby : 23 joueurs sur la feuille de match + 2 personnes (en cas de bessure)
Football : 16 joueurs sur la feuille de match + 2 personnes (en cas de blessure) </t>
  </si>
  <si>
    <t>Nombre de personne du staff mobilisé sur un match (pour une équipe) en moyenne :</t>
  </si>
  <si>
    <t>Football - Ligue 1 environ 30 personnes et Ligue 2 environ 15 personnes 
Rugby - TOP 14 environ 15 personnes et PRO D2 environ 10 personnes
Source : Guillaume Gouze (A4MT, CDES). Attention, ces chiffres peuvent fortement varier en fonction de l'équipe. Il s'agit d'estimation. Hypothèse de 20 personnes.</t>
  </si>
  <si>
    <t>Hypothèse du nombre moyen de téléspectateurs sur un match :</t>
  </si>
  <si>
    <t>Poste</t>
  </si>
  <si>
    <t>Part</t>
  </si>
  <si>
    <t>Alimentation et boisson</t>
  </si>
  <si>
    <t>Retransmission</t>
  </si>
  <si>
    <t>Énergie (chauffage, éclairage, etc.)</t>
  </si>
  <si>
    <t>Autres</t>
  </si>
  <si>
    <t>Déchets</t>
  </si>
  <si>
    <t>Total</t>
  </si>
  <si>
    <t>*Autres : sources mobiles de combustion, merchandising et nuitée des spectateurs extérieurs</t>
  </si>
  <si>
    <t>kgCO2e/match</t>
  </si>
  <si>
    <t>1. Sources fixes de combustion (gaz et fioul)</t>
  </si>
  <si>
    <t>Tableau de bord du poste</t>
  </si>
  <si>
    <t>Emissions totales du poste par an</t>
  </si>
  <si>
    <t>tCO2e/an</t>
  </si>
  <si>
    <t>Version</t>
  </si>
  <si>
    <t>Satisfaction</t>
  </si>
  <si>
    <t>Numéro de version</t>
  </si>
  <si>
    <t>v1</t>
  </si>
  <si>
    <t>tCO2e/match</t>
  </si>
  <si>
    <t>Carte d'identité de la version</t>
  </si>
  <si>
    <t>Hypothèses</t>
  </si>
  <si>
    <t>Données et sources</t>
  </si>
  <si>
    <t>Méthodologie</t>
  </si>
  <si>
    <t>Données manquantes</t>
  </si>
  <si>
    <t>Limites, pistes d'amélioration</t>
  </si>
  <si>
    <t>Entités du périmètre concernées</t>
  </si>
  <si>
    <t>Consommation énergétique de stades de football et de rugby. Pour l'empreinte carbone par match, nous prenons un stade moyen de 20 000 places et 17 matchs par an.</t>
  </si>
  <si>
    <t>Commentaires généraux</t>
  </si>
  <si>
    <t xml:space="preserve">Cette méthode ne permet pas une analyse exhaustive du stade étudié mais tend à représenter la consommation du stade "moyen" grâce à l'échantillon récolté. </t>
  </si>
  <si>
    <t>ANNEXE 1 : Mix énergétique - échantillon de stades en France</t>
  </si>
  <si>
    <t>Valeur</t>
  </si>
  <si>
    <t>Commentaire</t>
  </si>
  <si>
    <t>1) Base de données</t>
  </si>
  <si>
    <t xml:space="preserve">Cette base de données est issue de l'étude de la LFP et de l'UCPR. Elle permet d'obtenir des données de terrain sur la consommation énergétique et le mix énergétique de plusieurs stades. </t>
  </si>
  <si>
    <t>Nombre de matchs à domicile dans une saison :</t>
  </si>
  <si>
    <t>Stades</t>
  </si>
  <si>
    <t xml:space="preserve">Capacité max </t>
  </si>
  <si>
    <t>Fioul</t>
  </si>
  <si>
    <t>Electricité</t>
  </si>
  <si>
    <t>Gaz</t>
  </si>
  <si>
    <t>Chauffage urbain</t>
  </si>
  <si>
    <t>Conso fioul (en litres)</t>
  </si>
  <si>
    <t>Conso gaz (en kWh)</t>
  </si>
  <si>
    <t>Conso chauffage urbain (kWh)</t>
  </si>
  <si>
    <t>Stade 3</t>
  </si>
  <si>
    <t>Stade 5</t>
  </si>
  <si>
    <t>Stade 6</t>
  </si>
  <si>
    <t>Stade 8</t>
  </si>
  <si>
    <t>Stade 9</t>
  </si>
  <si>
    <t>Stade 10</t>
  </si>
  <si>
    <t>Stade 11</t>
  </si>
  <si>
    <t xml:space="preserve">Énergie consommée </t>
  </si>
  <si>
    <t>Consommation annuelle</t>
  </si>
  <si>
    <t>Unité</t>
  </si>
  <si>
    <t>Facteur d'émission</t>
  </si>
  <si>
    <t>Empreinte carbone</t>
  </si>
  <si>
    <t xml:space="preserve">Unité </t>
  </si>
  <si>
    <t>Stade 12</t>
  </si>
  <si>
    <t>Gaz naturel</t>
  </si>
  <si>
    <t>kWh</t>
  </si>
  <si>
    <t>kgCO2e/kWh</t>
  </si>
  <si>
    <t>kgCO2e</t>
  </si>
  <si>
    <t>Stade 13</t>
  </si>
  <si>
    <t>kg éq. CO2/litre</t>
  </si>
  <si>
    <t>Stade 16</t>
  </si>
  <si>
    <t>tCO2e</t>
  </si>
  <si>
    <t>Stade 18</t>
  </si>
  <si>
    <t>Stade 19</t>
  </si>
  <si>
    <t>Stade 20</t>
  </si>
  <si>
    <t>Stade 22</t>
  </si>
  <si>
    <t>Stade 23</t>
  </si>
  <si>
    <t>Stade 24</t>
  </si>
  <si>
    <t>Fioul (groupe électrogène)</t>
  </si>
  <si>
    <t>Stade 25</t>
  </si>
  <si>
    <t>Stade 26</t>
  </si>
  <si>
    <t>Stade 27</t>
  </si>
  <si>
    <t>Stade 28</t>
  </si>
  <si>
    <t>Stade 29</t>
  </si>
  <si>
    <t>Stade 30</t>
  </si>
  <si>
    <t>Stade 31</t>
  </si>
  <si>
    <t>Stade 32</t>
  </si>
  <si>
    <t>Stade 33</t>
  </si>
  <si>
    <t>Stade 35</t>
  </si>
  <si>
    <t>Stade 36</t>
  </si>
  <si>
    <t>Moyenne</t>
  </si>
  <si>
    <t>2) Consommation par énergie</t>
  </si>
  <si>
    <t xml:space="preserve">Sur la base du tableau précédent, nous pouvons estimer les consommations de fioul et de gaz par place dans un satde. </t>
  </si>
  <si>
    <t>a) Fioul</t>
  </si>
  <si>
    <t>b) Gaz</t>
  </si>
  <si>
    <t>c) Chauffage urbain</t>
  </si>
  <si>
    <t>Part des stades consommant du fioul sur l'échantillon :</t>
  </si>
  <si>
    <t>Part des stades consommant du gaz sur l'échantillon</t>
  </si>
  <si>
    <t>Part des stades consommant du chauffage urbain sur l'échantillon :</t>
  </si>
  <si>
    <t xml:space="preserve">Consommation de fuel moyen sur l'échantillon </t>
  </si>
  <si>
    <t>litres/place/an</t>
  </si>
  <si>
    <t xml:space="preserve">Consommation de gaz moyen sur l'échantillon </t>
  </si>
  <si>
    <t>kWh/place/an</t>
  </si>
  <si>
    <t xml:space="preserve">Consommation de chauffage urbain sur l'échantillon </t>
  </si>
  <si>
    <t>kWh/place.an</t>
  </si>
  <si>
    <t>Stade</t>
  </si>
  <si>
    <t>Capacité</t>
  </si>
  <si>
    <t xml:space="preserve">Nous en déduisons le résultat suivant </t>
  </si>
  <si>
    <t>Consommation de chauffage urbain moyen sur les stades consommant du chauffage urbain.</t>
  </si>
  <si>
    <t xml:space="preserve">Nous en déduison le résultat suivant </t>
  </si>
  <si>
    <t>Consommation de fuel moyen par places et par an sur les stades consommant du fioul.</t>
  </si>
  <si>
    <t>litres/places</t>
  </si>
  <si>
    <t xml:space="preserve">Ce qui donne le bilan suivant </t>
  </si>
  <si>
    <t>Consommation moyenne de fioul dans un stade</t>
  </si>
  <si>
    <t>litres fioul/an pour ses usages courants (chauffage etc.)</t>
  </si>
  <si>
    <t>litres fioul/an pour le ou les groupes électrogènes (Hypothèse 2).</t>
  </si>
  <si>
    <t xml:space="preserve">Intensité énergétique du fioul </t>
  </si>
  <si>
    <t>kWh/litre de fioul</t>
  </si>
  <si>
    <t>kWh pour les usages courants (chauffage, etc.)</t>
  </si>
  <si>
    <t>kWh pour les groupes électrogènes</t>
  </si>
  <si>
    <t>Consommation de gaz moyen sur les stades consommant du gaz.</t>
  </si>
  <si>
    <t xml:space="preserve">Consommation totale moyenne de fioul dans un stade </t>
  </si>
  <si>
    <t>kWh/an de fioul</t>
  </si>
  <si>
    <t>ANNEXE 2 : FE ADEME</t>
  </si>
  <si>
    <t>Élément</t>
  </si>
  <si>
    <t>Source</t>
  </si>
  <si>
    <t>Fioul domestique</t>
  </si>
  <si>
    <t>Base empreinte ADEME</t>
  </si>
  <si>
    <t>kgCO2e/kWh PCI</t>
  </si>
  <si>
    <t xml:space="preserve"> kgCO2e/kWh</t>
  </si>
  <si>
    <t>Electricité/2022 - mix moyen/consommation</t>
  </si>
  <si>
    <t>kg éq. CO2/kWh</t>
  </si>
  <si>
    <t>Base empreinte</t>
  </si>
  <si>
    <t>6. Consommation électricité</t>
  </si>
  <si>
    <t>ANNEXE 1 : Consommation d'électricité de stades en France</t>
  </si>
  <si>
    <t>Nom du stade</t>
  </si>
  <si>
    <t>Capacité maximale</t>
  </si>
  <si>
    <t>Consommation d'électricité sur une saison du stade en kWh</t>
  </si>
  <si>
    <t xml:space="preserve">Nombre de matchs à domicile dans une saison </t>
  </si>
  <si>
    <t>SF 30</t>
  </si>
  <si>
    <t>SF 3</t>
  </si>
  <si>
    <t>SF 11</t>
  </si>
  <si>
    <t>SF 5</t>
  </si>
  <si>
    <t>H1 : La consommation électrique du stade est déterminée par la fonction polynomiale obtenue grâce à l'échantillon (ANNEXE 1).</t>
  </si>
  <si>
    <t>SF 18</t>
  </si>
  <si>
    <t>SF 14</t>
  </si>
  <si>
    <t>Énergie consommée</t>
  </si>
  <si>
    <t>Valeurs</t>
  </si>
  <si>
    <t>FE</t>
  </si>
  <si>
    <t xml:space="preserve">Empreinte carbone </t>
  </si>
  <si>
    <t>Hypothèse</t>
  </si>
  <si>
    <t>SF 31</t>
  </si>
  <si>
    <t>Électricité</t>
  </si>
  <si>
    <t>SF 9</t>
  </si>
  <si>
    <t>SF 17</t>
  </si>
  <si>
    <t>SF 8</t>
  </si>
  <si>
    <t>SF 20</t>
  </si>
  <si>
    <t>SF 12</t>
  </si>
  <si>
    <t>SF 13</t>
  </si>
  <si>
    <t>SF 6</t>
  </si>
  <si>
    <t>SF 10</t>
  </si>
  <si>
    <t>SF 29</t>
  </si>
  <si>
    <t>SF 33</t>
  </si>
  <si>
    <t>SR 1</t>
  </si>
  <si>
    <t>SR 5</t>
  </si>
  <si>
    <t>SR 15</t>
  </si>
  <si>
    <t>SF 1</t>
  </si>
  <si>
    <t>SF 16</t>
  </si>
  <si>
    <t>1) Estimation par coefficient avec fonction exponentielle</t>
  </si>
  <si>
    <t>1bis) Estimation par coefficient avec fonction polynomiale</t>
  </si>
  <si>
    <t>SR 10</t>
  </si>
  <si>
    <t>SF 26</t>
  </si>
  <si>
    <t xml:space="preserve">Pour une capacité max de </t>
  </si>
  <si>
    <t xml:space="preserve">places, la consommation d'électricité estimée est de </t>
  </si>
  <si>
    <t>kWh.</t>
  </si>
  <si>
    <t>SF 36</t>
  </si>
  <si>
    <t>SF 25</t>
  </si>
  <si>
    <t>SR 4</t>
  </si>
  <si>
    <t>SF 24</t>
  </si>
  <si>
    <t>SF 32</t>
  </si>
  <si>
    <t>SR 11</t>
  </si>
  <si>
    <t>SR 8</t>
  </si>
  <si>
    <t>SR 9</t>
  </si>
  <si>
    <t>SR 14</t>
  </si>
  <si>
    <t>SF 22</t>
  </si>
  <si>
    <t>SF 7</t>
  </si>
  <si>
    <t>SR 12</t>
  </si>
  <si>
    <t>SF 27</t>
  </si>
  <si>
    <t>SF 35</t>
  </si>
  <si>
    <t>ANNEXE 3 : Résumé et graphiques</t>
  </si>
  <si>
    <t>1) Mix énergétique et émissions de GES de la consommation d'énergie directe et indirecte</t>
  </si>
  <si>
    <t>Catégories</t>
  </si>
  <si>
    <t>Part du mix</t>
  </si>
  <si>
    <t>Emissions (tCO2e)</t>
  </si>
  <si>
    <t xml:space="preserve">Part des émissions </t>
  </si>
  <si>
    <t>Électricité (éclairage, luminothérapie, etc.)</t>
  </si>
  <si>
    <t>Gaz (chauffage, ECS, etc.)</t>
  </si>
  <si>
    <t>Fioul (chauffage, ECS, etc.)</t>
  </si>
  <si>
    <t>TOTAL</t>
  </si>
  <si>
    <t>Titre : Mix énergétique moyen des stades de football et rugby professionnels en France</t>
  </si>
  <si>
    <t>Titre : Part des émissions de GES moyennes de la consommation d'énergie des stades de football et rugby professionnels en France</t>
  </si>
  <si>
    <t xml:space="preserve">2) Ordre de grandeur de la consommation éléctrique : </t>
  </si>
  <si>
    <t xml:space="preserve">Consommation électrique par jour de match </t>
  </si>
  <si>
    <t xml:space="preserve">kWh/jour de match </t>
  </si>
  <si>
    <t>Consommation électrique moyenne annuelle par personne</t>
  </si>
  <si>
    <t>kWh/an</t>
  </si>
  <si>
    <t>source : Engie</t>
  </si>
  <si>
    <t xml:space="preserve">Équivalent de la consommation électrique d'un stade par rapport à la consommation annuelle individuelle </t>
  </si>
  <si>
    <t>personnes</t>
  </si>
  <si>
    <t>3) Signature énergétique d'une enceinte sportive avec usages</t>
  </si>
  <si>
    <t xml:space="preserve">Malheureusement, nous n'avons pour le moment pas été en mesure de récupérer les données de bases qui ont permis d'obtenir ce graphique. </t>
  </si>
  <si>
    <t xml:space="preserve">Aussi, si ce graphique permet de se rendre compte de la différence de consommation d'énergie entre un jour avec ou sans match, il ne nous permet toujours pas d'avoir une analyse par usage de la consommation énergétique des stades </t>
  </si>
  <si>
    <t>7. Consommation de vapeur, chaleur ou froid (dont réseaux de chaleur)</t>
  </si>
  <si>
    <t>- Échantillon de 27 stades, relativement faible pour avoir des estimations robustes.
- Les données sur les consommations énergétiques ne sont pas desagrégées pas usage. Or pour ensuite quantifier le potentiel de décarbonation de ce poste d'émissions, il serait préférable d'avoir ce niveau de détail</t>
  </si>
  <si>
    <t>LEVIERS : ÉMISSIONS DIRECTES ET INDIRECTES D'ÉNERGIE</t>
  </si>
  <si>
    <t xml:space="preserve">Tableau de bord du poste </t>
  </si>
  <si>
    <t>Emissions totales du poste avant transformation</t>
  </si>
  <si>
    <t>Emissions totales du poste après transformation</t>
  </si>
  <si>
    <t>Pourcentage de réduction</t>
  </si>
  <si>
    <t>I) Equation de Kaya liée au poste d'émissions</t>
  </si>
  <si>
    <t>=</t>
  </si>
  <si>
    <t xml:space="preserve">Intensité carbone de l’énergie                </t>
  </si>
  <si>
    <t>X</t>
  </si>
  <si>
    <t xml:space="preserve">Répartition par vecteur énergétique                </t>
  </si>
  <si>
    <t xml:space="preserve">Volumes consommés </t>
  </si>
  <si>
    <t>II) Évolution des émissions</t>
  </si>
  <si>
    <t>Décomposition par paramètre de l'équation de Kaya entre 2022 et 2050</t>
  </si>
  <si>
    <t xml:space="preserve">Intensité carbone de l'énergie </t>
  </si>
  <si>
    <t>Facteur d'émission électricité (kgCO2e/kWh)</t>
  </si>
  <si>
    <t>Facteur d'émission fioul (kgCO2e/kWh)</t>
  </si>
  <si>
    <t>Émissions annuelles en 2022</t>
  </si>
  <si>
    <t>Facteur d'émission des réseaux de chaleur (kgCO2e/kWh)</t>
  </si>
  <si>
    <t xml:space="preserve">Électricité </t>
  </si>
  <si>
    <t>Autres Fioul</t>
  </si>
  <si>
    <t>Émissions annuelles en 2050 après transformation</t>
  </si>
  <si>
    <t>Fioul pour groupes électrogènes</t>
  </si>
  <si>
    <t xml:space="preserve">Gaz </t>
  </si>
  <si>
    <t>Émissions en tCO2e</t>
  </si>
  <si>
    <t xml:space="preserve">A. Intensité carbone </t>
  </si>
  <si>
    <r>
      <rPr>
        <b/>
        <sz val="11"/>
        <color rgb="FF7030A0"/>
        <rFont val="Arial"/>
        <family val="2"/>
      </rPr>
      <t>Hyp 1 :</t>
    </r>
    <r>
      <rPr>
        <sz val="11"/>
        <color theme="1"/>
        <rFont val="Arial"/>
        <family val="2"/>
      </rPr>
      <t xml:space="preserve"> La variation de l'intensité carbone de l'énergie étant exogène au secteur du sport et des stades, nous faisons l'hypothèse que les baisses d'intensité carbone au niveau national s'appliquent uniformément dans le secteur du sport et des stades. 
</t>
    </r>
  </si>
  <si>
    <t>(1) Calculs de The Shift Project dans le cadre d’approfondissement du PTEF Logement (non publiés à date) à partir de sources bibliographiques nouvelles (Méthode Quartier-Energie-Carbone : https://librairie.ademe.fr/urbanisme-et-batiment/5802-methode-quartier-energie-carbone.html, NZC réno : https://www.hqegbc.org/international-alliance-hqe-gbc/nzc-renovation/, étude PAC Nooco : https://www.nooco.com/blog/la-pompe-a-chaleur-equipement-bas-carbone-miracle-le-vrai-du-faux-en-6-points/) et retours d’expérience professionnels</t>
  </si>
  <si>
    <t xml:space="preserve">Pour estimer l’évolution des facteurs d’émission des différents vecteurs énergétiques (gaz, fioul, électricité, chaleur) dans le secteur du sport, nous : 
(i) utilisons les données de la source (1) qui nous donnent une estimation de l’évolution de facteurs d’émission des vecteurs énergétiques entre 2018 et 2050
(ii) utilisons ces données pour connaitre l'évolution (en %) des différents facteurs d’émission entre 2022 (année du point de départ de notre analyse) et 2050, 
(iii) répartissons les données obtenues selon la nomenclature souhaitée pour retrouver celle utilisée dans ce tableur </t>
  </si>
  <si>
    <t>Etape de calcul : On précise les données utilisées sur l'évolution des facteurs d'émission de l'énergie</t>
  </si>
  <si>
    <t xml:space="preserve">La source (1), dans sa version optimiste, nous donne les donnée suivantes </t>
  </si>
  <si>
    <t>Évolution des facteurs d'émissions (en gCO2e/kWh)</t>
  </si>
  <si>
    <t>Electricité Moyen</t>
  </si>
  <si>
    <t>Gaz de réseau</t>
  </si>
  <si>
    <t>Etape de calcul : On estime l'évolution des intensités carbones (en %) entre 2022 et 2050</t>
  </si>
  <si>
    <t>A partir des données précédentes, nous en déduisons les évolutions annuelles suivantes entre 2022 et 2050</t>
  </si>
  <si>
    <t>Evolution des intensités carbone des différents vecteurs énergétiques (%)</t>
  </si>
  <si>
    <t>-</t>
  </si>
  <si>
    <t xml:space="preserve">Etape de calcul : Nous réorganisons les données obtenues pour qu'elles correspondent à la nomenclature utilisée dans notre rapport </t>
  </si>
  <si>
    <r>
      <t>Nous en déduisons les résultats suivants pour le secteur du sport et du stade en prenant l</t>
    </r>
    <r>
      <rPr>
        <b/>
        <sz val="11"/>
        <color rgb="FF7030A0"/>
        <rFont val="Arial"/>
        <family val="2"/>
      </rPr>
      <t xml:space="preserve">'Hyp 1. </t>
    </r>
  </si>
  <si>
    <t>Etape de calcul : Nous en déduisons les facteurs d'émissions en 2050</t>
  </si>
  <si>
    <t xml:space="preserve">B. Répartition par vecteur énergétique </t>
  </si>
  <si>
    <t xml:space="preserve">Pour simplifier la lecture, dans cette partie de l'annexe, les hypothèses sont précisées au fil de l'analyse. </t>
  </si>
  <si>
    <t xml:space="preserve">Pour estimer l'évolution de la répartition de l'énergie consommée par vecteur énergétique nous : 
(i) utilisons les données des onglets '1', '6' et '7' dont les valeurs ont été rappelées plus haut pour passer de la répartiiton en pourcentage à la répartition en quantité d'énergie
(ii) Prenons des hypothèses éclairées par les sources précisées plus haut sur l'évolution de la consommation de chaque vecteur énergétique (en gardant en tête que l'objectif est que le secteur du sport ne dépendent plus d'énergie fossile d'ici 2050). Les rendements énergétiques n'étant pas identiques entre chaque vecteur énergétique, cela fait évoluer les volumes d'énergie consommés.
(iii) en déduisons la répartition en quantité d'énergie par vecteur énergétique en 2050
(iv) en déduisons la répartition par vecteur énergétique en 2050 en pourcentage </t>
  </si>
  <si>
    <t xml:space="preserve">Etape de calcul : On rappelle les données utilisées sur les répartitions par vecteur énegétique en 2022 </t>
  </si>
  <si>
    <t xml:space="preserve">Etape de calcul : On en déduit les quantités d'énergie consommées par vecteur énergétique </t>
  </si>
  <si>
    <t>Quantité d'énergie consommée (kWh)</t>
  </si>
  <si>
    <t xml:space="preserve">Quantité d'énergie consommée (kWh) par vecteur énergétique </t>
  </si>
  <si>
    <t xml:space="preserve">Etape de calcul : On précise les différentes hypothèses faites sur chaque vecteur énergétique </t>
  </si>
  <si>
    <r>
      <rPr>
        <b/>
        <sz val="11"/>
        <rFont val="Arial"/>
        <family val="2"/>
      </rPr>
      <t>Remarque préliminaire :</t>
    </r>
    <r>
      <rPr>
        <sz val="11"/>
        <rFont val="Arial"/>
        <family val="2"/>
      </rPr>
      <t xml:space="preserve"> les hypothèses formulées ici servent principalement à aboutir à un ordre de grandeur du potentiel de décarbonation associé aux leviers proposés dans ce rapport. </t>
    </r>
  </si>
  <si>
    <t xml:space="preserve">Si physiquement elles s'alignent avec le levier qui consiste à cesser toutes consommations d'énergie fossile d'ici 2050 dans le secteur du stade, elles n'ont pas vocation à décrire exactement ce qui sera mis en place d'ici 2050 (il s'agit de scénario). </t>
  </si>
  <si>
    <t xml:space="preserve">Vecteur énergétique </t>
  </si>
  <si>
    <t xml:space="preserve">Hypothèses </t>
  </si>
  <si>
    <t>Hypothèses énergétiques</t>
  </si>
  <si>
    <t>Sans mesures de sobriétés et d'efficacités, nous avons une augmentation du volume consommé en raison des hypothèses faites sur le gaz et le fioul.</t>
  </si>
  <si>
    <t>- Nous prenons un rendement de 100% pour les chaudières électriques
- Nous prenons un coefficient de performancede 4 pour les pompes à chaleur (Cela signifie que pour chaque unité d'énergie électrique consommée, la pompe à chaleur produit 4 unités de chaleur.).</t>
  </si>
  <si>
    <t>Nous considérons que les 2% de fioul consommés en 2022 le sont pour le chauffage et l'eau chaude sanitaire. Aussi, pour ces 2%, nous considérons un passage à des pompes à chaleur. Dans notre calcul, nous tenons compte du fait que le rendement des pompes à chaleur est meilleur que celui des chaudières au fioul</t>
  </si>
  <si>
    <t>- Nous prenons un rendement de 70% pour les chaudières fioul</t>
  </si>
  <si>
    <t>Nous considérons un remplacement des groupes électrogènes par un raccordement au réseau électrique des systèmes qui nécessitaient leur utilisation. Nous tenons compte de la différence de rendement entre le groupe électrogène et le raccordement au réseau électrique. Les chiffres utilisés sont les suivants : un groupe électrogène a un rendement au max de 40% (Cela signifie que pour chaque unité d'énergie contenue dans le fioul, seulement 40% sont converties en électricité utilisable.)</t>
  </si>
  <si>
    <t xml:space="preserve">Rendement d'un groupe électrogène : 40% (pour chaque unité d'énergie contenue dans le fioul, seulement 40% sont converties en électricité utilisable.). Donc pour 10 kWh de fioul consommé, je consomme 4 kWh d'électricité si je suis raccordé au réseau. </t>
  </si>
  <si>
    <t>Nous considérons que le gaz consommés en 2022 sert au chauffage et à l'eau chaude sanitaire. Aussi, nous considérons un passage au 1/4 à des chaudières électriques, 1/2 à des pompes à chaleur et au quart restant à des réseaux de chaleur. Dans notre calcul, nous tenons compte du fait que le rendement des pompes à chaleur est meilleur que celui des chaudières au gaz.</t>
  </si>
  <si>
    <t xml:space="preserve">Nous faisons l'hypothèse d'un rendement de 95% pour les chaudières gaz. </t>
  </si>
  <si>
    <t>Sans mesures de sobriétés et d'efficacités, nous avons une augmentation du volume consommé en raison des hypothèses faites sur le gaz.</t>
  </si>
  <si>
    <t xml:space="preserve">Etape de calcul : On en déduit l'évolution des consommations annuelles d'énergie par vecteur énergétique par stade </t>
  </si>
  <si>
    <t xml:space="preserve">Sur la base des hypothèses formulées dans le tableau précédent, nous en déduisons les évolutions dans les consommations d'énergie d'ici 2050 </t>
  </si>
  <si>
    <t>Quantité totale d'énergie consommée (kWh)</t>
  </si>
  <si>
    <t xml:space="preserve">Etape de calcul : On en déduit le résultat souhaité, à savoir la répartition de l'énergie consommée par vecteur énergétique </t>
  </si>
  <si>
    <t>C. Volume d'énergie consommée</t>
  </si>
  <si>
    <t>Pour estimer l'évolution de la consommation d'énergie (en volume) anuelle dans un stade, nous adoptons une méthode par objectif. Plus précisément : nous prenons l'objectif affiché de baisse de 60% de la consommation issu du décret tertiaire (auquel sont soumis les stades). Il s'agit là d'un chiffrage par objectif et non d'un chiffrage qui évalue le potentiel réel de baisse de la consommation d'énergie. Dans l'idéal, pour le rapport final, il faudrait connaitre avec précision la répartition de la consommation d'énergie par usage (quelle part pour le chauffage ? l'eau chaude sanitaire ? la luminothérapie ? l'éclairage ? Quelle part pour les périodes de "veille" ? Pour les périodes de match ? etc) puis se servir de la littérature existante sur le sujet pour en déduire avec précision l'évolution possible de la consommation d'énergie (qui pourrait être inférieure ou supérieure à 60%).
Aussi, pour ce rapport intermédiaire, nous :
(i) Partons de l'énergie consommée en 2022
(ii) Appliquons une baisse de 60% au volume d'énergie consommé en 2022
(iii) en déduisons la consommation d'énergie dans un stade en 2050</t>
  </si>
  <si>
    <t>Etape de calcul : On rappelle les données utilisées sur la consommation énergétique en 2022</t>
  </si>
  <si>
    <t>Etape de calcul : On en déduit la consommation énergétique en 2050</t>
  </si>
  <si>
    <t>Variation en (%)</t>
  </si>
  <si>
    <t>Évolution de la consommation d'énergie entre 2022 et 2050</t>
  </si>
  <si>
    <t xml:space="preserve">Cela nous donne la consommation annuelle par stade suivante </t>
  </si>
  <si>
    <t>9.1 Alimentaire</t>
  </si>
  <si>
    <t>La répartition du personnel interne/externe est issue de données d'un club de rugby. Une enquête similaire pour un club pro de foot serait intéressante.</t>
  </si>
  <si>
    <t xml:space="preserve">Alimentation des personnes les jours de match. </t>
  </si>
  <si>
    <t xml:space="preserve">Capacité maximale du stade </t>
  </si>
  <si>
    <t xml:space="preserve">Nombre de spectateurs en moyenne </t>
  </si>
  <si>
    <t>dont hospitalités</t>
  </si>
  <si>
    <t>dont personnel interne</t>
  </si>
  <si>
    <t>dont personnel externe</t>
  </si>
  <si>
    <t xml:space="preserve">Sportifs  </t>
  </si>
  <si>
    <t xml:space="preserve">Equipe encadrante </t>
  </si>
  <si>
    <t>Nombre de matchs à domicile par an</t>
  </si>
  <si>
    <t>kgCO2e/repas</t>
  </si>
  <si>
    <t>Afin de déterminer la consommation moyenne par match, nous multiplions la consommation moyenne par match par personne a l'aide des données récoltées (Annexe 3, 2.) par la fréquentation moyenne du match.</t>
  </si>
  <si>
    <t>Afin de déterminer la quantité d'emballages qui dépend du nombre de produits servis, nous multiplions le nombre de plats par la masse emballages/plat.</t>
  </si>
  <si>
    <t>Alimentation</t>
  </si>
  <si>
    <t>Nombre de plat servis sur un match</t>
  </si>
  <si>
    <t>Nombre de frites</t>
  </si>
  <si>
    <t>Nombre de hot dog</t>
  </si>
  <si>
    <t>Nombre de sandwich jambon beurre</t>
  </si>
  <si>
    <t>Nombre de burger</t>
  </si>
  <si>
    <t>Boisson</t>
  </si>
  <si>
    <t>Nombre de sodas servis sur un match</t>
  </si>
  <si>
    <t>Nombre de demi de bière servis sur un match</t>
  </si>
  <si>
    <t>kg CO2e</t>
  </si>
  <si>
    <t>Nombre de repas servis sur un match</t>
  </si>
  <si>
    <t>Part de repas végétarien</t>
  </si>
  <si>
    <t>Part de repas avec du bœuf</t>
  </si>
  <si>
    <t>Part de repas avec du poulet ou équivalent</t>
  </si>
  <si>
    <t>Nombre de verre de vin servis sur un match</t>
  </si>
  <si>
    <t xml:space="preserve">ANNEXE 1 : Facteurs d'émission </t>
  </si>
  <si>
    <t>Sandwich baguette/merguez/ketchup moutarde</t>
  </si>
  <si>
    <t>Sandwich baguette/jambon/beurre</t>
  </si>
  <si>
    <t>Hot-dog</t>
  </si>
  <si>
    <t>Cheesburger</t>
  </si>
  <si>
    <t xml:space="preserve">Frites de pommes de terre/surgelées/cuites en friteuse
</t>
  </si>
  <si>
    <t>Calculateur écotable bon pour le climat</t>
  </si>
  <si>
    <t>kgCO2/repas</t>
  </si>
  <si>
    <t>Carton neuf</t>
  </si>
  <si>
    <t>kg CO2e / kg</t>
  </si>
  <si>
    <t>Papier/Moyen/Hors utilisation et fin de vie</t>
  </si>
  <si>
    <t>ANNEXE 2 : Estimation des émissions et des poids</t>
  </si>
  <si>
    <t>Estimation de l'empreinte carbone par élément</t>
  </si>
  <si>
    <t>Assiette en carton </t>
  </si>
  <si>
    <t>kg CO2e </t>
  </si>
  <si>
    <t>Serviette en papier</t>
  </si>
  <si>
    <t>Gobelet en carton</t>
  </si>
  <si>
    <t>kg CO2e/plat</t>
  </si>
  <si>
    <t>Hypothèse 300g</t>
  </si>
  <si>
    <t>Hypothèse 250g</t>
  </si>
  <si>
    <t>Barquette de frites</t>
  </si>
  <si>
    <t>Hypothèse 200g</t>
  </si>
  <si>
    <t>Coupe de champagne</t>
  </si>
  <si>
    <t>kg CO2e/coupe</t>
  </si>
  <si>
    <t>Hypothèse coupe de 125ml</t>
  </si>
  <si>
    <t>ANNEXE 3 : Données sur les repas/boissons servis</t>
  </si>
  <si>
    <t>Source : un club de rugby de TOP 14 (anonyme) et un club de football de Ligue 1 (anonyme) sur la saison 2022-2023</t>
  </si>
  <si>
    <t>1) Boissons</t>
  </si>
  <si>
    <t>Stade football (L1)</t>
  </si>
  <si>
    <t>Stade rugby (TOP 14)</t>
  </si>
  <si>
    <t>Stade rugby (PRO D2)</t>
  </si>
  <si>
    <t>Affluence annuelle</t>
  </si>
  <si>
    <t xml:space="preserve">Consommation annuelle en litres </t>
  </si>
  <si>
    <t xml:space="preserve">% consommation bière  </t>
  </si>
  <si>
    <t>% consommation soft</t>
  </si>
  <si>
    <t>Consommation par spectateur en litre</t>
  </si>
  <si>
    <t>Soft</t>
  </si>
  <si>
    <t>Bière</t>
  </si>
  <si>
    <t>Source : étude CDES, Guillaume Gouze</t>
  </si>
  <si>
    <t xml:space="preserve">2) Alimentation </t>
  </si>
  <si>
    <t>a. Répartition des plats consommés pour un club de football professionnel</t>
  </si>
  <si>
    <t xml:space="preserve">Les données disponibles ci-dessous nous ont été fourni par un stade de Ligue 1. </t>
  </si>
  <si>
    <t>Plat/en-cas</t>
  </si>
  <si>
    <t xml:space="preserve">Nombre </t>
  </si>
  <si>
    <t>Consommation moyenne par personne</t>
  </si>
  <si>
    <t>Frites</t>
  </si>
  <si>
    <t>Hot dog</t>
  </si>
  <si>
    <t>Sandwich jambon-beurre</t>
  </si>
  <si>
    <t>Burger</t>
  </si>
  <si>
    <t>b. Consommation moyenne par personne lors d'un match</t>
  </si>
  <si>
    <t xml:space="preserve">Sur la base des consommations moyennes par personne du stade de Ligue 1 d’où proviennent les données ci-dessus, nous avons pu extrapoler les consommations par personne par match pour les hotdog et burger et pour les frites et sandwich. </t>
  </si>
  <si>
    <t>US Montauban</t>
  </si>
  <si>
    <t>RC Vannes</t>
  </si>
  <si>
    <t>Stade toulousain</t>
  </si>
  <si>
    <t>Stade Rochelais</t>
  </si>
  <si>
    <t>Stade français Paris</t>
  </si>
  <si>
    <t>FC Lorient</t>
  </si>
  <si>
    <t>US Quevilly-Rouen Métropole</t>
  </si>
  <si>
    <t>MOYENNE</t>
  </si>
  <si>
    <t>Club</t>
  </si>
  <si>
    <t>Sport</t>
  </si>
  <si>
    <t>Rugby</t>
  </si>
  <si>
    <t>Football</t>
  </si>
  <si>
    <t>Division</t>
  </si>
  <si>
    <t>PROD2</t>
  </si>
  <si>
    <t>TOP14</t>
  </si>
  <si>
    <t>Ligue 1</t>
  </si>
  <si>
    <t>Ligue 2</t>
  </si>
  <si>
    <t>Affluence</t>
  </si>
  <si>
    <t xml:space="preserve">Moyenne par match </t>
  </si>
  <si>
    <t>F&amp;B</t>
  </si>
  <si>
    <t>Consommation par match</t>
  </si>
  <si>
    <t>Burgers / hot dogs</t>
  </si>
  <si>
    <t>Consommation par personne par match (en unité de nourriture / personne)</t>
  </si>
  <si>
    <t xml:space="preserve">Commentaire : Selon les données ci-dessus, la consommation moyenne par match et par personne pour les burgers et hot dogs est de 0,1 unité par personne et par match. 
D'après le tableau en a., cela représente environ 30% des ventes (on considère ce club comme représentatif). </t>
  </si>
  <si>
    <t>Etant donné que les frites et sandwichs représentent près de 70% des ventes, on retrouve la consommation moyenne par personne pour un match (produit en croix).</t>
  </si>
  <si>
    <t>Part sur le total des ventes</t>
  </si>
  <si>
    <t>Consommation moyenne par personne (unité de nourriture / personne)</t>
  </si>
  <si>
    <t xml:space="preserve">Hot dog + burger </t>
  </si>
  <si>
    <t>Frites + sandwich</t>
  </si>
  <si>
    <t xml:space="preserve">Consommation moyenne par personne </t>
  </si>
  <si>
    <t>ANNEXE 4 : Affluence et professionnels mobilisés</t>
  </si>
  <si>
    <t>1) Exemple avec un club de rugby de Top 14</t>
  </si>
  <si>
    <t>2) Affluences et part des professionnels</t>
  </si>
  <si>
    <t xml:space="preserve">Affluence moyenne </t>
  </si>
  <si>
    <t>Série</t>
  </si>
  <si>
    <t>Professionnels mobilisés</t>
  </si>
  <si>
    <t>Part des pros / affluence</t>
  </si>
  <si>
    <t>Moyenne Top 14</t>
  </si>
  <si>
    <t>Nb Personnes - interne</t>
  </si>
  <si>
    <t>Moyenne Pro D2</t>
  </si>
  <si>
    <t>Stadium Manager</t>
  </si>
  <si>
    <t>Buvette/Bodega</t>
  </si>
  <si>
    <t>Ainsi :</t>
  </si>
  <si>
    <t>Event</t>
  </si>
  <si>
    <t>Travaux</t>
  </si>
  <si>
    <t xml:space="preserve">En Top 14, la part du personnel professionnel représente </t>
  </si>
  <si>
    <t>de l'affluence moyenne du club.</t>
  </si>
  <si>
    <t>Marketing/Com</t>
  </si>
  <si>
    <t>Le personnel interne représente</t>
  </si>
  <si>
    <t>des effectifs, et le personnel externe</t>
  </si>
  <si>
    <t>SI</t>
  </si>
  <si>
    <t>Ass. Présidence</t>
  </si>
  <si>
    <t xml:space="preserve">En Pro D2, la part du personnel professionnel représente </t>
  </si>
  <si>
    <t xml:space="preserve">de l'affluence moyenne du club </t>
  </si>
  <si>
    <t>FDD/RSE</t>
  </si>
  <si>
    <t>des effectifs et le personnel externe</t>
  </si>
  <si>
    <t>Brasserie Salle</t>
  </si>
  <si>
    <t>Brasserie Cuisine</t>
  </si>
  <si>
    <t>Dir.Commerciale</t>
  </si>
  <si>
    <t>3) Affluences et part des professionnels pour un club de football</t>
  </si>
  <si>
    <t>Partenariat</t>
  </si>
  <si>
    <t>Billetterie</t>
  </si>
  <si>
    <t>Responsable Merch</t>
  </si>
  <si>
    <t>LOSC</t>
  </si>
  <si>
    <t>Boutique</t>
  </si>
  <si>
    <t>==&gt; Détails :</t>
  </si>
  <si>
    <t>Personnel interne :</t>
  </si>
  <si>
    <t>soit</t>
  </si>
  <si>
    <t>du personnel</t>
  </si>
  <si>
    <t>et</t>
  </si>
  <si>
    <t>de l'affluence moyenne.</t>
  </si>
  <si>
    <t>==&gt; Ratio pros internes / affluence :</t>
  </si>
  <si>
    <t xml:space="preserve">Personnel externe </t>
  </si>
  <si>
    <t>Nb Personnes - externe</t>
  </si>
  <si>
    <t>Prod TV / Diffuseur</t>
  </si>
  <si>
    <t>Mascotte</t>
  </si>
  <si>
    <t>Arbitres</t>
  </si>
  <si>
    <t>Délégué LNR</t>
  </si>
  <si>
    <t>Equipe/Staff adverses</t>
  </si>
  <si>
    <t>Food Truck</t>
  </si>
  <si>
    <t>Desoiffeurs</t>
  </si>
  <si>
    <t>Animation DJ</t>
  </si>
  <si>
    <t>Navettes transport</t>
  </si>
  <si>
    <t>Media/Journaliste/Photographes</t>
  </si>
  <si>
    <t>Jardiniers</t>
  </si>
  <si>
    <t>Techniciens LED</t>
  </si>
  <si>
    <t>Tracé pelouse</t>
  </si>
  <si>
    <t>Techniciens sons et vidéo arbitre</t>
  </si>
  <si>
    <t>Médecins match</t>
  </si>
  <si>
    <t>Regie commerciale Infront</t>
  </si>
  <si>
    <t>Agents et Encadrement Securité</t>
  </si>
  <si>
    <t>Agents et Encadrement Accueil</t>
  </si>
  <si>
    <t>DDSP/DRFIP</t>
  </si>
  <si>
    <t xml:space="preserve">Médicalisation du public </t>
  </si>
  <si>
    <t>Secouristes</t>
  </si>
  <si>
    <t xml:space="preserve">Gestion déchets sportifs </t>
  </si>
  <si>
    <t>Astriente électrique</t>
  </si>
  <si>
    <t xml:space="preserve">Intérimaires buvettes </t>
  </si>
  <si>
    <t>CDD Bodega</t>
  </si>
  <si>
    <t>Prestataires restauration</t>
  </si>
  <si>
    <t xml:space="preserve">Astreinte machines à café </t>
  </si>
  <si>
    <t>Livraison boissons</t>
  </si>
  <si>
    <t>Animation culinaire</t>
  </si>
  <si>
    <t xml:space="preserve">Animation boissons </t>
  </si>
  <si>
    <t>Animation boissons 2</t>
  </si>
  <si>
    <t>Cadre société intérim</t>
  </si>
  <si>
    <t>Hotesses et encadrements</t>
  </si>
  <si>
    <t xml:space="preserve">Nettoyage du site </t>
  </si>
  <si>
    <t>fleuriste</t>
  </si>
  <si>
    <t>animation musicale</t>
  </si>
  <si>
    <t>designer espaces intérieure</t>
  </si>
  <si>
    <t>Cadre société intérim 2</t>
  </si>
  <si>
    <t xml:space="preserve">Location mobilier </t>
  </si>
  <si>
    <t>==&gt; Ratio pros externes / affluence</t>
  </si>
  <si>
    <t>Plat</t>
  </si>
  <si>
    <t>Quantité</t>
  </si>
  <si>
    <t>Nombre total annuel</t>
  </si>
  <si>
    <t>LEVIERS : ALIMENTATION ET BOISSON</t>
  </si>
  <si>
    <t>Emissions totales (tCO2eq)</t>
  </si>
  <si>
    <t xml:space="preserve">Intensité carbone d'un repas (kgCO2e/repas)                </t>
  </si>
  <si>
    <t>Quantités consommées</t>
  </si>
  <si>
    <t>Part de repas à dominante végétale avec du bœuf</t>
  </si>
  <si>
    <t>9.2 Achats de biens et services divers</t>
  </si>
  <si>
    <t>Ne comprend pas les ventes faites hors du stade. Ce choix est justifié par le fait de rester sur la délimitation géographique et physique des stades ainsi que des flux dont ils dépendent/entrainent. Ce choix engendre une sous-évaluation de l'impact des ventes merchandising pour un club, qui peuvent avoir un impact carbone important (ANNEXE 4).</t>
  </si>
  <si>
    <t>Estimation des ventes de maillots, sweat, pulls et écharpes dans l'enceinte du stade les jours de match ainsi que nuitées en hôtel des spectateurs visiteurs.</t>
  </si>
  <si>
    <t>On considère que les nuitées en hôtel sont imputables aux émissions des manifestations sportives au titre de la dépendance de ces dernières aux hôtels, notamment lors de l'accueil de matchs internationaux. La suppression pure et simple des hôtels entraineraient une impossibilité ou une mise en difficulté de supporters, qui ne pourraient se loger. Il y a donc dépendance.</t>
  </si>
  <si>
    <t>Informations :</t>
  </si>
  <si>
    <t>dont</t>
  </si>
  <si>
    <t>spectateurs visiteurs</t>
  </si>
  <si>
    <t xml:space="preserve">Nombre de matchs à domicile </t>
  </si>
  <si>
    <t>Catégorie</t>
  </si>
  <si>
    <t>Quantité vendue sur un match</t>
  </si>
  <si>
    <t>Commentaries</t>
  </si>
  <si>
    <t>ANNEXE 1 : Informations produits</t>
  </si>
  <si>
    <t>Maillot</t>
  </si>
  <si>
    <t>kgCO2e/unité</t>
  </si>
  <si>
    <t>Sweat</t>
  </si>
  <si>
    <t>Matériaux</t>
  </si>
  <si>
    <t>Pull en coton recyclé</t>
  </si>
  <si>
    <t xml:space="preserve">Tente de réception </t>
  </si>
  <si>
    <t>0,0034 kg / m2</t>
  </si>
  <si>
    <t>Acier</t>
  </si>
  <si>
    <t xml:space="preserve">Doc Ministère </t>
  </si>
  <si>
    <t xml:space="preserve">Hypothèse de durée de vie : 100 utilisations / tente </t>
  </si>
  <si>
    <t>Écharpe</t>
  </si>
  <si>
    <t>Tribunes temporaires</t>
  </si>
  <si>
    <t>1 500 kg fixe + 58 kg par place</t>
  </si>
  <si>
    <t>Hypothèse de durée de vie : 100 utilisations / tribune</t>
  </si>
  <si>
    <t xml:space="preserve">Bâche (450g) par m2 </t>
  </si>
  <si>
    <t xml:space="preserve">450 g </t>
  </si>
  <si>
    <t xml:space="preserve">Plastique (moyenne) </t>
  </si>
  <si>
    <t xml:space="preserve">Bâche (650g) par m2 </t>
  </si>
  <si>
    <t>650 g</t>
  </si>
  <si>
    <t xml:space="preserve">Panneautique décorative (1 kg) </t>
  </si>
  <si>
    <t xml:space="preserve">1 kg </t>
  </si>
  <si>
    <t>PVC</t>
  </si>
  <si>
    <t xml:space="preserve">Drapeau 100x150 </t>
  </si>
  <si>
    <t xml:space="preserve">490 g </t>
  </si>
  <si>
    <t xml:space="preserve">Polyester Facteur d'émission : 1.040geC/kg </t>
  </si>
  <si>
    <t xml:space="preserve">Gobelets réutilisables (10 cl) </t>
  </si>
  <si>
    <t xml:space="preserve">polypropylène </t>
  </si>
  <si>
    <t>Nombre de nuitée</t>
  </si>
  <si>
    <t xml:space="preserve">Gobelets réutilisables (25 cl) </t>
  </si>
  <si>
    <t>Nuitée en hôtel</t>
  </si>
  <si>
    <t xml:space="preserve">Gobelets réutilisables (50 cl) </t>
  </si>
  <si>
    <t xml:space="preserve">Gobelets en carton (10 cl) </t>
  </si>
  <si>
    <t xml:space="preserve">carton </t>
  </si>
  <si>
    <t xml:space="preserve">Gobelets en carton (25 cl) </t>
  </si>
  <si>
    <t xml:space="preserve">Gobelets en carton (50 cl) </t>
  </si>
  <si>
    <t>Echarpes</t>
  </si>
  <si>
    <t>140 g</t>
  </si>
  <si>
    <t>acrylique</t>
  </si>
  <si>
    <t>Web</t>
  </si>
  <si>
    <t>ANNEXE 2 : Facteurs d'émission ADEME</t>
  </si>
  <si>
    <t>T-shirt/en polyester</t>
  </si>
  <si>
    <t>kg éq. CO2/unité</t>
  </si>
  <si>
    <t xml:space="preserve">Nuit d'hôtel </t>
  </si>
  <si>
    <t>kgCO2e/personne/nuitée</t>
  </si>
  <si>
    <t>https://librairie.ademe.fr/ged/4930/pre-deploiement_affichage_environnemental_rapport_f_fb.pdf</t>
  </si>
  <si>
    <t xml:space="preserve">ANNEXE 3 : Estimation FE </t>
  </si>
  <si>
    <t xml:space="preserve">Estimation via pull acrylique </t>
  </si>
  <si>
    <t>- Détails du calcul :</t>
  </si>
  <si>
    <t>Pull acrylique (ADEME, Base Empreinte)</t>
  </si>
  <si>
    <t>Estimation :</t>
  </si>
  <si>
    <t>Poids</t>
  </si>
  <si>
    <t>Emission en kgCO2e</t>
  </si>
  <si>
    <t>ANNEXE 4 : Données fournies par les clubs</t>
  </si>
  <si>
    <t xml:space="preserve">- Ventes annuelles LOSC </t>
  </si>
  <si>
    <t>maillots</t>
  </si>
  <si>
    <t xml:space="preserve">soit </t>
  </si>
  <si>
    <t>Source : Pierre Dael, responsable RSE LOSC</t>
  </si>
  <si>
    <t>- Ventes dans l'enceinte du stade, par matchs, LOU Rugby :</t>
  </si>
  <si>
    <t xml:space="preserve">==&gt; Influence moyenne : </t>
  </si>
  <si>
    <t>Match 1 :</t>
  </si>
  <si>
    <t>Match 2 :</t>
  </si>
  <si>
    <t>Match 3 :</t>
  </si>
  <si>
    <t>Match 4 :</t>
  </si>
  <si>
    <t>Match 5 :</t>
  </si>
  <si>
    <t>Match 6 :</t>
  </si>
  <si>
    <t xml:space="preserve">Match 7 : </t>
  </si>
  <si>
    <t>Match 8 :</t>
  </si>
  <si>
    <t>Match 9 :</t>
  </si>
  <si>
    <t>Match 10 :</t>
  </si>
  <si>
    <t>Match 11 :</t>
  </si>
  <si>
    <t>Match 12 :</t>
  </si>
  <si>
    <t>Match 13 :</t>
  </si>
  <si>
    <t>Match 14 :</t>
  </si>
  <si>
    <t>des spectateurs achètent un maillot sur un match.</t>
  </si>
  <si>
    <t xml:space="preserve">Source : Patrice Rabiet, ex-responsable RSE LOU </t>
  </si>
  <si>
    <t>- Ventes dans l'enceinte du stade par an MHR :</t>
  </si>
  <si>
    <t>Source : Hugo Garric, stadium manager MHR</t>
  </si>
  <si>
    <t>==&gt; Influence moyenne</t>
  </si>
  <si>
    <t xml:space="preserve">pour </t>
  </si>
  <si>
    <t>matchs</t>
  </si>
  <si>
    <t>==&gt; Ventes annuelles</t>
  </si>
  <si>
    <t>BILAN</t>
  </si>
  <si>
    <t>Club 1</t>
  </si>
  <si>
    <t xml:space="preserve">Club 2 </t>
  </si>
  <si>
    <t>10.1 Immobilisation : Infrastructures</t>
  </si>
  <si>
    <t>Le calcul ne repose que sur les quantités de béton et d'acier. Une analyse plus poussée intègregrait d'autres matériaux comme le plastique (avec les sièges par exemple) qui peuvent avoir une empreinte substantielle (cf étude d'impact FIFA Qatar 2022).</t>
  </si>
  <si>
    <t>Amortissement de l'impact de la construction du stade et des parking.</t>
  </si>
  <si>
    <t>ANNEXE 1 : Facteurs d'émission</t>
  </si>
  <si>
    <t>Nombre de places</t>
  </si>
  <si>
    <t>Béton armé</t>
  </si>
  <si>
    <t>kgCO2e/tonne</t>
  </si>
  <si>
    <t>Base empreinte - ADEME</t>
  </si>
  <si>
    <t>Béton/(C25/30CEM II)</t>
  </si>
  <si>
    <t>Acier ou fer blanc/recyclé</t>
  </si>
  <si>
    <t>Parking, classique - bitume</t>
  </si>
  <si>
    <t>kgCO2e/m²</t>
  </si>
  <si>
    <t>Centre de loisir, structure en béton</t>
  </si>
  <si>
    <t xml:space="preserve"> </t>
  </si>
  <si>
    <t>Centre de loisir, structure métallique</t>
  </si>
  <si>
    <t>ANNEXE 2 : Nombre et types de places dans un stade pro en rugby</t>
  </si>
  <si>
    <t>Top 14</t>
  </si>
  <si>
    <t xml:space="preserve">Types de places </t>
  </si>
  <si>
    <t>Places (moyenne)</t>
  </si>
  <si>
    <t>Places assises</t>
  </si>
  <si>
    <t>dont VIP</t>
  </si>
  <si>
    <t>Places totales</t>
  </si>
  <si>
    <t>Pro D2</t>
  </si>
  <si>
    <t>Types de places</t>
  </si>
  <si>
    <t>Source : Bilan Label Stade, Guillaume Gouze</t>
  </si>
  <si>
    <t>ANNEXE 3 : Convertisseur de places en M2</t>
  </si>
  <si>
    <t>Surface en M2</t>
  </si>
  <si>
    <t>Éléments</t>
  </si>
  <si>
    <t>Durée d'amortissement</t>
  </si>
  <si>
    <t>Surface de parking (en m2)</t>
  </si>
  <si>
    <t xml:space="preserve">Total </t>
  </si>
  <si>
    <t>10.2 Immobilisation : matériel numérique</t>
  </si>
  <si>
    <t>- Matériel : https://www.construction21.org/france/infrastructure/h/stade-pierre-mauroy.html
- Base NegaOctet / ADEME</t>
  </si>
  <si>
    <t>Données plus généralistes sur les équipements numériques des stades.</t>
  </si>
  <si>
    <t>Avoir des données plus globales (sur un championnat en termes de surface d'écran géant et de quantité de ceux-ci). Permettrait de faire des analyses macros plus précises par la suite.</t>
  </si>
  <si>
    <t>Le matériel informatique utilisé par les salariés internes et/ou déployé dans l'enceinte du stade.</t>
  </si>
  <si>
    <t>Une simplification des éléments technologiques a été faite. On ne comprend pas par exemple les caméras de surveillance, les centres médias et sécurité ou autres.</t>
  </si>
  <si>
    <t>ANNEXE 1 : Données équipement</t>
  </si>
  <si>
    <t>Données SUA :</t>
  </si>
  <si>
    <t>Element</t>
  </si>
  <si>
    <t xml:space="preserve">Quantité </t>
  </si>
  <si>
    <t>Quantité/Salarié</t>
  </si>
  <si>
    <t>Ordinateur portable</t>
  </si>
  <si>
    <t>Durée de vie de l'équipement (en année)</t>
  </si>
  <si>
    <t xml:space="preserve">Facteur d'émission </t>
  </si>
  <si>
    <t>Ecran d'ordinateur</t>
  </si>
  <si>
    <t>ANNEXE 2 : Facteurs d'émission</t>
  </si>
  <si>
    <t>Téléviseur</t>
  </si>
  <si>
    <t>Source : https://www.construction21.org/france/infrastructure/h/stade-pierre-mauroy.html</t>
  </si>
  <si>
    <t>Ecran publicitaire/2m²</t>
  </si>
  <si>
    <t>Description technologique</t>
  </si>
  <si>
    <t>Laptop; use mix, professional use; average configuration: 15.4 inches screen, 1 CPU, 15 GB RAM, 660 GB SSD, 4 years lifespan; RAS</t>
  </si>
  <si>
    <t>kgCO2e/an</t>
  </si>
  <si>
    <t>ADEME via projet NegaOctet</t>
  </si>
  <si>
    <t>Ordinateur fixe (sans écran)</t>
  </si>
  <si>
    <t>Desktop; professional use, office equipment; average configuration: 1 CPU, 8 GB RAM, 1000 GB HDD, 250 GB SSD, separated graphic card, 6 years lifespan; RAS
Les impacts tiennent compte de toutes les étapes du cycle de vie (Inventaire du berceau à la tombe).</t>
  </si>
  <si>
    <t>Computer monitors; use mix, personal and professional use; average dimension (24 inches) and technology (98.6% LCD, 1.4% OLED), 6,6 years lifespan; RAS
Les impacts tiennent compte de toutes les étapes du cycle de vie (Inventaire du berceau à la tombe).</t>
  </si>
  <si>
    <t>Television; use mix, professional use; average dimension (36 inches) and technology (98.6% LCD, 1.4% OLED), 8 years lifespan; RAS
Les impacts tiennent compte de toutes les étapes du cycle de vie (Inventaire du berceau à la tombe).</t>
  </si>
  <si>
    <t>Surface de l'écran*</t>
  </si>
  <si>
    <t>Quantité*</t>
  </si>
  <si>
    <t xml:space="preserve">Hypothèse </t>
  </si>
  <si>
    <t>Ecran géant</t>
  </si>
  <si>
    <t>- H3 : On suppose que l'écran géant à la même ACV q'un écran publicitaire. D'après l'ADEME, ce dernier à une EC de 1320 kg eCO2. L'écran a une durée de vie de 10 ans soit 1320/10 = 132 kg CO2e par an pour 2m2.</t>
  </si>
  <si>
    <t xml:space="preserve">Ecran géant </t>
  </si>
  <si>
    <t>Commentaire/source</t>
  </si>
  <si>
    <t>kgCO2e/an/2m2</t>
  </si>
  <si>
    <t xml:space="preserve">Source : ADEME - Base empreinte </t>
  </si>
  <si>
    <t>*Source quantités et surfaces : https://www.construction21.org/france/infrastructure/h/stade-pierre-mauroy.html</t>
  </si>
  <si>
    <t>10.3 Immobilisation : mobilier, machines et véhicules</t>
  </si>
  <si>
    <t>- Document Ministère des Sports (ANNEXE 1)
- Facteurs d'émission - Base Empreinte (ADEME)
- Quantités : Stadium manager du stade étudié</t>
  </si>
  <si>
    <t>Liste complète des éléments immobilisés dans le stade.</t>
  </si>
  <si>
    <t>Mobilier, machines et véhicules immobilisés.</t>
  </si>
  <si>
    <t>Une évaluation plus exhaustive pourra être effectuée par la suite.</t>
  </si>
  <si>
    <t xml:space="preserve">- H1 : Le matériel immobilisé est un tracteur/tondeuse à gazon de 800 kilos et deux véhicules utilitaires légers de 3 tonnes. </t>
  </si>
  <si>
    <t>Tonnes</t>
  </si>
  <si>
    <t>Durée de vie en années</t>
  </si>
  <si>
    <t>Tondeuse à gazon</t>
  </si>
  <si>
    <t>Véhicules</t>
  </si>
  <si>
    <t>Machines</t>
  </si>
  <si>
    <t>Mobilier</t>
  </si>
  <si>
    <t>2. Sources mobiles de combustion</t>
  </si>
  <si>
    <t>- Estimations et hypothèses (conservatrices) effectuées suite à des entretiens avec des acteurs du secteur.
- Facteurs d'émission - Base Empreinte (ADEME)
- Étude comparative de l'impact carbone de l'offre de véhicules - The Shit Project</t>
  </si>
  <si>
    <t>Carburant brulé dans des machines mobiles.</t>
  </si>
  <si>
    <t>Peut être amélioré avec une liste plus exhaustive.</t>
  </si>
  <si>
    <t>Essence/Supercarburant sans plomb (95, 95-E10, 98)</t>
  </si>
  <si>
    <t>VUL Essence</t>
  </si>
  <si>
    <t>L/100 km</t>
  </si>
  <si>
    <t>Étude comparative de l'impact carbone de l'offre de véhicules - The Shit Project</t>
  </si>
  <si>
    <t>Equipement</t>
  </si>
  <si>
    <t>Motif d'usage</t>
  </si>
  <si>
    <t>Consommation</t>
  </si>
  <si>
    <t>Usage hebdomadaire</t>
  </si>
  <si>
    <t>Émissions</t>
  </si>
  <si>
    <t>Tracteur tondeuse</t>
  </si>
  <si>
    <t>Tonte du gazon</t>
  </si>
  <si>
    <t>L/h</t>
  </si>
  <si>
    <t>heures</t>
  </si>
  <si>
    <t>Véhicule utilitaire 1</t>
  </si>
  <si>
    <t>Entretien et transport de biens dans le stade : marchandises, déchets verts, outils et de marchines etc.</t>
  </si>
  <si>
    <t>L/100km</t>
  </si>
  <si>
    <t>km</t>
  </si>
  <si>
    <t>Véhicule utilitaire 2</t>
  </si>
  <si>
    <t>Véhicule utilitaire 3</t>
  </si>
  <si>
    <t>Véhicule utilitaire 4</t>
  </si>
  <si>
    <t xml:space="preserve">13. Déplacements professionnels </t>
  </si>
  <si>
    <t>Emissions totales du poste</t>
  </si>
  <si>
    <t xml:space="preserve">- Les parts modales de l'équipe extérieure sont déterminées par les parts modales de l'équipe locale se déplaçant en extérieur et ne reflètent donc pas la valeur réelle de ces modes. </t>
  </si>
  <si>
    <t>ANNEXE 1 : Facteurs d'émission ADEME</t>
  </si>
  <si>
    <t>*1 - Calcul courte distance</t>
  </si>
  <si>
    <t xml:space="preserve">On considère donc que la moitié des vols sont effectués en jet privé et l'autre moitié en vol commercial. Le choix dépend en réalité du budget et de la santé économique du club, de la distance parcourue et du calendrier sportif. </t>
  </si>
  <si>
    <t>Voiture moyenne/Courte distance</t>
  </si>
  <si>
    <t>kg éq. CO2/peq.km</t>
  </si>
  <si>
    <t>*1</t>
  </si>
  <si>
    <t>Voiture moyenne/Longue distance</t>
  </si>
  <si>
    <t>*2</t>
  </si>
  <si>
    <t>Voiture (par km)</t>
  </si>
  <si>
    <t>kgCO2e/p.km</t>
  </si>
  <si>
    <t>Voiture/Motorisation moyenne/2018, Base Empreinte</t>
  </si>
  <si>
    <t>est en partie compensée par les trajets aéroports - stades, les aéroports étant très souvent éloignés des centres-villes.</t>
  </si>
  <si>
    <t>Autobus moyen - agglomération moins de 100 000 habitants</t>
  </si>
  <si>
    <t>Taux d'occupation moyen des voitures, mobilité quotidienne</t>
  </si>
  <si>
    <t>Autobus moyen - agglomération de 100 000 à 250 000 habitants</t>
  </si>
  <si>
    <t>FE Voiture (par p.km)</t>
  </si>
  <si>
    <t>Autobus moyen - agglomération plus de 250 000 habitants</t>
  </si>
  <si>
    <t>Autocar/gazole</t>
  </si>
  <si>
    <t>*2 - Calcul longue distance</t>
  </si>
  <si>
    <t>Nombre de matchs par an à domicile</t>
  </si>
  <si>
    <t xml:space="preserve">Avion passagers/20-50 sièges, &lt;500 kms jet, 2018/AVEC trainées
</t>
  </si>
  <si>
    <t>FE (kgCO2e/p.km)</t>
  </si>
  <si>
    <t>Distance estimée (AR) :</t>
  </si>
  <si>
    <t>Avion passagers/Court courrier, 2018/AVEC trainées</t>
  </si>
  <si>
    <t>kgCO2e/km</t>
  </si>
  <si>
    <t>Nombre de personnes dans l'équipe + staff :</t>
  </si>
  <si>
    <t>Avion passagers/Moyen courrier, 2018/AVEC trainées</t>
  </si>
  <si>
    <t>Avion passagers/Long courrier, 2018/AVEC trainées</t>
  </si>
  <si>
    <t>TER/2021/Traction moyenne</t>
  </si>
  <si>
    <t>Mode</t>
  </si>
  <si>
    <t>Parts modales</t>
  </si>
  <si>
    <t>Passager.km sur une saison par mode</t>
  </si>
  <si>
    <t xml:space="preserve">Part en % du total </t>
  </si>
  <si>
    <t>TGV/2021</t>
  </si>
  <si>
    <t>Train</t>
  </si>
  <si>
    <t>RER et transilien/2018/Ile de France</t>
  </si>
  <si>
    <t>Car</t>
  </si>
  <si>
    <t>Voiture moyenne/Courte distance/2018</t>
  </si>
  <si>
    <t>kg éq. CO2/passager.km</t>
  </si>
  <si>
    <t>Avion de ligne commercial</t>
  </si>
  <si>
    <t>Voiture moyenne/Longue distance/2019</t>
  </si>
  <si>
    <t>FE Autocar vide par km</t>
  </si>
  <si>
    <t>- H8 : On mutliplie le nombre de passagers de l'hypothèse ADEME (30 passagers soit 62% de taux d'occupation) par la valeur inverse au taux d'occupation (donc 30*1,62=49) et on obtient la capacité max du car. On multiplie ensuite la valeur du FE ADEME (0,03 kgCO2e/p.km) par le taux de remplissage et la capacité max pour avoir l'empreinte par km du car à vide.</t>
  </si>
  <si>
    <t>Avion affrété</t>
  </si>
  <si>
    <t xml:space="preserve">ANNEXE 2 : Déplacements des équipes professionnels de football </t>
  </si>
  <si>
    <t>Nous prenons l'hypothèse qu'un car fait le trajet à vide dans 100% des cas lorsque l'équipe se déplace en train ou en avion.</t>
  </si>
  <si>
    <t>Km sur une saison</t>
  </si>
  <si>
    <t>Car/véhicule à vide</t>
  </si>
  <si>
    <t>Source 1</t>
  </si>
  <si>
    <t>Source 2</t>
  </si>
  <si>
    <t>Avion</t>
  </si>
  <si>
    <t>Source 1 : Parts modales pour les déplacements extérieurs - BFMTV / LFP (https://rmcsport.bfmtv.com/football/ligue-1/ligue-1-les-chiffres-de-la-lfp-sur-les-deplacements-des-clubs-en-avion-et-en-train_AV-202209060655.html))</t>
  </si>
  <si>
    <t>Source 2 : Parts modales pour les déplacements extérieurs d'un club de rugby de TOP 14. On considère ce club comme représentatif du championnat.</t>
  </si>
  <si>
    <t>Distance moyenne domicile - stade estimée (AR)</t>
  </si>
  <si>
    <t>Distance en km pour un match</t>
  </si>
  <si>
    <t>Empreinte carbone sur un match</t>
  </si>
  <si>
    <t>Voiture</t>
  </si>
  <si>
    <t>Bus</t>
  </si>
  <si>
    <t>Mobilité douce</t>
  </si>
  <si>
    <t>Matchs internationaux - Europe</t>
  </si>
  <si>
    <t>Matchs internationaux hors Europe</t>
  </si>
  <si>
    <t>Émissions de GES</t>
  </si>
  <si>
    <t>Km parcourus sur un an</t>
  </si>
  <si>
    <t>Emissions (kgCO2e)</t>
  </si>
  <si>
    <t>Avion commercial</t>
  </si>
  <si>
    <t>Car à vide</t>
  </si>
  <si>
    <t>Facteur d'émission train (kg éq. CO2/peq.km)</t>
  </si>
  <si>
    <t>Facteur d'émission car (kg éq. CO2/peq.km)</t>
  </si>
  <si>
    <t>Facteur d'émission avion commercial - court courrier (kg éq. CO2/peq.km)</t>
  </si>
  <si>
    <t>Facteur d'émission avion affreté (kg éq. CO2/peq.km)</t>
  </si>
  <si>
    <t>Facteur d'émissions car à vide (kgCO2e/km)</t>
  </si>
  <si>
    <t>Facteur d'émissions voiture</t>
  </si>
  <si>
    <t>Emissions totales (tCO2e)</t>
  </si>
  <si>
    <t>Total émissions du poste</t>
  </si>
  <si>
    <t>Types</t>
  </si>
  <si>
    <t>Type</t>
  </si>
  <si>
    <t>Avion passagers/20-50 sièges, &lt;500 kms jet, 2018/AVEC trainées</t>
  </si>
  <si>
    <t>LEVIERS : TRAJETS PROFESSIONNELS</t>
  </si>
  <si>
    <t>Variante optimiste pour la décarbonation de l'aérein et des industries automobiles</t>
  </si>
  <si>
    <t>Variante pessimiste pour la décarbonation de l'aérien et des industries automobiles</t>
  </si>
  <si>
    <t>Variante pessimiste pour la décarbonation de l'aérien et des industries automobiles + sobriété pour les rencontres internationales</t>
  </si>
  <si>
    <t>Distance parcourue</t>
  </si>
  <si>
    <t>Parts modales des déplacements</t>
  </si>
  <si>
    <t>Facteur d'émissions</t>
  </si>
  <si>
    <t>II) Synthèse de l'évolution des émissions</t>
  </si>
  <si>
    <t>2050 (distances et nombre de rencontres stables + décarbonation pessimiste de l'aérien et des industries automobiles)</t>
  </si>
  <si>
    <t>2050 (décarbonation pessimiste de l'aérien et des industries automobiles + sobriété pour les rencontres internationales)</t>
  </si>
  <si>
    <t>Déplacements équipe extérieure</t>
  </si>
  <si>
    <t>Déplacements des cars/véhicules à vide</t>
  </si>
  <si>
    <t>Déplacements équipe locale</t>
  </si>
  <si>
    <t>Déplacements équipe matchs internationaux hors Europe</t>
  </si>
  <si>
    <t>Total 2022</t>
  </si>
  <si>
    <t>Total 2050</t>
  </si>
  <si>
    <t>III - Détail de l'évolution des émissions</t>
  </si>
  <si>
    <t>1) Intensité carbone des déplacements</t>
  </si>
  <si>
    <t>1.1. Changement de parts modales</t>
  </si>
  <si>
    <t>a) Compétitions nationales</t>
  </si>
  <si>
    <t xml:space="preserve"> Le développement du réseau ferré, un aménagement du calendrier de compétition, une sécurisation des trajets et une meilleure coordination avec les compagnies de transport forriviaire auront permis ce développement important.</t>
  </si>
  <si>
    <t xml:space="preserve">Ainsi : </t>
  </si>
  <si>
    <t>Changement de parts modales pour les déplacements de l'équipe extérieure</t>
  </si>
  <si>
    <t>Passsager.km</t>
  </si>
  <si>
    <t>Distance annuelle parcourue en moyenne</t>
  </si>
  <si>
    <t xml:space="preserve">Emissions liées au car circulant à vide </t>
  </si>
  <si>
    <t xml:space="preserve">- H5 : Nous considérons que les cars ne circulent plus à vide. Ils sont loués sur place lorsque l'équipe fait le choix de se déplacer avec un autre mode. </t>
  </si>
  <si>
    <t>b) Compétitions internationales</t>
  </si>
  <si>
    <t>1.2. Diminution exogène des facteurs d'émission</t>
  </si>
  <si>
    <t>Évolution des facteurs d'émission</t>
  </si>
  <si>
    <t>Facteur d'émission 2022</t>
  </si>
  <si>
    <t>Facteur d'émission 2050 - optimiste</t>
  </si>
  <si>
    <t>Diminution du FE entre 2022-2050 - optimiste</t>
  </si>
  <si>
    <t>Facteur d'émission 2050 - pessimiste</t>
  </si>
  <si>
    <t>Diminution du FE entre 2022-2050 - pessimiste</t>
  </si>
  <si>
    <t>Détail en Annexe 2 ci-dessous</t>
  </si>
  <si>
    <t>Facteur d'émission voiture (kgCO2e/peq.km)</t>
  </si>
  <si>
    <t xml:space="preserve">Soit une baisse de </t>
  </si>
  <si>
    <t>2) Evolution des distances pacourues</t>
  </si>
  <si>
    <t>--- Les leviers chiffrés ici ne sont activés que pour la variante "décarbonation pessimiste de l'aérien et des industries automobiles + sobriété pour les rencontres internationales" ---</t>
  </si>
  <si>
    <t xml:space="preserve">On fait ici deux hypothèses : </t>
  </si>
  <si>
    <t xml:space="preserve">Ainsi, on obtient : </t>
  </si>
  <si>
    <t>Matchs internationaux hors européens</t>
  </si>
  <si>
    <t>Distance parcourue par an par les équipes sportives lors des déplacements (en km) - 2022</t>
  </si>
  <si>
    <t>Nombre de rencontres par saison - 2050</t>
  </si>
  <si>
    <t>Annexe 1 : Facteurs d'émissions 2022</t>
  </si>
  <si>
    <t>Voir calcul onglet "13"</t>
  </si>
  <si>
    <t>Annexe 2 : Evolution des facteurs d'émissions entre 2022 et 2050</t>
  </si>
  <si>
    <t>I - Evolution du FE du train d'ici 2050</t>
  </si>
  <si>
    <t>Source : The Shift Project, Plan de transformation de l'économie française : la mobilité quotidienne, 2020.</t>
  </si>
  <si>
    <t xml:space="preserve">Diminution du FE du train : </t>
  </si>
  <si>
    <t>II - Evolution du FE des cars d'ici 2050</t>
  </si>
  <si>
    <t>Sources : (1) Fondation pour la nature et l'homme, Quelle contribution du véhicule électrique à la transition énergétique ?, Décembre 2017. https://www.fnh.org/sites/default/files/vehicule_electrique_synthese.pdf
(2) ADEME, Base Empreinte. https://base-empreinte.ademe.fr/donnees/jeu-donnees</t>
  </si>
  <si>
    <t>Levier 1 : Systèmatisation du recours à des cars électriques d'ici 2050.</t>
  </si>
  <si>
    <t xml:space="preserve">On fait l'hypothèse que les ratios entre autocars électriqaues et thermiques sont similaires aux ratios entre autobus électriqes et thermiques. D'après (2) : </t>
  </si>
  <si>
    <t>Facteur d'émissions des autobus électriques</t>
  </si>
  <si>
    <t>(2), Autobus/Electrique</t>
  </si>
  <si>
    <t>Facteur d'émissions des autobus thermiques</t>
  </si>
  <si>
    <t>(2), Autobus/Gazole</t>
  </si>
  <si>
    <t>Ratio électrique / thermique</t>
  </si>
  <si>
    <t>Levier 2 : Décarbonation optimiste des industries automobiles</t>
  </si>
  <si>
    <t>La source (1) prend en compte divers éléments qui expliquent une baisse des facteurs d'émissions des véhicules électriques et thermiques.</t>
  </si>
  <si>
    <t>Elle prend notamment en compte le changement du mix électrique, l'efficacité des modes de production, l'évolution de la consommation unitaire, l'évolution des masses et des capacités des batteries, le recyclage des batteries ou le passage des véhicules thermiques en véhicules thermiques mid-hybrides.</t>
  </si>
  <si>
    <t xml:space="preserve">L'étude obtient alors: </t>
  </si>
  <si>
    <t>Potentiel de réduction global sur 100 ans de l'achat d'une citadine électrique</t>
  </si>
  <si>
    <t xml:space="preserve">On peut ainsi calculer un taux d'évolution annuel : </t>
  </si>
  <si>
    <t>Levier 2 : Décarbonation  pessimiste des industries automobiles - version pessimiste</t>
  </si>
  <si>
    <t>Evolution annuel du facteur d'émission - VE</t>
  </si>
  <si>
    <t xml:space="preserve">Et ainsi : </t>
  </si>
  <si>
    <t>Dans le scénario d'une décarbonation pessimiste des industries automobiles, on considère que celles-ci ne décarbone qu'à 50% de leur potentiel d'ici 2050.</t>
  </si>
  <si>
    <t>Evolution du facteur d'émission des VE</t>
  </si>
  <si>
    <t>Bilan :</t>
  </si>
  <si>
    <t>On obtient finalement :</t>
  </si>
  <si>
    <t>Evolution du facteur d'émission des autocars</t>
  </si>
  <si>
    <t>III - Evolution du FE des voitures d'ici 2050</t>
  </si>
  <si>
    <t>Levier 1 : Systèmatisation du recours à des voitures électriques d'ici 2050.</t>
  </si>
  <si>
    <t>Facteur d'émissions des voitures thermiques</t>
  </si>
  <si>
    <t>(2), Voiture/Motorisation moyenne/2018</t>
  </si>
  <si>
    <t>Levier 2 : Décarbonation des industries automobiles</t>
  </si>
  <si>
    <t>Potentiel de réduction global sur 100 ans de l'achat d'une citadine thermique</t>
  </si>
  <si>
    <t>Evolution du facteur d'émission des voitures</t>
  </si>
  <si>
    <t>IV - Evolution du FE des avions d'ici 2050</t>
  </si>
  <si>
    <t>Source : (1) The Shift Project, « Pouvoir voler en 2050 : quelle aviation dans un monde contraint ? », 2021. https://theshiftproject.org/article/quelle-aviation-dans-un-monde-contraint-nouveau-rapport-du-shift/</t>
  </si>
  <si>
    <t>On utilise ici le scénario "ICEMAN" de la source (1). Dans ce scénario, on a :</t>
  </si>
  <si>
    <t xml:space="preserve">Diminution du FE de l'aviation d'ici 2050 : </t>
  </si>
  <si>
    <t>Evolution du facteur d'émission</t>
  </si>
  <si>
    <t>Scénario "Iceman", Emissions CO2 Combustion + productions rapportées aux émissions post mesures d'efficacité court-terme et ATM</t>
  </si>
  <si>
    <t>V - Bilan : évolution des facteurs d'émissions</t>
  </si>
  <si>
    <t xml:space="preserve">Evolution des facteur d'émission des : </t>
  </si>
  <si>
    <t>Evolution du facteur d'émissions entre 2050 et l'année de référence (2022)
Version optimiste</t>
  </si>
  <si>
    <t>Evolution du facteur d'émissions entre 2050 et l'année de référence (2022)
Version pessimiste</t>
  </si>
  <si>
    <t>trains</t>
  </si>
  <si>
    <t>autocars</t>
  </si>
  <si>
    <t>voitures</t>
  </si>
  <si>
    <t>avions</t>
  </si>
  <si>
    <t>16. Trajets des visiteurs et clients</t>
  </si>
  <si>
    <t>Déplacements des spectateurs (locaux et extérieurs) ainsi que des bénévoles.</t>
  </si>
  <si>
    <t>Sources</t>
  </si>
  <si>
    <t>FE Voiture (par km)</t>
  </si>
  <si>
    <t>Taux d'occupation moyen des voitures</t>
  </si>
  <si>
    <t>Enquête « Mobilité des personnes », Ministère de la Transition Ecologique et la Cohésion des Territoires : https://www.statistiques.developpement-durable.gouv.fr/resultats-detailles-de-lenquete-mobilite-des-personnes-de-2019</t>
  </si>
  <si>
    <t>- H8 : Il a été préféré d'utiliser ici un taux d'occupation différent que celui de la mobilité courte distance pour les déplacements professionnels, choix justifié par les dynamiques différentes qui concernent les déplacements professionnels des déplacements "loisirs". Nous avons pour cela extrait de la base de données "Mobilité des personnes" du Ministère de la Transition Ecologique et de la Cohésion des Territoires la donnée correspondant au taux de remplissage moyen, parmi les personnes se déplaçant en voiture et pour "voir un spectacle culturel ou sportif (cinéma, théâtre, concert, cirque, match), assister à une conférence". </t>
  </si>
  <si>
    <t>La proportion inverse est attribuée aux spectateurs locaux. Nous avons revu à la hausse cette estimation par rapport au RI de mars 2024 (qui comportait le chiffre de 2,5%) en prenant en compte les retours suite à la publication du rapport et l'apport de nouvelles données.</t>
  </si>
  <si>
    <t>trajets aéroport-stade, les aéroports étant très souvent éloignés des centres-villes. On considère également que les spectateurs non-locaux font la même distance que les supporters visiteurs.</t>
  </si>
  <si>
    <t>- H9 : Il a été préféré d'utiliser ici un taux d'occupation différent que celui de la mobilité longue distance pour les déplacements professionnels afin d'obtenir une donnée plus proche de la réalité des déplacements pour se rendre au stade. Nous avons pour cela extrait de la base de données "Mobilité des personnes" du Ministère de la Transition Ecologique et de la Cohésion des Territoires la donnée correspondant au taux de remplissage moyen, parmi les personnes se déplaçant en voiture et pour "voir un spectacle culturel ou sportif (cinéma, théâtre, concert, cirque, match), assister à une conférence". </t>
  </si>
  <si>
    <t>Nombre de spectateurs en moyenne :</t>
  </si>
  <si>
    <t>Part de spectateurs de l'équipe adverse en moyenne :</t>
  </si>
  <si>
    <t>Métro, tramway, trolleybus/2018/Agglomération &gt; à 250 000 habitants</t>
  </si>
  <si>
    <t xml:space="preserve">Part en % au total </t>
  </si>
  <si>
    <t>Moto =&lt; 250 cm3/Mixte/2018</t>
  </si>
  <si>
    <t>ANNEXE 2 : Données récoltées des trajets des spectateurs locaux</t>
  </si>
  <si>
    <t>Groupement 1 : Petite ville / Rugby</t>
  </si>
  <si>
    <t>Groupement 2 : Urbain / Football et Rugby</t>
  </si>
  <si>
    <t>Groupement 3 : Ile de France / Football</t>
  </si>
  <si>
    <t>Légende :</t>
  </si>
  <si>
    <t>Club : </t>
  </si>
  <si>
    <t>RC Auch</t>
  </si>
  <si>
    <t>SU Agen</t>
  </si>
  <si>
    <t>LOU Rugby</t>
  </si>
  <si>
    <t>Stade Toulousain</t>
  </si>
  <si>
    <t>Club/stade : </t>
  </si>
  <si>
    <t>Paris FC</t>
  </si>
  <si>
    <t>Anonyme</t>
  </si>
  <si>
    <t>Ile de France :</t>
  </si>
  <si>
    <t>Très forte densité urbaine et de transports en commun. </t>
  </si>
  <si>
    <t>Catégorie :</t>
  </si>
  <si>
    <t>Petite ville / rurale</t>
  </si>
  <si>
    <t>Urbain</t>
  </si>
  <si>
    <t>Ile de France </t>
  </si>
  <si>
    <t>Urbain :</t>
  </si>
  <si>
    <t>Cas 1 : Grande ville avec stade isolé, rendant l'accès en transports en commun difficile. </t>
  </si>
  <si>
    <t>Sport : </t>
  </si>
  <si>
    <t>Rugby </t>
  </si>
  <si>
    <t>Sport :</t>
  </si>
  <si>
    <t>Cas 2 : Ville moyenne avec stade en centre-ville.</t>
  </si>
  <si>
    <t>Source :</t>
  </si>
  <si>
    <t>Enquête mobilité</t>
  </si>
  <si>
    <t>Estimation stadium manager</t>
  </si>
  <si>
    <t>Estimation responsable RSE</t>
  </si>
  <si>
    <t>Petite ville / rurale :</t>
  </si>
  <si>
    <t>Petite ville ou village avec stade très peu ou pas déservi en transports en commun.</t>
  </si>
  <si>
    <t>On retrouve une distance similaire (19km) sur cet article de l'Equipe : https://www.lequipe.fr/Football/Actualites/La-saison-prochaine-la-ligue-1-se-veut-plus-ecologique/1382126</t>
  </si>
  <si>
    <t>Modes</t>
  </si>
  <si>
    <t>on considère que les personnes se déplaçant avec ce mode de transport se déplacent en voiture.</t>
  </si>
  <si>
    <t>Métro/tramway</t>
  </si>
  <si>
    <t>2 roues motorisées</t>
  </si>
  <si>
    <t>Part de spectateurs de l'équipe à domicile</t>
  </si>
  <si>
    <t xml:space="preserve">personnes </t>
  </si>
  <si>
    <t xml:space="preserve">Source 1 : Base de données du ministère, Enquête mobilité 2019, filtre "Voir un spectacle culturel ou sportif (cinéma, théâtre, concert, cirque, match)", parts modales </t>
  </si>
  <si>
    <t>Source 2 : Empreinte carbone des déplacements liés aux événements", LFP (ANNEXE 5), données retriées</t>
  </si>
  <si>
    <t xml:space="preserve">Source 1 </t>
  </si>
  <si>
    <t>Source 3</t>
  </si>
  <si>
    <t>Transports en commun</t>
  </si>
  <si>
    <t>%</t>
  </si>
  <si>
    <t>Spectateurs locaux</t>
  </si>
  <si>
    <t>Spectateurs extérieurs</t>
  </si>
  <si>
    <t>Déplacements spectateurs locaux</t>
  </si>
  <si>
    <t>Déplacements spectateurs extérieurs</t>
  </si>
  <si>
    <t>Dont voiture</t>
  </si>
  <si>
    <t>Dont mobilité douce</t>
  </si>
  <si>
    <t>Dont bus</t>
  </si>
  <si>
    <t>Dont métro/tramway</t>
  </si>
  <si>
    <t>Dont train</t>
  </si>
  <si>
    <t>Dont car</t>
  </si>
  <si>
    <t>Dont avion</t>
  </si>
  <si>
    <t>Facteur d'émissions voiture courte distance (kg éq. CO2/peq.km)</t>
  </si>
  <si>
    <t>Facteur d'émissions voiture longue distance (kg éq. CO2/peq.km)</t>
  </si>
  <si>
    <t>Facteur d'émissions mobilités douces (kg éq. CO2/peq.km)</t>
  </si>
  <si>
    <t>Facteur d'émissions bus (kg éq. CO2/peq.km)</t>
  </si>
  <si>
    <t>Facteur d'émissions métro/tramway (kg éq. CO2/peq.km)</t>
  </si>
  <si>
    <t>Facteur d'émissions train (kg éq. CO2/peq.km)</t>
  </si>
  <si>
    <t>Facteur d'émissions avion</t>
  </si>
  <si>
    <t>LEVIERS : TRAJETS DES VISITEURS ET CLIENTS</t>
  </si>
  <si>
    <t>Nombre de spectateurs</t>
  </si>
  <si>
    <t>Distance parcourue par spectateur</t>
  </si>
  <si>
    <t xml:space="preserve">Facteur d'émissions </t>
  </si>
  <si>
    <t>2050 (distances et nombre de rencontres stables + décarbonation optimiste de l'aérien et des industries automobiles)</t>
  </si>
  <si>
    <t>Matchs FR</t>
  </si>
  <si>
    <t>1) Changement de la répartition des parts modales</t>
  </si>
  <si>
    <t>Source : (1) The Shift Project, Plan de transformation de l'économie française : la mobilité longue distance, 2020.
https://cloud.theshiftproject.org/apps/onlyoffice/1962090?filePath=%2FProjets%2FPTEF%2F16%20-%20Mob%20LD%2F07%20-%20Mod%C3%A9lisation%2F20%20-%20Mise%20au%20propre%2FMLD%20Fichier%20Maitre%20v4.0%20MaP.xlsx
(2) The Shift Project, Plan de transformation de l'économie française : la mobilité quotidienne, 2020.</t>
  </si>
  <si>
    <t>Pour les spectateurs extérieurs :</t>
  </si>
  <si>
    <t>D'après (1), on a un report de 35,1% des vkm de la voiture vers train/car, et un report de 90% de l'avion vers train/car.</t>
  </si>
  <si>
    <t>N.B. : On obtient le chiffre de 35,1%, en ne gardant que les catégories "grands pôles" et "couronnes de grands pôles" et en enlevant la catégorie "reste" de la source (1). En effet, les stades considérés sont situées dans les grands pôles ou les couronnes de grands pôles.</t>
  </si>
  <si>
    <t>On fait également l'hypothèse que ce report modal se fait à 50% vers le train et à 50% vers les cars.</t>
  </si>
  <si>
    <t>Pour les spectateurs locaux :</t>
  </si>
  <si>
    <t>La source (2) nous donne l'évolution 2020-2050 des parts modales pour les déplacements des mobilités quotidiennes :</t>
  </si>
  <si>
    <t>Evolution 2020-2050</t>
  </si>
  <si>
    <t>Mobilité douce (marche + vélo)</t>
  </si>
  <si>
    <t>On fait l'hypothèse que pour les spectateurs locaux, l'évolution de fréquentation des bus, métro/tramway, et train est similaire à l'augmentation pour la mobilité qutotidienne.</t>
  </si>
  <si>
    <t>On fait également l'hypothèse que la diminution de l'utilisation de la voiture est similaire pour les spectateurs locaux et pour la mobilité quotidienne.</t>
  </si>
  <si>
    <t>Enfin, on fait l'hypothèse que le reste des déplacements sont effectués en vélo (avec ou sans assistance) ou en marchant.</t>
  </si>
  <si>
    <t>Changements de parts modales</t>
  </si>
  <si>
    <t>2050</t>
  </si>
  <si>
    <t>D'après (1), on a un report de 50% de l'avion vers train/car pour les trajets européens</t>
  </si>
  <si>
    <t>N.B. : On obtient le chiffre de 50% en supposant que la moitié des voyageurs ont des distances à parcourir entre 800 et 1200km (70% de report possible d'après (2)) et la moitié des distances entre 1200 et 1600km (30% de report possible)</t>
  </si>
  <si>
    <t>On fait également l'hypothèse d'un report de 50% des trajets en voiture vers le train et le car.</t>
  </si>
  <si>
    <t>Enfin, on fait l'hypothèse que 100% des trajets des spectateurs extérieurs des matchs hors Europe restent en avion.</t>
  </si>
  <si>
    <t>On reprend également la source (2) nous donne l'évolution 2020-2050 des parts modales pour les déplacements des mobilités quotidiennes :</t>
  </si>
  <si>
    <t>Matchs internationaux Europe</t>
  </si>
  <si>
    <t xml:space="preserve">Bilan - changements des parts modales : </t>
  </si>
  <si>
    <t>Résultats intermédiaires, toutes choses égales par ailleurs (en tCO2e/an)</t>
  </si>
  <si>
    <t>Soit une baisse de … des émissions</t>
  </si>
  <si>
    <t>des émissions</t>
  </si>
  <si>
    <t>2) Diminution des facteurs d'émissions : covoiturage et diminution exogène</t>
  </si>
  <si>
    <t xml:space="preserve">Source : (1) The Shift Project, Plan de transformation de l'économie française : la mobilité quotidienne, 2020. </t>
  </si>
  <si>
    <t>On reprend ici les calculs de l'onglet "Fiche levier - 13".</t>
  </si>
  <si>
    <t>Pour les bus, on fait l'hypothèse d'une évolution similaire aux autocars, basée à la fois sur une électrification et sur une décarbonation de l'industrie automobile.</t>
  </si>
  <si>
    <t>Pour les métro/traw, on fait l'hypothèse qu'il n'y a pas d'évolution du facteur d'émissions.</t>
  </si>
  <si>
    <t>autocars/autobus</t>
  </si>
  <si>
    <t>3) Réduction de la fréquence des rencontres internationales</t>
  </si>
  <si>
    <t>Nombre de rencontres par saison - 2022</t>
  </si>
  <si>
    <t>IV - Graphes</t>
  </si>
  <si>
    <t>Emissions du poste avant transformation</t>
  </si>
  <si>
    <t>Co-voiturage</t>
  </si>
  <si>
    <t>Changement des parts modales</t>
  </si>
  <si>
    <t>Incitation à l'utilisation de véhicules électriques</t>
  </si>
  <si>
    <t>Décarbonation des industries automobiles et du secteur aérien</t>
  </si>
  <si>
    <t>Emissions après transformation</t>
  </si>
  <si>
    <t>22. Trajets domicile-travail des employés</t>
  </si>
  <si>
    <t>- Facteurs d'émission - Base Empreinte (ADEME)
- Indicateurs pour le suivi national des objectifs de développement durable, INSEE (https://www.insee.fr/fr/statistiques/2654964)
- Base de données "mobilité" par le Ministère de la Transition Ecologique (https://www.statistiques.developpement-durable.gouv.fr/resultats-detailles-de-lenquete-mobilite-des-personnes-de-2019)
- Répartition des professionnels durant un match pour un club de TOP 14 (ANNEXE 3) : Source anonyme
- Mobilité quotidienne, The Shift Project (source : https://theshiftproject.org/wp-content/uploads/2020/06/Mobilité-quotidienne_Chantier-du-Plan-de-transformation_TheShiftProject.pdf)
- Mobilité longue distance, The Shift Project (source : https://theshiftproject.org/wp-content/uploads/2020/07/Secteur-usages-Fiche-Mobilité-longue-distance-Vision-globale_Avancement-PTEF-Juillet-2020.pdf)</t>
  </si>
  <si>
    <t>Une enquête similaire à celle présente en ANNEXE 3 mais pour un club de football serait pertinente.</t>
  </si>
  <si>
    <t>Evaluation des distances et parts modales du personnel externe local non idéale.</t>
  </si>
  <si>
    <t>Professionnels mobilisés les jours de matchs</t>
  </si>
  <si>
    <t xml:space="preserve">Nombre de personnes </t>
  </si>
  <si>
    <t xml:space="preserve">Personnel interne </t>
  </si>
  <si>
    <t>Personnel externe</t>
  </si>
  <si>
    <t>- H5 : Dans le document "Focus sur la mobilité quotidienne" de The Shift Project, la mobilité quotidienne est définie comme les déplacements des Français se situant dans un rayon de 80 km autour du domicile. Etant donné la distance parcourue pour les spectateurs locaux, on classe ce déplacement comme de la mobilité quotidienne. Le taux d'occupation du véhicule sera donc le même que celui du rapport, soit 1,3 personnes/voiture.</t>
  </si>
  <si>
    <t>Distance moyenne domicile-travail (AR)</t>
  </si>
  <si>
    <t>- H6 : Dans le document "Mobilité longue distance" de The Shift Project, la mobilité longue distance se définie comme l’ensemble des déplacements de personnes réalisés sur une distance supérieure à 100 km. Etant donné la distance parcourue pour les spectateurs extérieurs, on classe ce déplacement comme de la mobilité longue distance. Le taux d'occupation du véhicule sera donc le même que celui du rapport, soit 2,2 personnes/voiture.</t>
  </si>
  <si>
    <t>(même s'ils sont employés par le club). Le calcul se fait ainsi sur la base de 218 jours travaillés.</t>
  </si>
  <si>
    <t>ANNEXE 2 : Données déplacement INSEE</t>
  </si>
  <si>
    <t>Source : INSEE, Indicateurs pour le suivi national des objectifs de développement durable, https://www.insee.fr/fr/statistiques/2654964</t>
  </si>
  <si>
    <t>Distance moyenne domicile-travail</t>
  </si>
  <si>
    <t>AIN</t>
  </si>
  <si>
    <t>AISNE</t>
  </si>
  <si>
    <t>ALLIER</t>
  </si>
  <si>
    <t>ALPES DE HAUTE PROVENCE</t>
  </si>
  <si>
    <t>ALPES MARITIMES</t>
  </si>
  <si>
    <t>ARDECHE</t>
  </si>
  <si>
    <t>ARDENNES</t>
  </si>
  <si>
    <t>ARIEGE</t>
  </si>
  <si>
    <t>AUBE</t>
  </si>
  <si>
    <t>AUDE</t>
  </si>
  <si>
    <t>AVEYRON</t>
  </si>
  <si>
    <t>BAS RHIN</t>
  </si>
  <si>
    <t>BOUCHES DU RHONE</t>
  </si>
  <si>
    <t>CALVADOS</t>
  </si>
  <si>
    <t>CANTAL</t>
  </si>
  <si>
    <t>CHARENTE</t>
  </si>
  <si>
    <t>CHARENTE MARITIME</t>
  </si>
  <si>
    <t>CHER</t>
  </si>
  <si>
    <t>CORREZE</t>
  </si>
  <si>
    <t>CORSE DU SUD</t>
  </si>
  <si>
    <t>COTE D OR</t>
  </si>
  <si>
    <t>COTES D ARMOR</t>
  </si>
  <si>
    <t>CREUSE</t>
  </si>
  <si>
    <t>DEUX SEVRES</t>
  </si>
  <si>
    <t>DORDOGNE</t>
  </si>
  <si>
    <t>DOUBS</t>
  </si>
  <si>
    <t>DROME</t>
  </si>
  <si>
    <t>ESSONNE</t>
  </si>
  <si>
    <t>EURE</t>
  </si>
  <si>
    <t>EURE ET LOIR</t>
  </si>
  <si>
    <t>FINISTERE</t>
  </si>
  <si>
    <t>GARD</t>
  </si>
  <si>
    <t>GERS</t>
  </si>
  <si>
    <t>GIRONDE</t>
  </si>
  <si>
    <t>GUADELOUPE</t>
  </si>
  <si>
    <t>GUYANE</t>
  </si>
  <si>
    <t>HAUT RHIN</t>
  </si>
  <si>
    <t>HAUTE CORSE</t>
  </si>
  <si>
    <t>HAUTE GARONNE</t>
  </si>
  <si>
    <t>HAUTE LOIRE</t>
  </si>
  <si>
    <t>HAUTE MARNE</t>
  </si>
  <si>
    <t>HAUTE SAONE</t>
  </si>
  <si>
    <t>HAUTE SAVOIE</t>
  </si>
  <si>
    <t>HAUTE VIENNE</t>
  </si>
  <si>
    <t>HAUTES ALPES</t>
  </si>
  <si>
    <t>HAUTES PYRENEES</t>
  </si>
  <si>
    <t>HAUTS DE SEINE</t>
  </si>
  <si>
    <t>HERAULT</t>
  </si>
  <si>
    <t>ILLE ET VILAINE</t>
  </si>
  <si>
    <t>INDRE</t>
  </si>
  <si>
    <t>INDRE ET LOIRE</t>
  </si>
  <si>
    <t>ISERE</t>
  </si>
  <si>
    <t>JURA</t>
  </si>
  <si>
    <t>LA REUNION</t>
  </si>
  <si>
    <t>LANDES</t>
  </si>
  <si>
    <t>LOIR ET CHER</t>
  </si>
  <si>
    <t>LOIRE</t>
  </si>
  <si>
    <t>LOIRE ATLANTIQUE</t>
  </si>
  <si>
    <t>LOIRET</t>
  </si>
  <si>
    <t>LOT</t>
  </si>
  <si>
    <t>LOT ET GARONNE</t>
  </si>
  <si>
    <t>LOZERE</t>
  </si>
  <si>
    <t>MAINE ET LOIRE</t>
  </si>
  <si>
    <t>MANCHE</t>
  </si>
  <si>
    <t>MARNE</t>
  </si>
  <si>
    <t>MARTINIQUE</t>
  </si>
  <si>
    <t>MAYENNE</t>
  </si>
  <si>
    <t>MAYOTTE</t>
  </si>
  <si>
    <t>MEURTHE ET MOSELLE</t>
  </si>
  <si>
    <t>MEUSE</t>
  </si>
  <si>
    <t>MORBIHAN</t>
  </si>
  <si>
    <t>MOSELLE</t>
  </si>
  <si>
    <t>NIEVRE</t>
  </si>
  <si>
    <t>NORD</t>
  </si>
  <si>
    <t>OISE</t>
  </si>
  <si>
    <t>ORNE</t>
  </si>
  <si>
    <t>PARIS</t>
  </si>
  <si>
    <t>PAS DE CALAIS</t>
  </si>
  <si>
    <t>PUY DE DOME</t>
  </si>
  <si>
    <t>PYRENEES ATLANTIQUES</t>
  </si>
  <si>
    <t>PYRENEES ORIENTALES</t>
  </si>
  <si>
    <t>RHONE</t>
  </si>
  <si>
    <t>SAONE ET LOIRE</t>
  </si>
  <si>
    <t>SARTHE</t>
  </si>
  <si>
    <t>SAVOIE</t>
  </si>
  <si>
    <t>SEINE ET MARNE</t>
  </si>
  <si>
    <t>SEINE MARITIME</t>
  </si>
  <si>
    <t>SEINE SAINT DENIS</t>
  </si>
  <si>
    <t>SOMME</t>
  </si>
  <si>
    <t>TARN</t>
  </si>
  <si>
    <t>TARN ET GARONNE</t>
  </si>
  <si>
    <t>TERRITOIRE DE BELFORT</t>
  </si>
  <si>
    <t>VAL D OISE</t>
  </si>
  <si>
    <t>VAL DE MARNE</t>
  </si>
  <si>
    <t>VAR</t>
  </si>
  <si>
    <t>VAUCLUSE</t>
  </si>
  <si>
    <t>VENDEE</t>
  </si>
  <si>
    <t>VIENNE</t>
  </si>
  <si>
    <t>VOSGES</t>
  </si>
  <si>
    <t>YONNE</t>
  </si>
  <si>
    <t>YVELINES</t>
  </si>
  <si>
    <t>MOYENNE CORRIGÉ SANS "SANS TRANSPORT"</t>
  </si>
  <si>
    <t>Distance moyenne en km, personnes actives, données de 2019 (à l'exception de Mayotte où les données datent de 2017)</t>
  </si>
  <si>
    <t>Distance moyenne domicile - stade (AR)</t>
  </si>
  <si>
    <t>Part modales des déplacements domicile-travail (total)</t>
  </si>
  <si>
    <t>Nombre de salariés :</t>
  </si>
  <si>
    <t>Deux roues motorisées</t>
  </si>
  <si>
    <t>Facteurs d'émission</t>
  </si>
  <si>
    <t>Transport en Commun</t>
  </si>
  <si>
    <t>Vélo</t>
  </si>
  <si>
    <t>Marche</t>
  </si>
  <si>
    <t>Sans transport</t>
  </si>
  <si>
    <t>On peut alors appliquer les facteurs d'émissions :</t>
  </si>
  <si>
    <t>a) Personnel externe local</t>
  </si>
  <si>
    <t>Tableau maître, Association bilan Carbone</t>
  </si>
  <si>
    <t>fE Deux-routes motorisées</t>
  </si>
  <si>
    <t>(4) - Moto =&lt; 250 cm3/Mixte/2018, Base Empreinte</t>
  </si>
  <si>
    <t>FE Transport en commun routier</t>
  </si>
  <si>
    <t>Autobus moyen/Agglomération de 100 000 à 250 000 habitants, Base Empreinte</t>
  </si>
  <si>
    <t xml:space="preserve">Le détail du calcul de leur nombre est détaillé en annexe 3. Pour la plupart, ces personnes sont situées sur le territoire proche du stade. </t>
  </si>
  <si>
    <t>FE Transport en commun ferroviaire</t>
  </si>
  <si>
    <t>Métro, tramway, trolleybus/2018/Agglomération de 100 000 à 250 000 habitants, Base Empreinte</t>
  </si>
  <si>
    <t>On considère donc que ces personnes se déplacent comme le personnel interne et effectue la même distance.</t>
  </si>
  <si>
    <t>Part du bus dans les transports en commun (en %)</t>
  </si>
  <si>
    <t xml:space="preserve">Nombre de jours de matchs </t>
  </si>
  <si>
    <t>Nombre de professionnels :</t>
  </si>
  <si>
    <t>ANNEXE 3 : Calcul de la part des professionnels locaux</t>
  </si>
  <si>
    <t>Nombre</t>
  </si>
  <si>
    <t>Professionnels externes éloignés et/ou centraux</t>
  </si>
  <si>
    <t>Professionnels externes locaux</t>
  </si>
  <si>
    <t>b) Autres professionnels externes</t>
  </si>
  <si>
    <t xml:space="preserve">Ils proviennent globalement de lieux éloignés et leurs trajets sont classifiés comme de la mobilité longue distance. </t>
  </si>
  <si>
    <t>Les parts modales et la distance ont été estimées grâce aux données en annexe 4.</t>
  </si>
  <si>
    <t>Distance moyenne (AR)</t>
  </si>
  <si>
    <t>Local (L) / Central ©*</t>
  </si>
  <si>
    <t>50/50 - L/C</t>
  </si>
  <si>
    <t>==&gt; 100% locaux si championnats non pro.</t>
  </si>
  <si>
    <t>L</t>
  </si>
  <si>
    <t>C</t>
  </si>
  <si>
    <t>*Cette répartition a été faite suite à une analyse des différents postes puis validée par un expert du secteur (Guillaume Gouze, CDES/A4MT).</t>
  </si>
  <si>
    <t xml:space="preserve">ANNEXE 4 : Base de données Ministère, filtre "Voir un spectacle culturel ou sportif (cinéma, théâtre, concert, cirque, match), assister à une
conférence", parts modales </t>
  </si>
  <si>
    <t>1) Mobilité longue distance</t>
  </si>
  <si>
    <t>2) Mobilité courte distance</t>
  </si>
  <si>
    <t>MODES</t>
  </si>
  <si>
    <t>Transport en commun urbain routier</t>
  </si>
  <si>
    <t>Transport en commun urbain ferré</t>
  </si>
  <si>
    <t xml:space="preserve">Echantillon : </t>
  </si>
  <si>
    <t>122 personnes</t>
  </si>
  <si>
    <t>355 personnes</t>
  </si>
  <si>
    <t>Distance moyenne parcourue</t>
  </si>
  <si>
    <t>Locaux</t>
  </si>
  <si>
    <t>LEVIERS : TRAJETS DOMICILE-TRAVAIL DES EMPLOYÉS</t>
  </si>
  <si>
    <t>Nombre de professionnels</t>
  </si>
  <si>
    <t>Distance parcourue par an par professionnel</t>
  </si>
  <si>
    <t>Déplacements personnel interne</t>
  </si>
  <si>
    <t>Déplacements personnels externe local</t>
  </si>
  <si>
    <t>Personnel externe non local</t>
  </si>
  <si>
    <t>dont car</t>
  </si>
  <si>
    <t>dont avion</t>
  </si>
  <si>
    <t>Facteur d'émission voiture (kg éq. CO2/peq.km)</t>
  </si>
  <si>
    <t>Facteur d'émission bus (kg éq. CO2/peq.km)</t>
  </si>
  <si>
    <t>Facteur d'émission métro/tramway (kg éq. CO2/peq.km)</t>
  </si>
  <si>
    <t>Facteur d'émission mobilités douces (kg éq. CO2/peq.km)</t>
  </si>
  <si>
    <t>A) Diminution de l'intensité carbone des déplacements</t>
  </si>
  <si>
    <t>Pour les professionnels non-locaux :</t>
  </si>
  <si>
    <t>D'après (1), on a un report de 10,1% des vkm de la voiture vers train/car, et un report de 90% de l'avion vers train/car.</t>
  </si>
  <si>
    <t>N.B. : On obtient le chiffre de 10,1%, en ne gardant que la catégorie "déplacements professionnels" de la source (1). Pour l'avion, on prend le chiffre d'un report de 90%, correspondant aux trajets d'entre 0 et 800km.</t>
  </si>
  <si>
    <t>Pour les professionnels locaux :</t>
  </si>
  <si>
    <t>On fait l'hypothèse que pour les professionnels locaux, l'évolution de fréquentation des bus, métro/tramway, et train est similaire à l'augmentation pour la mobilité qutotidienne.</t>
  </si>
  <si>
    <t>On fait également l'hypothèse que la diminution de l'utilisation de la voiture est similaire pour les professionnels locaux et pour la mobilité quotidienne.</t>
  </si>
  <si>
    <t>Déplacements personnel interne et externe local</t>
  </si>
  <si>
    <t>Déplacement personnel externe non-local</t>
  </si>
  <si>
    <t>Mobilités douces (marche, vélo)</t>
  </si>
  <si>
    <t xml:space="preserve">Résultats intermédiaires, toutes choses égales par ailleurs </t>
  </si>
  <si>
    <t>2) Diminution des facteurs d'émissions : co-voiturage et diminution exogène</t>
  </si>
  <si>
    <t>Evolution du facteur d'émissions entre 2050 et l'année de référence (2022)</t>
  </si>
  <si>
    <t>B) Diminution des distances parcourues</t>
  </si>
  <si>
    <t>1) Favoriser le recours au télétravail</t>
  </si>
  <si>
    <t>=&gt; A quantifier ?</t>
  </si>
  <si>
    <t>Pour l'instant, on ne prend pas en compte l'impact du télétravail, celui-ci étant impossible pour la plupart du personnel (à part pour le personnel administratif et de gestion ?)</t>
  </si>
  <si>
    <t xml:space="preserve">2) Diminuer la part de professionnels externes </t>
  </si>
  <si>
    <t>Ici, on fait pour l'instant l'hypothèse que certains professionnels externes peuvent être remplacer par des professionnels locaux.</t>
  </si>
  <si>
    <t>Part des professionnels non-locaux remplacés par des professionnels locaux</t>
  </si>
  <si>
    <t>Baisse de la part des professionnels externes</t>
  </si>
  <si>
    <t>Incitation à l'utilisation de voitures électriques</t>
  </si>
  <si>
    <t>11. Déchets</t>
  </si>
  <si>
    <t>Type de déchet</t>
  </si>
  <si>
    <t>Carton</t>
  </si>
  <si>
    <t>Papier</t>
  </si>
  <si>
    <t>ANNEXE 2 : Données récoltées</t>
  </si>
  <si>
    <t>Déchet</t>
  </si>
  <si>
    <t>% du total</t>
  </si>
  <si>
    <t>tonnes de déchets non recyclables</t>
  </si>
  <si>
    <t>tonnes de déchets recyclables</t>
  </si>
  <si>
    <t xml:space="preserve">tonnes de déchets par match en moyenne pour </t>
  </si>
  <si>
    <t>Source : Stadium manager</t>
  </si>
  <si>
    <t>tonnes par match en moyenne</t>
  </si>
  <si>
    <t>Source (2020) : https://www.slate.fr/story/193506/football-francais-se-verdira-t-il-un-jour-ecologie-environnement-ligue-1</t>
  </si>
  <si>
    <t>Soit par matchs</t>
  </si>
  <si>
    <t>MOYENNE :</t>
  </si>
  <si>
    <t>Spectateurs moyens par match </t>
  </si>
  <si>
    <t>Nombre de matchs à domicile </t>
  </si>
  <si>
    <t>Bouteilles plastiques</t>
  </si>
  <si>
    <t>t/an</t>
  </si>
  <si>
    <t>Verre</t>
  </si>
  <si>
    <t>Bio-déchets (pelouse et alimentaire)</t>
  </si>
  <si>
    <t>DIB</t>
  </si>
  <si>
    <t>t/matchs</t>
  </si>
  <si>
    <t>23. Retransmission</t>
  </si>
  <si>
    <t>Impact carbone de la retransmission des événements sportifs dans les stades</t>
  </si>
  <si>
    <t>Source : Voir "Fiche identité"</t>
  </si>
  <si>
    <t>kgCO2e/heure</t>
  </si>
  <si>
    <t>Part qui regarde sur TV</t>
  </si>
  <si>
    <t>Part "autres" :</t>
  </si>
  <si>
    <t>Répartition</t>
  </si>
  <si>
    <t xml:space="preserve">Technologie de diffusion </t>
  </si>
  <si>
    <t>Heures consommées en moyenne</t>
  </si>
  <si>
    <t>Part TV (95%)</t>
  </si>
  <si>
    <t>Bilan de mi-saison 2020-2021, Médiametrie / LNR</t>
  </si>
  <si>
    <t>TME</t>
  </si>
  <si>
    <t>Ordinateur</t>
  </si>
  <si>
    <t>Smartphone</t>
  </si>
  <si>
    <t>Tablette</t>
  </si>
  <si>
    <t>TV (extrapolation)</t>
  </si>
  <si>
    <t>LIGUE 1</t>
  </si>
  <si>
    <t>CLUB</t>
  </si>
  <si>
    <t>AC AJACCIO</t>
  </si>
  <si>
    <t>AJ AUXERRE</t>
  </si>
  <si>
    <t>ANGERS SCO</t>
  </si>
  <si>
    <t>AS MONACO</t>
  </si>
  <si>
    <t>CLERMONT FOOT 63</t>
  </si>
  <si>
    <t>ESCA TROYES</t>
  </si>
  <si>
    <t>FC LORIENT</t>
  </si>
  <si>
    <t>FC NANTES</t>
  </si>
  <si>
    <t>LOSC LILLE</t>
  </si>
  <si>
    <t>MONTPELLIER HERAULT SC</t>
  </si>
  <si>
    <t>OGC NICE</t>
  </si>
  <si>
    <t>OLYMPIQUE MARSEILLE</t>
  </si>
  <si>
    <t>OLYMPIQUE LYONNAIS</t>
  </si>
  <si>
    <t>PARIS ST GERMAIN</t>
  </si>
  <si>
    <t>RC LENS</t>
  </si>
  <si>
    <t>RC STRASBOURG</t>
  </si>
  <si>
    <t>STADE BRESTOIS</t>
  </si>
  <si>
    <t>STADE DE REIMS</t>
  </si>
  <si>
    <t>STADE RENNAIS FC</t>
  </si>
  <si>
    <t>TOULOUSE FC</t>
  </si>
  <si>
    <t>LIGUE 2</t>
  </si>
  <si>
    <t>AMIENS</t>
  </si>
  <si>
    <t>AS ST ETIENNE</t>
  </si>
  <si>
    <t>CHAMOIS NIORTAIS</t>
  </si>
  <si>
    <t>DIJON</t>
  </si>
  <si>
    <t>EN AVANT GUINGAMP</t>
  </si>
  <si>
    <t>FC ANNECY</t>
  </si>
  <si>
    <t>FC GIRONDINS BORDEAUX</t>
  </si>
  <si>
    <t>FC METZ</t>
  </si>
  <si>
    <t>FC SOCHAUX</t>
  </si>
  <si>
    <t>GRENOBLE FOOT</t>
  </si>
  <si>
    <t>HAVRE AC</t>
  </si>
  <si>
    <t>NIMES OLYMPIQUE</t>
  </si>
  <si>
    <t>PARIS FC</t>
  </si>
  <si>
    <t>PAU FC</t>
  </si>
  <si>
    <t>QUEVILLY ROUEN</t>
  </si>
  <si>
    <t>RODEZ AVEYRON</t>
  </si>
  <si>
    <t>SC BASTIA</t>
  </si>
  <si>
    <t>STADE LAVALLOIS</t>
  </si>
  <si>
    <t>STADE MALHERBE CAEN</t>
  </si>
  <si>
    <t>VALENCIENNES FC</t>
  </si>
  <si>
    <t>TOP 14</t>
  </si>
  <si>
    <t>PRO D2</t>
  </si>
  <si>
    <t>BAYONNE</t>
  </si>
  <si>
    <t>BEGLES</t>
  </si>
  <si>
    <t>BRIVE</t>
  </si>
  <si>
    <t>CASTRES</t>
  </si>
  <si>
    <t>CLERMONT</t>
  </si>
  <si>
    <t>LA ROCHELLE</t>
  </si>
  <si>
    <t>LYON OU</t>
  </si>
  <si>
    <t>MONTPELLIER</t>
  </si>
  <si>
    <t>PAU</t>
  </si>
  <si>
    <t>PERPIGNAN</t>
  </si>
  <si>
    <t>RACING 92</t>
  </si>
  <si>
    <t>STADE FRANÇAIS</t>
  </si>
  <si>
    <t>TOULON</t>
  </si>
  <si>
    <t>TOULOUSE</t>
  </si>
  <si>
    <t>AVIRON BAYONNAIS</t>
  </si>
  <si>
    <t>UNION BORDEAUX BEGLES</t>
  </si>
  <si>
    <t>CA BRIVE</t>
  </si>
  <si>
    <t>CASTRES OLYMPIQUE</t>
  </si>
  <si>
    <t>ASM CLERMONT</t>
  </si>
  <si>
    <t>STADE ROCHELLAIS</t>
  </si>
  <si>
    <t>LOU RUGBY</t>
  </si>
  <si>
    <t xml:space="preserve">MONTPELLIER HÉRAULT </t>
  </si>
  <si>
    <t>SECTION PALOISE</t>
  </si>
  <si>
    <t>USAP</t>
  </si>
  <si>
    <t>RCT</t>
  </si>
  <si>
    <t>STADE TOULOUSAIN</t>
  </si>
  <si>
    <t>AGEN</t>
  </si>
  <si>
    <t>PROVENCE RUGBY</t>
  </si>
  <si>
    <t>AURILLAC</t>
  </si>
  <si>
    <t>BIARRITZ</t>
  </si>
  <si>
    <t>BEZIERS</t>
  </si>
  <si>
    <t>CARCASSONNE</t>
  </si>
  <si>
    <t>COLOMIERS</t>
  </si>
  <si>
    <t>GRENOBLE</t>
  </si>
  <si>
    <t>MASSY</t>
  </si>
  <si>
    <t>MONTAUBAN</t>
  </si>
  <si>
    <t>MONT DE MARSAN</t>
  </si>
  <si>
    <t>OYONNAX</t>
  </si>
  <si>
    <t>ROUEN</t>
  </si>
  <si>
    <t>SOYAUX ANGOULEME</t>
  </si>
  <si>
    <t>USO NEVERS</t>
  </si>
  <si>
    <t>VANNES</t>
  </si>
  <si>
    <t>Spectateurs visiteurs</t>
  </si>
  <si>
    <t>Source : https://sportune.20minutes.fr/psg-6e-a-11-m-classement-exclusif-des-clubs-qui-vendent-le-plus-de-maillots-en-europe?utm_source=lecafedusportbiz.fr&amp;utm_medium=lecafedusportbiz.fr&amp;utm_campaign=lecafedusportbiz.fr&amp;utm_term=lecafedusportbiz.fr</t>
  </si>
  <si>
    <t xml:space="preserve">Estimation empreinte ventes malliots pour le PSG : </t>
  </si>
  <si>
    <t>1. Liverpool = 1 790 000
2. Manchester United = 1 730 000
3. FC Barcelone = 1 450 000
4. Bayern Munich = 1 410 000
5. Real Madrid = 1 400 000
6. Paris SG = 1 100 000
7. Juventus = 906 000
8. Chelsea = 836 000
9. Manchester City = 823 000
10. Arsenal = 738 000</t>
  </si>
  <si>
    <t>Valeurs (tCO2e) en 2022</t>
  </si>
  <si>
    <t>Avant transformation</t>
  </si>
  <si>
    <t>Valeurs (tCO2e) en 2050</t>
  </si>
  <si>
    <t>Pourcentage de baisse</t>
  </si>
  <si>
    <t xml:space="preserve">Après transformation </t>
  </si>
  <si>
    <t xml:space="preserve">Négatif </t>
  </si>
  <si>
    <t>Émissions (ktCO2e)</t>
  </si>
  <si>
    <t xml:space="preserve">Émissions en 2022 </t>
  </si>
  <si>
    <t>Immobilisations</t>
  </si>
  <si>
    <t xml:space="preserve">Transport des équipes </t>
  </si>
  <si>
    <t>Alimentation et boissons</t>
  </si>
  <si>
    <t>Consommation d'énergie</t>
  </si>
  <si>
    <t xml:space="preserve">Retransmission </t>
  </si>
  <si>
    <t xml:space="preserve">Autres </t>
  </si>
  <si>
    <t xml:space="preserve">Déchets </t>
  </si>
  <si>
    <t>Émissions 2050 après transformation</t>
  </si>
  <si>
    <t xml:space="preserve">Baisse </t>
  </si>
  <si>
    <t>Sortie des énergies fossiles (remplacement des groupes électrogènes, chaudières fioul et gaz)</t>
  </si>
  <si>
    <t>Baisse de la consommation d'énergie (rénovation, optimisation, sobriété)</t>
  </si>
  <si>
    <t>Baisse de l'intensité carbone de l'énergie (électricité, chauffage urbain)</t>
  </si>
  <si>
    <t>Pourcentage</t>
  </si>
  <si>
    <t>(</t>
  </si>
  <si>
    <t>Extérieurs</t>
  </si>
  <si>
    <t>National</t>
  </si>
  <si>
    <t>Matchs européens</t>
  </si>
  <si>
    <t>Europe</t>
  </si>
  <si>
    <t>Hors europe</t>
  </si>
  <si>
    <t xml:space="preserve">Train </t>
  </si>
  <si>
    <t>places</t>
  </si>
  <si>
    <t xml:space="preserve">Empreinte totale </t>
  </si>
  <si>
    <t>On estime que le stade moyen est représentatif de l'ensemble. On utilise donc ce modèle pour estimer l'empreinte carbone de l'ensemble des stades.</t>
  </si>
  <si>
    <t>1) Grand public</t>
  </si>
  <si>
    <t>2) Hospitalités</t>
  </si>
  <si>
    <t>spectateurs</t>
  </si>
  <si>
    <t>Etant donné qu'on considère les hypothèses inchangées entre tous les matchs, on peut prendre un ratio / spectateur sur ce post pour le multiplier par le total des spectateurs sur une saison et ainsi obtenir l'empreinte annuelle du poste pour l'ensemble des rencontres.</t>
  </si>
  <si>
    <t xml:space="preserve">2. ANNEXES </t>
  </si>
  <si>
    <t xml:space="preserve">1. ÉVALUATION </t>
  </si>
  <si>
    <t xml:space="preserve">Etape 2 : Calcul de l'empreinte carbone des nuitées en hotel </t>
  </si>
  <si>
    <t xml:space="preserve">Commentaires : </t>
  </si>
  <si>
    <t>Empreinte (en tCO2e)</t>
  </si>
  <si>
    <t xml:space="preserve">Commentaire : </t>
  </si>
  <si>
    <t>Etape 3 : Empreinte totale du poste</t>
  </si>
  <si>
    <t>Commentaire : </t>
  </si>
  <si>
    <t>Fréquentation</t>
  </si>
  <si>
    <t>i. Déplacement équipe extérieure</t>
  </si>
  <si>
    <t>ii. Déplacement équipe locale</t>
  </si>
  <si>
    <t>Capacité totale des stades</t>
  </si>
  <si>
    <t>Capacité moyenne stades</t>
  </si>
  <si>
    <t>Commentaire :</t>
  </si>
  <si>
    <t>rencontres</t>
  </si>
  <si>
    <t>D1 FÉMININE</t>
  </si>
  <si>
    <t>CAPACITE</t>
  </si>
  <si>
    <t>Olympique Lyonnais</t>
  </si>
  <si>
    <t>Paris Saint Germain</t>
  </si>
  <si>
    <t>FC Fleury 91</t>
  </si>
  <si>
    <t>Montpellier HSC</t>
  </si>
  <si>
    <t>Girondins de Bordeaux</t>
  </si>
  <si>
    <t>Stade de Reims</t>
  </si>
  <si>
    <t>EA Guingamp</t>
  </si>
  <si>
    <t>ASJ Soyaux</t>
  </si>
  <si>
    <t>Dijon FCO</t>
  </si>
  <si>
    <t>Le Havre AC</t>
  </si>
  <si>
    <t>Rodez AF</t>
  </si>
  <si>
    <t>D1 Féminine</t>
  </si>
  <si>
    <t>(1) Fréquentation des matchs de D1 Féminine : https://sporsora.com/membres/actualites-des-membres/item/8525-two-circles-les-affluences-dans-les-ligues-de-football-feminin-continuent-de-croitre-et-la-connaissance-des-supporters-se-developpe-dans-toute-l-europe</t>
  </si>
  <si>
    <t>MOYENNE SPECTATEUR (1)</t>
  </si>
  <si>
    <t>CAPACITE (2)</t>
  </si>
  <si>
    <t xml:space="preserve">Distance moyenne parcourue par les clubs : </t>
  </si>
  <si>
    <t xml:space="preserve">Commentaire </t>
  </si>
  <si>
    <t>GRENOBLE FOOT 38</t>
  </si>
  <si>
    <t>MONSTPELLIER HSC</t>
  </si>
  <si>
    <t>RODEZ AF</t>
  </si>
  <si>
    <t>GIRONDINS DE BORDEAUX</t>
  </si>
  <si>
    <t>ES TROYES AC</t>
  </si>
  <si>
    <t>RC STRASBOURG ALSACE</t>
  </si>
  <si>
    <t>OLYMPIQUE DE MARSEILLE</t>
  </si>
  <si>
    <t>HYERES 83 FC</t>
  </si>
  <si>
    <t>CHAMBERY</t>
  </si>
  <si>
    <t>CHAMOIS NIORTAIS FC</t>
  </si>
  <si>
    <t>STADE BRESTOIS 29</t>
  </si>
  <si>
    <t>PARIS SAINT GERMAIN</t>
  </si>
  <si>
    <t>Match à hui clos</t>
  </si>
  <si>
    <t>EQUIPE EXTÉRIEURE</t>
  </si>
  <si>
    <t>A. Ligue 1</t>
  </si>
  <si>
    <t>B. Ligue 2</t>
  </si>
  <si>
    <t>C. D1 Féminine</t>
  </si>
  <si>
    <t>D. Coupe de France - Homme</t>
  </si>
  <si>
    <t>CDF - HOMME</t>
  </si>
  <si>
    <t>EQUIPE DOMICILE (1)</t>
  </si>
  <si>
    <t>AFFLUENCE (2)</t>
  </si>
  <si>
    <t>1. Rencontres nationales de football professionnel</t>
  </si>
  <si>
    <t>E. Coupe de France - Femme</t>
  </si>
  <si>
    <t>MONTPELLIER HSC</t>
  </si>
  <si>
    <t>DIJON FCO</t>
  </si>
  <si>
    <t>FC FLEURY 91</t>
  </si>
  <si>
    <t>LE HAVRE AC</t>
  </si>
  <si>
    <t>ASJ SOYAUX</t>
  </si>
  <si>
    <t>AS CANNES</t>
  </si>
  <si>
    <t>THONON EVIAN  GGFC</t>
  </si>
  <si>
    <t>EA GUINGAMP</t>
  </si>
  <si>
    <t xml:space="preserve">OLYMPIQUE LYONNAIS </t>
  </si>
  <si>
    <t>FC FLEURY</t>
  </si>
  <si>
    <t>CDF - FEMME</t>
  </si>
  <si>
    <t>(1) Fréquentation moyenne des clubs - LFP
(2) Wikipédia</t>
  </si>
  <si>
    <t>(1) Liste des rencontres, https://www.deux-zero.com/coupe-de-france/fiche/edition/2022-2023/
(2) Fréquentation, https://www.stades-spectateurs.com/affluences-coupe-de-france-football.php?annee=</t>
  </si>
  <si>
    <t xml:space="preserve">On comptabilise les matchs à partir des 32ème de finale en prenant en compte des matchs des équipes de L2 et L1 à domicile et des matchs de petits clubs délocalisés dans des stades de L1 ou L2. </t>
  </si>
  <si>
    <t>H1 : On fait l'hypothèse que la moyenne des distances parcourues par les clubs de L1, L2, TOP 14 et PRO D2 est représentatif.</t>
  </si>
  <si>
    <t>(1) Liste des rencontres, https://www.deux-zero.com/coupe-de-france/fiche/edition/2022-2023/
(2) Affluence finale Coupe de France F, https://fr.wikipedia.org/wiki/Coupe_de_France_féminine_de_football_2022-2023</t>
  </si>
  <si>
    <t>H1 : On fait l'hypothèse que la moyenne des distances parcourues par les clubs de L1, L2, TOP 14 et PRO D2 est représentatif.
H2 : Quand nous ne disposons pas de données sur la fréquentation, on considère que le nombre de spectateurs est d'environ 500 (hypothèse conservatrice par rapport à la moyenne de D1 qui est d'environ 1100 spectateurs). Sinon, la fréquentation est considérée comme équivalente aux rencontres de D1 F.</t>
  </si>
  <si>
    <t>H2 : Quand nous ne disposons pas de données sur la fréquentation, on considère que le nombre de spectateurs est d'environ 500 (hypothèse conservatrice par rapport à la moyenne de D1 qui est d'environ 1100 spectateurs). Sinon, la fréquentation est considérée comme équivalente aux rencontres de D1 F.</t>
  </si>
  <si>
    <t>2. Rencontres nationales de rugby professionnel</t>
  </si>
  <si>
    <t>A. TOP 14</t>
  </si>
  <si>
    <t>(1) Source : https://www.sportbusinessmag.com/zap-sport/rugby-pro-d2-le-bilan-des-affluences-de-la-saison-2022-23-en-pro-d2/#:~:text=Angoulême%20%3A%2060%20200%20spectateurs%20(4,spectateurs%20en%20moyenne%20par%20match)
(2) Source : Wikipédia</t>
  </si>
  <si>
    <t>B. PRO D2</t>
  </si>
  <si>
    <t>3. Tableau récap</t>
  </si>
  <si>
    <t>Etape 2 : Empreinte totale du poste sur les rencontres nationales</t>
  </si>
  <si>
    <t>Émissions match moyen</t>
  </si>
  <si>
    <t>Total émissions rencontres nationales</t>
  </si>
  <si>
    <t>Par spectateurs</t>
  </si>
  <si>
    <t>On considère que le schéma de déplacement ci-dessus est représentatif de l'ensemble des déplacements des équipes sur une saison pour les rencontres nationales. 
Pour connaitre le total des émissions, on multiplie donc le nombre de spectateurs sur une saison par l'empreinte carbone moyenne par spectateur sur un match.</t>
  </si>
  <si>
    <t>Zone géographique équipe extérieure</t>
  </si>
  <si>
    <t>Fréquentation du match</t>
  </si>
  <si>
    <t xml:space="preserve">Nombre personnes équipe sportive et staff </t>
  </si>
  <si>
    <t>Distance en km entre villes</t>
  </si>
  <si>
    <t>Type de courrier pour les trajets aériens</t>
  </si>
  <si>
    <t>EU</t>
  </si>
  <si>
    <t>Type de championnat</t>
  </si>
  <si>
    <t>Part spectateurs exterieurs</t>
  </si>
  <si>
    <t>Moyen</t>
  </si>
  <si>
    <t>Court</t>
  </si>
  <si>
    <t>Equipe de France - Rugby Homme</t>
  </si>
  <si>
    <t>Equipe de France - Rugby Femme</t>
  </si>
  <si>
    <t>Champion's League</t>
  </si>
  <si>
    <t>Women Champion's League</t>
  </si>
  <si>
    <t>Ligue Europa</t>
  </si>
  <si>
    <t>Ligue Europa Conférence</t>
  </si>
  <si>
    <t>Champions'cup</t>
  </si>
  <si>
    <t>Challenge Cup</t>
  </si>
  <si>
    <t>Cette base de données est directement extraite de RI juillet 2024. L'ensemble des rencontres et données ayant conduit à cette synthèse sont à retrouver ici (https://theshiftproject.org/article/decarbonons-les-stades-nouveau-rapport-intermediaire/).</t>
  </si>
  <si>
    <t>NEU</t>
  </si>
  <si>
    <t>Long</t>
  </si>
  <si>
    <t>Etape 1 : Calcul de l'empreinte carbone moyenne des déplacements des équipes sportives et encadrantes pour les matchs nationaux</t>
  </si>
  <si>
    <t>Etape 1 : Calcul de l'empreinte carbone moyenne des déplacements des spectateurs et encadrantes pour les matchs nationaux</t>
  </si>
  <si>
    <t>i) Déplacement spectateurs visiteurs</t>
  </si>
  <si>
    <t>Commentaires : </t>
  </si>
  <si>
    <t>ii) Déplacement spectateurs locaux</t>
  </si>
  <si>
    <t>Stade type</t>
  </si>
  <si>
    <t>Fioul (groupes électrogènes)</t>
  </si>
  <si>
    <t>Ratio kWh/capacité</t>
  </si>
  <si>
    <t>Mix énergétique (en kWh)</t>
  </si>
  <si>
    <t>Quantité d'énergie consommée par an en MWh</t>
  </si>
  <si>
    <t>Rappelons ici que le levier de décarbonation que nous cherchons à quantifier est le suivant : remplacement des systèmes énergétiques pour sortir des énergies fossiles (remplacement des chaudières fioul et gaz par des pompes à chaleur, ENR, etc.)</t>
  </si>
  <si>
    <t>FEDENE, https://www.connaissancedesenergies.org/sites/connaissancedesenergies.org/files/pdf-actualites/Enquête%20des%20réseaux.pdf</t>
  </si>
  <si>
    <t>III) Détail des calculs</t>
  </si>
  <si>
    <t>A. Quantités consommées</t>
  </si>
  <si>
    <t xml:space="preserve">Cela conduit au tableau suivant : </t>
  </si>
  <si>
    <t>Sandwich jambon beurre</t>
  </si>
  <si>
    <t>Quantités consommées sur une saison (périmètre France)</t>
  </si>
  <si>
    <t>Émissions en tCO2e sur une saison (périmètre France)</t>
  </si>
  <si>
    <t>FE en kgCO2e/repas</t>
  </si>
  <si>
    <t>Sodas</t>
  </si>
  <si>
    <t>Vin</t>
  </si>
  <si>
    <t>FE en kgCO2e/boisson</t>
  </si>
  <si>
    <t>ANNEXE 5 : Calcul des nouveaux FE</t>
  </si>
  <si>
    <t xml:space="preserve">On recalcule les FE pour tenir compte des volumes consomés en ANNEXE 5 et en rajoutant les emballages. En prenant en compte également le total des spectateurs sur une saison en France, cela donne les résultats suivants : </t>
  </si>
  <si>
    <t>Ici, nous calculons les nouveaux FE par catégorie tenant compte des quantités écoulées et en rajoutant les emballages :</t>
  </si>
  <si>
    <t>Poids (en kg)</t>
  </si>
  <si>
    <t>On s'interesse ici à l'alimentation des personnes uniquement les jours de matchs.</t>
  </si>
  <si>
    <t xml:space="preserve">Etape 2 : Calcul des émissions de l'alimentation, des boissons et emballages </t>
  </si>
  <si>
    <t xml:space="preserve">Quantités consommées </t>
  </si>
  <si>
    <t>Quantités consommées alimentation</t>
  </si>
  <si>
    <t>Quantités consommées boisson</t>
  </si>
  <si>
    <t xml:space="preserve">Répartition par type de plat/boisson </t>
  </si>
  <si>
    <t>Répartition par type de plat/boisson</t>
  </si>
  <si>
    <t>Soda industrielle non local</t>
  </si>
  <si>
    <t>Bière industrielle non locale</t>
  </si>
  <si>
    <t>Vin non local</t>
  </si>
  <si>
    <t>Bière bio locale</t>
  </si>
  <si>
    <t>Soda bio local</t>
  </si>
  <si>
    <t>Vin bio local</t>
  </si>
  <si>
    <t>Quantité/personne sur un match pour un stade type</t>
  </si>
  <si>
    <t>Émissions par match (tCO2e) pour un stade type</t>
  </si>
  <si>
    <t>FE "Plat et snacks avec une dominante poulet/porc"</t>
  </si>
  <si>
    <t>FE "Plat et snacks avec une dominante bœuf"</t>
  </si>
  <si>
    <t>Plat et snacks avec une dominante bœuf</t>
  </si>
  <si>
    <t>Plat et snacks avec une dominante poulet/porc</t>
  </si>
  <si>
    <t>Nombre de plat et snacks avec une dominante bœuf</t>
  </si>
  <si>
    <t>Nombre de plat et snacks avec une dominante poulet/porc</t>
  </si>
  <si>
    <t>Nombre de plat et snacks végétariens</t>
  </si>
  <si>
    <t>FE plats et snacks végétariens (kgCO2e/repas)</t>
  </si>
  <si>
    <t>FE plats et snacks à dominante poulet/porc (kgCO2e/repas)</t>
  </si>
  <si>
    <t>FE plats et snacks à dominante bœuf (kgCO2e/repas)</t>
  </si>
  <si>
    <t>Plats et snacks avec une dominante bœuf</t>
  </si>
  <si>
    <t>Plats et snacks avec une dominante poulet/porc</t>
  </si>
  <si>
    <t>Plats et snacks végétariens</t>
  </si>
  <si>
    <t>Intensité carbone des plats/boissons</t>
  </si>
  <si>
    <t>3) Alimentation des sportifs, de l'équipe encadrante et des professionnels du stade</t>
  </si>
  <si>
    <t xml:space="preserve"> Il s'agit d'un mix global : les repas des sportifs pourront être plus riches en protéines animales, mais devront être compensés par une alimentation plus riche en protéines animales pour les autres acteurs (staff et professionnels).</t>
  </si>
  <si>
    <t>FE repas végétarien</t>
  </si>
  <si>
    <t>Nombre de boissons servis sur un match</t>
  </si>
  <si>
    <t>Part de bière bio et locale</t>
  </si>
  <si>
    <t>Part de soda bio et local</t>
  </si>
  <si>
    <t>Part de vin bio et local</t>
  </si>
  <si>
    <t xml:space="preserve">i) Alimentation </t>
  </si>
  <si>
    <t>ii) Boissons</t>
  </si>
  <si>
    <t>B. Intensité carbone des repas et répartition par type de boisson/repas</t>
  </si>
  <si>
    <t>LEVIERS : IMMOBILISATIONS</t>
  </si>
  <si>
    <t>Quantités de matériaux consommés</t>
  </si>
  <si>
    <t>÷</t>
  </si>
  <si>
    <t>Equipe de France - Football Homme</t>
  </si>
  <si>
    <t>Equipe de France - Football Femme</t>
  </si>
  <si>
    <t>Source 4</t>
  </si>
  <si>
    <t>Part sans "Inconnu" et "Déjà en France"</t>
  </si>
  <si>
    <t>Source 2 : Moyens de transport pour se rendre en France - Euro 2016 (https://fr.uefa.com/MultimediaFiles/Download/OfficialDocument/uefaorg/General/02/43/74/65/2437465_DOWNLOAD.pdf)</t>
  </si>
  <si>
    <t>Commentaire : On retire la part "Déjà en France" et "Inconnu" pour avoir une bonne représentation. Echantillon de 25 000 personnes.</t>
  </si>
  <si>
    <t>Source 3 : Moyennes des modes de transport utilisés pour voyager durant un échange ERASMUS (https://www.esn.org/news/launch-preliminary-results-xv-esnsurvey)</t>
  </si>
  <si>
    <t>Commentaire : Suppression du bateau comme mode de transport, quasiment jamais utilisé pour se rendre à un match sur une journée. Echantillon de 14 489 personnes. Etude de 2023.</t>
  </si>
  <si>
    <t>Source 5 : Moyenne sur un pannel d'enquêtes mobilités de clubs, RI TSP "Décarbonons les grandes manifestations sportives dans les stades"</t>
  </si>
  <si>
    <t>Source 6 : Enquête mobilité d'un club de région parisien anonyme</t>
  </si>
  <si>
    <t xml:space="preserve">Commentaire : Nous additionons la part de deux roues motorisées (12% d'après l'enquête) à la part de voiture (41%) étant donné le FE d'émission proche (0,11 kgCO2e/peq.km pour la voiture contre 0,08 kgCO2e/peq.km pour les deux roues motorisées) pour faciliter le calcul. </t>
  </si>
  <si>
    <t>Cette simplification tend à sous-estimer légèrement les émissions de GES. Par ailleurs et étant donné l'absence de données sur la répartition bus, métro/tramway et train, nous divisons la part modale associée aux transports en commun en trois.</t>
  </si>
  <si>
    <t>a) Equipe extérieure national (FR)</t>
  </si>
  <si>
    <t>b) Equipe extérieure internationale européenne et non-européenne (EU et NEU)</t>
  </si>
  <si>
    <t>Distances et nombre de rencontres stables + décarbonation optimiste de l'aérien</t>
  </si>
  <si>
    <t>Variante 2.1 - 2050</t>
  </si>
  <si>
    <t>Variante 1 - 2050</t>
  </si>
  <si>
    <t>Variante 2.2 - 2050</t>
  </si>
  <si>
    <t>Distances et nombre de rencontres stables + décarbonation pessimiste de l'aérien et des industries automobiles</t>
  </si>
  <si>
    <t>Décarbonation pessimiste de l'aérien et des industries automobiles + sobriété pour les rencontres internationales</t>
  </si>
  <si>
    <t>Nombre de passagers</t>
  </si>
  <si>
    <t>Déplacements équipe matchs internationaux européens</t>
  </si>
  <si>
    <r>
      <rPr>
        <b/>
        <sz val="12"/>
        <color rgb="FF7030A0"/>
        <rFont val="Arial"/>
        <family val="2"/>
      </rPr>
      <t>Hypothèse 1 :</t>
    </r>
    <r>
      <rPr>
        <sz val="12"/>
        <color theme="1"/>
        <rFont val="Arial"/>
        <family val="2"/>
      </rPr>
      <t xml:space="preserve"> Pour les déplacements nationaux, on considère que 50% des trajets seront effectués en train.</t>
    </r>
  </si>
  <si>
    <r>
      <rPr>
        <b/>
        <sz val="12"/>
        <color rgb="FF7030A0"/>
        <rFont val="Arial"/>
        <family val="2"/>
      </rPr>
      <t>Hypothèse 2 :</t>
    </r>
    <r>
      <rPr>
        <sz val="12"/>
        <color theme="1"/>
        <rFont val="Arial"/>
        <family val="2"/>
      </rPr>
      <t xml:space="preserve"> Pour les déplacements nationaux, on considère que 45% des trajets seront effectués en car.</t>
    </r>
  </si>
  <si>
    <r>
      <rPr>
        <b/>
        <sz val="12"/>
        <color rgb="FF7030A0"/>
        <rFont val="Arial"/>
        <family val="2"/>
      </rPr>
      <t>Hypothèse 3 :</t>
    </r>
    <r>
      <rPr>
        <sz val="12"/>
        <color theme="1"/>
        <rFont val="Arial"/>
        <family val="2"/>
      </rPr>
      <t xml:space="preserve"> Pour les déplacements nationaux, nous considérons que l'usage de l'avion sera limité à un nombre très faible de déplacement. </t>
    </r>
  </si>
  <si>
    <r>
      <rPr>
        <b/>
        <sz val="12"/>
        <color rgb="FF7030A0"/>
        <rFont val="Arial"/>
        <family val="2"/>
      </rPr>
      <t>Hypothèse 1 :</t>
    </r>
    <r>
      <rPr>
        <sz val="12"/>
        <color theme="1"/>
        <rFont val="Arial"/>
        <family val="2"/>
      </rPr>
      <t xml:space="preserve"> Pour les déplacements internationaux hors Europe, on considère que 100% des tajets restent en avion.</t>
    </r>
  </si>
  <si>
    <r>
      <rPr>
        <b/>
        <sz val="12"/>
        <color rgb="FF7030A0"/>
        <rFont val="Arial"/>
        <family val="2"/>
      </rPr>
      <t>Hypothèse 2 :</t>
    </r>
    <r>
      <rPr>
        <sz val="12"/>
        <color theme="1"/>
        <rFont val="Arial"/>
        <family val="2"/>
      </rPr>
      <t xml:space="preserve"> Pour les déplacements internationaux d'équipe européenne, on considère que 30% des trajets sont reportés vers le train ou le car.</t>
    </r>
  </si>
  <si>
    <r>
      <rPr>
        <b/>
        <sz val="12"/>
        <color rgb="FF7030A0"/>
        <rFont val="Arial"/>
        <family val="2"/>
      </rPr>
      <t>Hypothèse 3 :</t>
    </r>
    <r>
      <rPr>
        <sz val="12"/>
        <color theme="1"/>
        <rFont val="Arial"/>
        <family val="2"/>
      </rPr>
      <t xml:space="preserve"> On considère que les équipes sportives n'emprunte plus d'avions affrétés d'ici 2050.</t>
    </r>
  </si>
  <si>
    <r>
      <rPr>
        <b/>
        <sz val="12"/>
        <color rgb="FF7030A0"/>
        <rFont val="Arial"/>
        <family val="2"/>
      </rPr>
      <t xml:space="preserve">Hypothèse 1 : </t>
    </r>
    <r>
      <rPr>
        <sz val="12"/>
        <color theme="1"/>
        <rFont val="Arial"/>
        <family val="2"/>
      </rPr>
      <t>Pour les  TGV (12,9% des vkm), amélioration de 20% de la consommation unitaire par vkm et de 20% de la capacité d'ici 2050</t>
    </r>
  </si>
  <si>
    <r>
      <rPr>
        <b/>
        <sz val="12"/>
        <color rgb="FF7030A0"/>
        <rFont val="Arial"/>
        <family val="2"/>
      </rPr>
      <t xml:space="preserve">Hypothèse 2 </t>
    </r>
    <r>
      <rPr>
        <sz val="12"/>
        <color theme="1"/>
        <rFont val="Arial"/>
        <family val="2"/>
      </rPr>
      <t>: Pas de changements pour les autres trains.</t>
    </r>
  </si>
  <si>
    <t xml:space="preserve">Voiture </t>
  </si>
  <si>
    <t>Etant donné que les modes de déplacement et les distances parcourues sont différentes entre les compétitions nationales et internationales, nous séparons les analyses pour évaluer le potentiel du levier.</t>
  </si>
  <si>
    <t>Déplacements des cars à vide</t>
  </si>
  <si>
    <t>1) National</t>
  </si>
  <si>
    <t>Déplacements équipe extérieure nationale</t>
  </si>
  <si>
    <t>Nombre de passagers équipe locale OU visiteuse</t>
  </si>
  <si>
    <t>Nombre de passagers matchs européens</t>
  </si>
  <si>
    <t>Distance parcourue en moyenne (en km)</t>
  </si>
  <si>
    <t>Facteur d'émission avion commercial en court, moyen ou long courrier (kg éq. CO2/peq.km)</t>
  </si>
  <si>
    <t>Nombre de passagers (ou trajets pour le car à vide)</t>
  </si>
  <si>
    <t>II. Calcul :</t>
  </si>
  <si>
    <r>
      <t>- Distance parcourue par chaque rencontre</t>
    </r>
    <r>
      <rPr>
        <sz val="12"/>
        <color rgb="FF000000"/>
        <rFont val="Arial"/>
        <family val="2"/>
        <scheme val="minor"/>
      </rPr>
      <t> :</t>
    </r>
  </si>
  <si>
    <r>
      <t>- Distance par personne</t>
    </r>
    <r>
      <rPr>
        <sz val="12"/>
        <color rgb="FF000000"/>
        <rFont val="Arial"/>
        <family val="2"/>
        <scheme val="minor"/>
      </rPr>
      <t> :</t>
    </r>
  </si>
  <si>
    <r>
      <t>- Distance totale pour toutes les personnes sur la saison</t>
    </r>
    <r>
      <rPr>
        <sz val="12"/>
        <color rgb="FF000000"/>
        <rFont val="Arial"/>
        <family val="2"/>
        <scheme val="minor"/>
      </rPr>
      <t> :</t>
    </r>
  </si>
  <si>
    <t>Part matchs internationaux - hors Europe</t>
  </si>
  <si>
    <t>Part matchs internationaux Europe</t>
  </si>
  <si>
    <t>Annexe 3 : Graphiques supplémentaires</t>
  </si>
  <si>
    <t>Rencontres internationales européennes</t>
  </si>
  <si>
    <t xml:space="preserve">Afin de simplifier les calculs pour quantifier les leviers de décarbonation, on fait la moyenne des distances parcourues pour les rencontres européennes et internationales. Cela donne le tableau récap suivant : </t>
  </si>
  <si>
    <t xml:space="preserve">Nombre de passagers équipes locales </t>
  </si>
  <si>
    <t>Détails du calcul en annexe 4.</t>
  </si>
  <si>
    <t>Empreinte totale (tCO2e)</t>
  </si>
  <si>
    <t xml:space="preserve">Nombre de passagers équipes visiteuses </t>
  </si>
  <si>
    <t>On considère que le schéma de déplacement ci-dessus est représentatif de l'ensemble des déplacements des équipes sur une saison pour les rencontres nationales. 
Pour connaitre le total des émissions, on multiplie les parts modales, les distances moyennes, les facteurs d'émissions et les parts modales associées au nombre de passagers sur une saison.</t>
  </si>
  <si>
    <t>i) Equipes locales</t>
  </si>
  <si>
    <t>ii) Equipes visiteuses</t>
  </si>
  <si>
    <t>Passagers + bus à vide</t>
  </si>
  <si>
    <t>Nombre spectateurs extérieurs</t>
  </si>
  <si>
    <t>Nombre spectateurs locaux</t>
  </si>
  <si>
    <t>Distance domicile-stade (AR)</t>
  </si>
  <si>
    <t>Matchs nationaux</t>
  </si>
  <si>
    <t>Nombre de rencontres</t>
  </si>
  <si>
    <t>Distance parcourue moyenne</t>
  </si>
  <si>
    <t>Nombre de spectateurs en moyenne sur un match</t>
  </si>
  <si>
    <t>Consommation annuelle (kWh)</t>
  </si>
  <si>
    <t>Ratio kWh/place par an</t>
  </si>
  <si>
    <t>Empreinte carbone (en tCO2e)</t>
  </si>
  <si>
    <t>Facteur d'émission (CO2e/kWh)</t>
  </si>
  <si>
    <t>Périmètre complet</t>
  </si>
  <si>
    <t>Empreinte carbone (tCO2e)</t>
  </si>
  <si>
    <t>A. Tableau récapitulatif</t>
  </si>
  <si>
    <t>B. Décomposition de la trajectoire 2022-2050</t>
  </si>
  <si>
    <t>Quantités consommées sur un match pour un stade type</t>
  </si>
  <si>
    <t xml:space="preserve">Pour les boissons, on obtient le tableau suivant : </t>
  </si>
  <si>
    <t>Ci-dessous, le tableau récapitulatif :</t>
  </si>
  <si>
    <t>IV) Annexes</t>
  </si>
  <si>
    <t>vFinale</t>
  </si>
  <si>
    <t xml:space="preserve">L'objectif est de quantifier les émissions de GES d'un stade type (ne disposant pas des données sur l'ensemble de l'échantillon) pour ensuite multiplier les émissions/capacité par la capacité totale des stades exploités par des clubs professionnels en France (plus le Stade de France). Nous estimons la quantité d'énergie consommée via les réseaux de chaleur grace aux données récoltées. Nous multiplions cette quantité d'énergie par le facteur d'émissions adapté issu de la base empreinte de l'ADEME.
Pour la consommation énergétique, nous utilisons les données de l'Annexe 1. À partir de ces données, nous estimons la consommation moyenne par place d'énergie via les réseaux de chaleur. Puis nous multiplions ce ratio par le nombre de place moyen dans un stade pour en déduire la consommation souhaitée. </t>
  </si>
  <si>
    <t xml:space="preserve">Element </t>
  </si>
  <si>
    <t>H1 : Suppression des emballages à usage unique et réduction de la part de la viande pour les repas carnés.</t>
  </si>
  <si>
    <t>H2 : Suppression des emballages à usage unique et réduction et passage au bio et local.</t>
  </si>
  <si>
    <t>Attention : les entrées et desserts ont été retirs des FE (pour correspondre au plat type)</t>
  </si>
  <si>
    <t>On considère comme inchangé ou équivalent les volumes consommés par les personnes durant les matchs.</t>
  </si>
  <si>
    <t>L'objectif est de quantifier les émissions de GES d'un stade type (ne disposant pas des données sur l'ensemble de l'échantillon) pour ensuite utiliser un ratio émissions/spectateur pour le multplier par la fréquentation totale des stades en France.
Pour le merchandising, on estime les ventes de produits en appliquant un pourcentage sur la fréquentation moyenne. Pour les nuitées des spectateurs visiteurs, on considère que 30% dorment en hôtel. On mutliplie ce chiffre par le facteur d'émission par nuitée.</t>
  </si>
  <si>
    <t>Empreinte carbone (en tCO2e) par an</t>
  </si>
  <si>
    <t>Ratio consommation/spectateur par an</t>
  </si>
  <si>
    <t>Facteur d'émission (kgCO2e/unité ou kgCO2e/nuitée)</t>
  </si>
  <si>
    <t>Amortissement</t>
  </si>
  <si>
    <t>ans</t>
  </si>
  <si>
    <t>L'objectif est de quantifier les émissions de GES d'un stade type (ne disposant pas des données sur l'ensemble de l'échantillon) pour ensuite utiliser un ratio émissions/spectateur pour le multplier par la fréquentation totale des stades en France.
On calcule l'amortissement du matériel numérique en fonction des éléments fournis par le club étudié et/ou des hypothèses.</t>
  </si>
  <si>
    <t xml:space="preserve">L'objectif est de quantifier les émissions de GES d'un stade type (ne disposant pas des données sur l'ensemble de l'échantillon) pour ensuite utiliser un ratio émissions/spectateur pour le multplier par la fréquentation totale des stades en France.
On ne comprend dans ce poste que deux éléments : un véhicule pour la tonte du gazon et un ou des véhicules pour la gestion, l'entretien et le transport dans le stade. </t>
  </si>
  <si>
    <t>=&gt; Autres matériels pouvant être pris en compte :
- Machines pour la luminothérapie 
- Pelouse synthéthique
- Machines pour le chauffage gazon
- Matériels buvette (frigo par ex.)</t>
  </si>
  <si>
    <t>Nice</t>
  </si>
  <si>
    <t>On reprend dans les éléments immobilisés en "10.3 Autres" les machines et véhicules qui engendrent une consommation d'énergie. On a ensuite intérogé le stadium manager du stade simulé pour faire une estimation de l'utilisation de ces véhicules/machines.
On estime que le stade moyen est représentatif de l'ensemble. On utilise donc ce modèle pour estimer l'empreinte carbone de l'ensemble des stades.</t>
  </si>
  <si>
    <t>Personnes dans l'équipe visiteuse</t>
  </si>
  <si>
    <t>Distance moyenne parcourue par l'équipe visiteuse :</t>
  </si>
  <si>
    <t>Personnes dans l'équipe locale</t>
  </si>
  <si>
    <t xml:space="preserve">Distance moyenne parcourue par l'équipe locale </t>
  </si>
  <si>
    <t>Rencontres dans la saison.</t>
  </si>
  <si>
    <t>Pour chaque rencontre, la distance totale parcourue par les deux équipes est :</t>
  </si>
  <si>
    <r>
      <t>- Distance totale pour toutes les rencontres</t>
    </r>
    <r>
      <rPr>
        <sz val="12"/>
        <color rgb="FF000000"/>
        <rFont val="Arial"/>
        <family val="2"/>
        <scheme val="minor"/>
      </rPr>
      <t> :</t>
    </r>
  </si>
  <si>
    <t>Pour l'ensemble des rencontres, la distance totale parcourue par équipes des championnats nationaux (visiteuse et locale) est de :</t>
  </si>
  <si>
    <t>Pour chaque rencontre, la distance totale parcourue par une équipe (multipliée par 42 personnes) est de :</t>
  </si>
  <si>
    <t xml:space="preserve">Équipe visiteuse : </t>
  </si>
  <si>
    <t xml:space="preserve">Équipe locale : </t>
  </si>
  <si>
    <t xml:space="preserve">Équipes visiteuses : </t>
  </si>
  <si>
    <t xml:space="preserve">Équipes locales : </t>
  </si>
  <si>
    <t>Distance totale parcourue par toutes les personnes pour l’ensemble de la saison :</t>
  </si>
  <si>
    <t>- Nombre passagers</t>
  </si>
  <si>
    <t>2) Europe</t>
  </si>
  <si>
    <t>ANNEXE 4 : Calculs supplémentaires</t>
  </si>
  <si>
    <t>Facteur d'émission avion commercial en court courrier (kg éq. CO2/peq.km)</t>
  </si>
  <si>
    <t xml:space="preserve">Afin de simplifier les calculs pour quantifier les leviers de décarbonation, on fait la moyenne des distances parcourues pour les rencontres européennes et internationales. Cela donne le tableau récapitulatif suivant : </t>
  </si>
  <si>
    <t>Rencontres nationales</t>
  </si>
  <si>
    <t>ii. Tableau récapitulatif</t>
  </si>
  <si>
    <t>Etape 3 : Ajout de l'empreinte carbone des déplacements des équipes sportives et encadrantes pour les matchs internationaux + récapitulatif</t>
  </si>
  <si>
    <t>3) Hors Europe</t>
  </si>
  <si>
    <t>*1 - Calcul car à vide</t>
  </si>
  <si>
    <t>Source / commentaire</t>
  </si>
  <si>
    <t>- H7 : 100% des trajets effectués en avion pour les trajets extra-nationaux.</t>
  </si>
  <si>
    <t>- H8 : On considère que les trajers domicile-stade de l'équipe + stade est similaire à un trajet professionnel. On applique donc le même FE.</t>
  </si>
  <si>
    <r>
      <rPr>
        <b/>
        <sz val="12"/>
        <color rgb="FF7030A0"/>
        <rFont val="Arial"/>
        <family val="2"/>
      </rPr>
      <t>Hypothèse :</t>
    </r>
    <r>
      <rPr>
        <sz val="12"/>
        <color theme="1"/>
        <rFont val="Arial"/>
        <family val="2"/>
      </rPr>
      <t xml:space="preserve"> on fait l'hypothèse que 30% des professionnels externes non-locaux sont remplacés par des professionnels locaux d'ici 2050.</t>
    </r>
  </si>
  <si>
    <t>Dont en voiture</t>
  </si>
  <si>
    <t>Dont en bus</t>
  </si>
  <si>
    <t>Dont mobilités douces</t>
  </si>
  <si>
    <t>Etape 2 : Calcul de l'empreinte carbone des déplacements employés sur le périmètre total</t>
  </si>
  <si>
    <t>Personnel externe local</t>
  </si>
  <si>
    <t>Employés internes</t>
  </si>
  <si>
    <t>Distance moyenne parcourue par les employés les jours de match (en km)</t>
  </si>
  <si>
    <t xml:space="preserve">EDF Homme </t>
  </si>
  <si>
    <t>Rencontre</t>
  </si>
  <si>
    <t>Audience TV France</t>
  </si>
  <si>
    <t>France - Autriche</t>
  </si>
  <si>
    <t>https://www.fff.fr/article/7620-l-audience-d-autriche-france.html</t>
  </si>
  <si>
    <t>France - Pays-Bas</t>
  </si>
  <si>
    <t>https://www.fff.fr/article/11445-audience-tv-5-8-millions-devant-grece-france.html</t>
  </si>
  <si>
    <t xml:space="preserve">France - Grèce </t>
  </si>
  <si>
    <t xml:space="preserve">France - Equipe nationale </t>
  </si>
  <si>
    <t>- HX : Etant donné les difficultés pour accéder aux audiences TV des rencontres féminines, on estime les audiences d'après un article de Radio France (https://www.radiofrance.fr/franceinter/coupe-du-monde-de-foot-que-donnent-les-audiences-des-femmes-par-rapport-aux-hommes-7303022) qui donne un facteur d'environ 3 entre les audiences de l'EDF H et F.</t>
  </si>
  <si>
    <t>France - Australie</t>
  </si>
  <si>
    <t>https://www.leparisien.fr/culture-loisirs/tv/audiences-tv-le-match-france-afrique-du-sud-cartonne-avec-plus-de-55-millions-de-spectateurs-13-11-2022-EXSE3ARTCBGXFNWZR5P44DKJQA.php</t>
  </si>
  <si>
    <t>France - Afrique du Sud</t>
  </si>
  <si>
    <t>France - Japon</t>
  </si>
  <si>
    <t>https://www.lefigaro.fr/sports/rugby/xv-de-france/xv-de-france-belle-audience-tele-pour-france-japon-20221121</t>
  </si>
  <si>
    <t>France - Ecosse</t>
  </si>
  <si>
    <t>https://www.rugbyrama.fr/rugby/xv-de-france/2021/xv-de-france-audiences-tele-nouveau-record-pour-les-bleus-face-a-l-ecosse-dans-ce-six-nations_sto8819652/story.shtml</t>
  </si>
  <si>
    <t>France - Pays de Galles</t>
  </si>
  <si>
    <t>https://www.rugbyrama.fr/2023/03/19/6-nations-2023-belle-audience-pour-france-pays-de-galles-11072912.php</t>
  </si>
  <si>
    <t>https://www.lefigaro.fr/sports/rugby/coupe-du-monde/rugby-france-ecosse-en-tete-des-audiences-tele-samedi-soir-20230813</t>
  </si>
  <si>
    <t>https://www.ouest-france.fr/sport/rugby/france-feminines/6-nations-un-record-daudience-malgre-la-defaite-pour-les-bleues-7b8e7bdc-e99c-11ed-9fc1-d1b3d5c6a662#:~:text=La%20retransmission%20sur%20France%202,marché%20de%2021%2C6%20%25.</t>
  </si>
  <si>
    <t>PSG - Bayern</t>
  </si>
  <si>
    <t>https://www.leparisien.fr/culture-loisirs/tv/audiences-tv-carton-pour-bayern-psg-derriere-les-siffleurs-et-top-chef-09-03-2023-PKUUG5LKBNA4DGW7JIBKDOINAU.php</t>
  </si>
  <si>
    <t>OM - Tottenham</t>
  </si>
  <si>
    <t>https://www.onzemondial.com/ligue-des-champions/om-tottenham-plus-d-un-million-de-telespectateurs-ont-vecu-l-elimination-des-phoceens--804229</t>
  </si>
  <si>
    <t>PSG - Maccabi</t>
  </si>
  <si>
    <t>https://sportune.20minutes.fr/medias/maccabi-psg-audience-tele-en-legere-baisse-pour-paris-a-haifa-292189</t>
  </si>
  <si>
    <t>PSG - Benfica</t>
  </si>
  <si>
    <t>https://www.footmercato.net/a8203721980674439068-audiences-ldc-le-psg-surclasse-lom</t>
  </si>
  <si>
    <t>OM - Sporting Lisbonne</t>
  </si>
  <si>
    <t>https://sportune.20minutes.fr/medias/sporting-om-canal-cinquieme-audience-de-la-soiree-avec-la-c1-293778</t>
  </si>
  <si>
    <t>Club français - club étranger</t>
  </si>
  <si>
    <t>https://www.sportstrategies.com/audience-record-pour-la-finale-de-la-ligue-des-champions-feminine/</t>
  </si>
  <si>
    <t>- HX : Etant donné que la finale a attiré près de 1,7 millions de personnes, on considère que les autres machs font une audience d'environ 500 000 téléspectateurs.</t>
  </si>
  <si>
    <t>FC Nantes - Olympikos</t>
  </si>
  <si>
    <t>https://tribunenantaise.fr/actus-fcnantes/le-fc-nantes-a-fait-des-grosses-audiences-sur-w9-en-europa-league/</t>
  </si>
  <si>
    <t>Rennes - Fenerbahçe</t>
  </si>
  <si>
    <t>https://tvmag.lefigaro.fr/programme-tv/audiences-tv/audiences-vise-le-coeur-termine-en-hausse-sur-tf1-w9-en-forme-avec-le-match-de-ligue-europa-20220916</t>
  </si>
  <si>
    <t>FC Nantes - Qarabag FK</t>
  </si>
  <si>
    <t>FC Nantes - Juventus</t>
  </si>
  <si>
    <t>https://www.foot01.com/equipe/nantes/tv-une-belle-audience-pour-juventus-nantes-419434</t>
  </si>
  <si>
    <t>Rennes - Shakhtar Donetsk</t>
  </si>
  <si>
    <t>https://www.leparisien.fr/culture-loisirs/tv/audiences-tv-balthazar-sacheve-en-dominant-ses-adversaires-24-02-2023-3QPLPNRTGJCQ7BXO42APYI5Q2E.php#:~:text=Du%20côté%20des%20autres%20chaînes,7%2C4%20%25%20du%20public.</t>
  </si>
  <si>
    <t>Champions Cup</t>
  </si>
  <si>
    <t>https://actu.fr/sports/rugby/coupe-deurope/champions-cup-des-cartons-d-audience-pour-les-victoires-du-stade-toulousain-et-de-la-rochelle_41529394.html</t>
  </si>
  <si>
    <t>- HX : Etant donné que les phases finales attirent près de 2 millions de personnes, on considère que les autres machs font une audience d'environ 1 000 000 téléspectateurs.</t>
  </si>
  <si>
    <t>L1</t>
  </si>
  <si>
    <t>L2</t>
  </si>
  <si>
    <t>D1</t>
  </si>
  <si>
    <t>Audience estimée par match</t>
  </si>
  <si>
    <t>Nombre de téléspecateurs</t>
  </si>
  <si>
    <t>Nombre de rencontres / saison</t>
  </si>
  <si>
    <t>Hypothèse audience</t>
  </si>
  <si>
    <t>Source audience</t>
  </si>
  <si>
    <t>EDF Football Homme</t>
  </si>
  <si>
    <t>EDF Football Femme</t>
  </si>
  <si>
    <t>EDF Rugby Homme</t>
  </si>
  <si>
    <t>EDF Rugby Femme</t>
  </si>
  <si>
    <t>Ligue Europa Conference</t>
  </si>
  <si>
    <t>En ramenant les émissions par personne, on obtient environ</t>
  </si>
  <si>
    <t>Ci-dessous, nous posons des hypothèses d'audience moyenne pour chaque type de championnat / rencontre sportive. Les détails sont à retrouver en annexe.</t>
  </si>
  <si>
    <t>1) Niveau national :</t>
  </si>
  <si>
    <t>Source 1 : https://maligue2.fr/2021/10/02/ligue-2-450-000-spectateurs-en-moyenne-devant-le-multiplex-en-clair/
Source 2 : https://maligue2.fr/2021/07/25/ligue-2-la-chaine-lequipe-devoile-les-audiences-du-multiplex-avec-un-pic-a-un-million-de-spectateurs/</t>
  </si>
  <si>
    <t>Source 1 : https://www.sofoot.com/breves/la-ligue-1-a-perdu-la-moitie-de-ses-telespectateurs-en-dix-ans
Source 2 : https://alloforfait.fr/tv/news/109082-mediametrie-plus-clarte-audiences-pass-ligue-1-prime-video.html
Source 3 : https://www.lerugbynistere.fr/news/audiences-le-rugby-est-seulement-le-4e-sport-le-plus-suivi-sur-canal-1004221209.php#goog_rewarded</t>
  </si>
  <si>
    <t>Source 1 : https://www.lerugbynistere.fr/news/une-pro-d2-deux-fois-plus-regardee-que-la-ligue-2-quelles-equipes-seduisent-le-plus-2910211718.php</t>
  </si>
  <si>
    <t>1) EDF Football Homme</t>
  </si>
  <si>
    <t>2) EDF Football Femme</t>
  </si>
  <si>
    <t>3) EDF Rugby Homme</t>
  </si>
  <si>
    <t>4) EDF Rugby Femme</t>
  </si>
  <si>
    <t>2) Niveau international :</t>
  </si>
  <si>
    <t>5) Champions League</t>
  </si>
  <si>
    <t>6) Champions League</t>
  </si>
  <si>
    <t>7) Ligue Europa</t>
  </si>
  <si>
    <t>8) Champions Cup</t>
  </si>
  <si>
    <t>9) Challenge Cup</t>
  </si>
  <si>
    <t>Annexe 1.1</t>
  </si>
  <si>
    <t>Annexe 1.2</t>
  </si>
  <si>
    <t>Annexe 1.3</t>
  </si>
  <si>
    <t>Annexe 1.4</t>
  </si>
  <si>
    <t>Annexe 1.5</t>
  </si>
  <si>
    <t>Annexe 1.6</t>
  </si>
  <si>
    <t>Annexe 1.7</t>
  </si>
  <si>
    <t>Annexe 1.8</t>
  </si>
  <si>
    <t>Annexe 1.9</t>
  </si>
  <si>
    <t>Etape 2 : Calcul des audiences globales</t>
  </si>
  <si>
    <t>Etape 3 : Calcul de l'empreinte carbone du poste</t>
  </si>
  <si>
    <t>1) Cadre SNBC scénario AMS</t>
  </si>
  <si>
    <t>Réduction des émissions par secteur du scénario AMS à l’horizon 2050</t>
  </si>
  <si>
    <t>Réduc 2050</t>
  </si>
  <si>
    <t>Secteur</t>
  </si>
  <si>
    <t>Par rapport à 2015</t>
  </si>
  <si>
    <t>Transports</t>
  </si>
  <si>
    <t>Bâtiments</t>
  </si>
  <si>
    <t>Agriculture/Sylviculture (hors UTCATF)</t>
  </si>
  <si>
    <t>Industrie</t>
  </si>
  <si>
    <t>Production d’énergie</t>
  </si>
  <si>
    <t>Total (Hors UTCATF)</t>
  </si>
  <si>
    <t>Émissions résiduelles</t>
  </si>
  <si>
    <t>B. Éclairages sur l’application de la Stratégie Nationale Bas-Carbone (SNBC) au secteur sportif</t>
  </si>
  <si>
    <t xml:space="preserve">La SNBC fixe des trajectoires de réduction des émissions de gaz à effet de serre cohérentes avec des budgets carbone sectoriels. Si elle est engageante pour l’ensemble des entreprises et citoyens, elle s’adresse toutefois en priorité aux décideurs publics, qui doivent la prendre en compte. Elle s’applique aux échelons national, régional et intercommunal, en métropole et dans les territoires ultramarins. </t>
  </si>
  <si>
    <t>Il paraît évident que, étant donné les chiffres avancés en tableau 1, impliquant des transformations importantes, la plupart des dimensions physiques du secteur sportif vont être directement mises à contribution ou impactées. Le tableau suivant fournit un exemple de projections indicatives pour le secteur du transport.</t>
  </si>
  <si>
    <t xml:space="preserve">Les transformations à engager dans la production énergétique sont tout autant éloquentes (tableau 3). Conformément aux objectifs sur la production d’électricité, l’ensemble des groupes électrogènes fioul seront à soustraire d’ici 2050. </t>
  </si>
  <si>
    <t xml:space="preserve">Le secteur tertiaire (tableau 4) devra également se conformer à une division par deux de ses émissions d’ici 2030 et d’une réduction de 95% d’ici la moitié du siècle. L’isolation thermique des bâtiments, la sobriété et le changement d’énergie vers des sources bas-carbone pour tous les chauffages fossiles sont autant de pistes envisagées pour le secteur. </t>
  </si>
  <si>
    <t>PRO 2022</t>
  </si>
  <si>
    <t xml:space="preserve">H1 : On fait l'hypothèse que la moyenne des distances parcourues par les clubs de L1, L2, TOP 14 et PRO D2 est représentatif.On utilise cette même distance pour la D1 Féminine.
H2 : Pour la fréquentation des matchs, nous avons des données d'une étude Sporsora pour la saison 2023/2024 (1). Selon l'étude, en moyenne, la fréquentation des matchs sur la saison 2023/2024 a augmenté de +14% par rapport à la saison 2022/2023. On multiplie donc les affluences par -14% pour avoir une estimation de la fréquentation sur l'année d'étude. 
H3 : Pour le club de Soyaux et Rodez, non compris sur notre source car portant sur la saison 2022/2023, nous avons pris une fréquentation moyenne.	</t>
  </si>
  <si>
    <t>H1 : On fait l'hypothèse que la moyenne des distances parcourues par les clubs de L1, L2, TOP 14 et PRO D2 est représentatif.
H2 : Pour la finale de Coupe de France H, on recalcule les émissions du transport des spectateurs étant donné que le match est délocalisé. On prend l'empreinte par personne des spectateurs locaux pour les matchs au Stade de France et on la multiplie par l'affluence.</t>
  </si>
  <si>
    <t>H2 : Pour la finale de Coupe de France H, on recalcule les émissions du transport des spectateurs étant donné que le match est délocalisé. On prend l'empreinte par personne des spectateurs locaux pour les matchs au Stade de France et on la multiplie par l'affluence.</t>
  </si>
  <si>
    <t>H1 : La distance a été calculée grâce à Mappy. Distance routière entre les clubs pour les championnats pros de football et de rugby (uniquement France continentale)</t>
  </si>
  <si>
    <t xml:space="preserve">H1 : La distance a été calculée grâce à Mappy. Distance routière entre les clubs pour les championnats pros de football et de rugby (uniquement France continentale)																											</t>
  </si>
  <si>
    <t>CDF Homme</t>
  </si>
  <si>
    <t>CDF Femme</t>
  </si>
  <si>
    <t xml:space="preserve">Nombre de rencontres nationales totale sur une saison </t>
  </si>
  <si>
    <t>Source 9 : Anonyme</t>
  </si>
  <si>
    <t>Part de spectateurs français</t>
  </si>
  <si>
    <t>Part de spectateurs étrangers/visiteurs</t>
  </si>
  <si>
    <t>Matchs internationaux EDF non européens</t>
  </si>
  <si>
    <t>Matchs internationaux EDF européens</t>
  </si>
  <si>
    <t>N.B. : pour les matchs nationaux, on prendra comme hypothèse que 100% des spectateurs viennent de France, les données du stade recueillies ici n'étant probablement pas représentatives des données des autres stades.</t>
  </si>
  <si>
    <t>Source 10 : FluxVision</t>
  </si>
  <si>
    <t>Match 1 : Equipe de France football - France Allemagne (23/03/2024 - Lyon)</t>
  </si>
  <si>
    <t>Match 2 : Equipe de France football - France Chilli (26/03/2024 - Marseille)</t>
  </si>
  <si>
    <t xml:space="preserve">Une partie importante des spectateurs extérieurs ne viennent pas du pays affronté mais de pays divers (Etats-Unis, pays européens, etc.) ce qui peut biaiser le calcul sur les distances parcourues. La valeur obtenue initiale en pourcentage de spectateurs étrangers étant de 8,1%, nous l'abaissons à 5% pour éviter ce biais. </t>
  </si>
  <si>
    <t>Match 3 : OM - Villareal (07/03/2024)</t>
  </si>
  <si>
    <t>Match 4 : OM - Benfica (18/04/2024)</t>
  </si>
  <si>
    <t>Bilan : Les données ci-dessus ainsi que l'apport d'autres hypothèses nous permet de tirer le tableau synthéthique suivant :</t>
  </si>
  <si>
    <t xml:space="preserve">Matchs internationaux européens (notés EU) </t>
  </si>
  <si>
    <t xml:space="preserve">Matchs internationaux non-européens (notés NEU) </t>
  </si>
  <si>
    <t>Type de rencontre</t>
  </si>
  <si>
    <t>Part de spectateurs locaux</t>
  </si>
  <si>
    <t>Part de spectateurs visiteurs</t>
  </si>
  <si>
    <t>Equipe de France football et rugby homme</t>
  </si>
  <si>
    <t>Source : Tableaux ci-dessus.</t>
  </si>
  <si>
    <t>Equipe de France football et rugby femme</t>
  </si>
  <si>
    <t>- H5 : Pour les rencontres EDF F rugby et foot, on prend les mêmes hypothèses que lors du RI de mars 2024 à savoir 2,5% de spectateurs visiteurs lors des rencontres internationales européennes et 1% lors des rencontres internationales non-européennes.</t>
  </si>
  <si>
    <t>Championnats internationaux de clubs</t>
  </si>
  <si>
    <t>- H5 : Pour les rencontres internationales de clubs, on utilise les données ci-dessus pour les rencontres entre clubs européens et la même hypothèse que les rencontres EDF Femme pour les rencontres internationales non-européennes.</t>
  </si>
  <si>
    <t>ANNEXE 3 : Parts modales sources et hypotèses</t>
  </si>
  <si>
    <t>A) Spectateurs locaux</t>
  </si>
  <si>
    <t>A) Spectateurs visiteurs</t>
  </si>
  <si>
    <t>2) Spectateurs extérieurs internationaux européens (EU)</t>
  </si>
  <si>
    <t>1) Spectateurs visiteurs nationaux</t>
  </si>
  <si>
    <t>3) Spectateurs extérieurs internationaux non-européens (NEU)</t>
  </si>
  <si>
    <t xml:space="preserve">1) Spectateurs locaux urbains et périurbains </t>
  </si>
  <si>
    <t>2) Spectateurs locaux IDF (très urbain)</t>
  </si>
  <si>
    <t xml:space="preserve">ANNEXE 4 : Données sur la part de spectateurs extérieurs </t>
  </si>
  <si>
    <t>Facteur d'émissions des voitures électriques légeres</t>
  </si>
  <si>
    <t>Répartition par filière en France</t>
  </si>
  <si>
    <t>Stockage</t>
  </si>
  <si>
    <t>Incinération</t>
  </si>
  <si>
    <t>Recyclage</t>
  </si>
  <si>
    <t>Compostage</t>
  </si>
  <si>
    <t>Methanisation</t>
  </si>
  <si>
    <t>Plastique, France métropolitaine</t>
  </si>
  <si>
    <t>Carton, France métropolitaine</t>
  </si>
  <si>
    <t>Papier, France métropolitaine</t>
  </si>
  <si>
    <t>Déchets alimentaires, France métropolitaine</t>
  </si>
  <si>
    <t>Ordures ménagères moyenne, France métropolitaine</t>
  </si>
  <si>
    <t>Type de dechet</t>
  </si>
  <si>
    <t>Objectifs nationaux</t>
  </si>
  <si>
    <t>Passer à 65% de recyclage et/ou compostage pour tous les dechets en 2035 par rapport à 2021</t>
  </si>
  <si>
    <t>Alimentaire</t>
  </si>
  <si>
    <t xml:space="preserve">(AGEC) réduire le gaspillage alimentaire de 50 % d’ici 2025, par rapport à 2015, dans la distribution alimentaire et la restauration collective. (loi anti-gaspillage – article 11) ; </t>
  </si>
  <si>
    <t>Passer à 65% de recyclage et/ou compostage pour les dechets alimentaires en 2035 par rapport à 2021</t>
  </si>
  <si>
    <t>Plastiques</t>
  </si>
  <si>
    <t xml:space="preserve">Passer à 100% de plastique recyclés en 2035 par rapport à 2021
</t>
  </si>
  <si>
    <t>Type de traitement</t>
  </si>
  <si>
    <t>Facteur d'émissions en impact (en kgCO2/tonne de déchets)</t>
  </si>
  <si>
    <t xml:space="preserve">Plastique </t>
  </si>
  <si>
    <t>Fin de vie moyenne</t>
  </si>
  <si>
    <t xml:space="preserve">Carton </t>
  </si>
  <si>
    <t>/</t>
  </si>
  <si>
    <t>Dechets alimentaires</t>
  </si>
  <si>
    <t>Ordures menagères moyennes</t>
  </si>
  <si>
    <t>Facteur d'émissions (en kgCO2/tonne de déchets)</t>
  </si>
  <si>
    <t xml:space="preserve">Nous avons obtenus les données suivantes : </t>
  </si>
  <si>
    <t xml:space="preserve">1) MHR CGL Stadium </t>
  </si>
  <si>
    <t>2) Un match de L1</t>
  </si>
  <si>
    <t>kg/personne/match</t>
  </si>
  <si>
    <t>spectateurs soit</t>
  </si>
  <si>
    <t>Avec les données précédentes, nous pouvons moyenniser les déchets/personne/match en utilisant la répartition plus précise du tableau ci-dessous (club L1 anonyme) :</t>
  </si>
  <si>
    <t>Ci-dessous, la moyennisation des données donne :</t>
  </si>
  <si>
    <r>
      <rPr>
        <b/>
        <sz val="11"/>
        <color theme="1"/>
        <rFont val="Arial"/>
        <family val="2"/>
      </rPr>
      <t>Commentaire :</t>
    </r>
    <r>
      <rPr>
        <sz val="11"/>
        <color theme="1"/>
        <rFont val="Arial"/>
        <family val="2"/>
      </rPr>
      <t xml:space="preserve"> </t>
    </r>
  </si>
  <si>
    <t xml:space="preserve">L'Association Bilan Carbone avec le tableau maître v8.5 nous donne les répartitions suivantes : </t>
  </si>
  <si>
    <t xml:space="preserve">Avec la Base Empreinte, nous disposons des informations suivantes : </t>
  </si>
  <si>
    <t xml:space="preserve">Nous pouvons donc en déduire les facteurs d'émissions : </t>
  </si>
  <si>
    <t>ANNEXE 1 : Répartition par fillière en France en 2021 et FE</t>
  </si>
  <si>
    <t>LEVIERS : DÉCHETS</t>
  </si>
  <si>
    <t>Type de déchets</t>
  </si>
  <si>
    <t>tonnes déchets/an</t>
  </si>
  <si>
    <t>Volume de déchets (en tonne)</t>
  </si>
  <si>
    <t>FE Plastique en kgCO2e</t>
  </si>
  <si>
    <t>FE Carton en kgCO2e</t>
  </si>
  <si>
    <t>FE Verre en kgCO2e</t>
  </si>
  <si>
    <t>FE bio-déchets en kgCO2e</t>
  </si>
  <si>
    <t>Quantité de déchets</t>
  </si>
  <si>
    <t>Intensité carbone des déchets</t>
  </si>
  <si>
    <t xml:space="preserve">On précise les objectifs fixés </t>
  </si>
  <si>
    <t>On reprend le tableau de l'ABC (Association Bilan Carbone, tableau maître v8.5) avec la répartition par fillière en France en 2021 :</t>
  </si>
  <si>
    <t>D'après les objectifs nationaux et ce que nous avons fixés :</t>
  </si>
  <si>
    <r>
      <rPr>
        <b/>
        <sz val="12"/>
        <color theme="1"/>
        <rFont val="Arial"/>
        <family val="2"/>
      </rPr>
      <t>Commentaire :</t>
    </r>
    <r>
      <rPr>
        <sz val="12"/>
        <color theme="1"/>
        <rFont val="Arial"/>
        <family val="2"/>
      </rPr>
      <t xml:space="preserve"> </t>
    </r>
  </si>
  <si>
    <t>FE déchets ménagers en kgCO2e</t>
  </si>
  <si>
    <t>DIB et déchets ménagers</t>
  </si>
  <si>
    <t xml:space="preserve">Nous pouvons déduire grace aux étapes précédentes l'évolution des facteurs d'émissions au vu des objectifs fixés pour la répartition des traitement des dechets. </t>
  </si>
  <si>
    <t xml:space="preserve">On obtient donc les évolutions de volumes suivantes </t>
  </si>
  <si>
    <t>Objectifs chiffrés 2035</t>
  </si>
  <si>
    <t>Volumes en 2050 en tonne</t>
  </si>
  <si>
    <t>LEVIERS : RETRANSMISSION</t>
  </si>
  <si>
    <t>H1 : Un déchet DIB (Déchet Industriel Banal) désigne des déchets non dangereux issus d'activités économiques (industries, commerces, bureaux, collectivités, etc.). Ces déchets sont assimilables aux déchets ménagers en termes de composition et de gestion, mais proviennent d'entreprises plutôt que de foyers. On considère donc ici que les DIB sont égaux aux déchets ménagers. En outre, n'ayant pas de visibilité sur la composition des déchets "autres" (voir annexe 2), on considère qu'il s'agit également de déchets ménagers.</t>
  </si>
  <si>
    <t>Déchets des événements sportifs dans les stades.</t>
  </si>
  <si>
    <t>- Peu de données en provenance des clubs (seulement 3 clubs) pour confirmer le volume/personne.</t>
  </si>
  <si>
    <t>Etape 1 : Calcul de l'empreinte carbone des déchets du stade moyen</t>
  </si>
  <si>
    <t>Etape 2 : Empreinte totale du poste</t>
  </si>
  <si>
    <t>On dispose de données provenant de clubs ou stades dont seulement un a le détail sur le type de déchets. En faisant une moyenne du volume total des déchets / spectateur, on utilise ce ratio qu'on multiplie par la part relative des déchets du club possédant la répartition par déchet. On multiplie ensuite ces valeurs par le nombre de spectateurs du stade moyen (étape 1) ou au total sur la saison (étape 2). On obtient des volumes de déchet par type qu'on multiplie ensuite par les FE respectifs.</t>
  </si>
  <si>
    <t>- Facteurs d'émission : Base Empreinte (ADEME)
- Quantités de déchets fournies par des clubs/stades</t>
  </si>
  <si>
    <t>Volume des déchets en kg/personne/match</t>
  </si>
  <si>
    <t>Volumes en 2022 en tonne</t>
  </si>
  <si>
    <t>A) Évolution de l'intensité carbone des déchets</t>
  </si>
  <si>
    <t>B) Évolution des volumes jetés</t>
  </si>
  <si>
    <t>Etape 1 : Empreinte carbone des déplacements des employés sur un stade type pour un match</t>
  </si>
  <si>
    <t>clubs</t>
  </si>
  <si>
    <t>Distance en km par an</t>
  </si>
  <si>
    <t>i) Déplacements domicile-travail du personnel interne pour les matchs</t>
  </si>
  <si>
    <t>ii) Déplacements domicile-travail du personnel externe pour les matchs</t>
  </si>
  <si>
    <t xml:space="preserve">iiI) Déplacements domicile-travail du personnel interne hors match </t>
  </si>
  <si>
    <t>Nombre de jours travaillés dans l'année (hors match)</t>
  </si>
  <si>
    <t>Pour connaitre le nombre de passager on fait un ratio/spectateur multiplié par le nombre de spectateurs sur une saison. Pour les employés internes, on rajoute également les salariés du club faisant le trajet à l'année domicile-club/stade en multipliant le nombre de salariés moyen par le nombre de jours travaillés et le nombre de clubs.</t>
  </si>
  <si>
    <t>% d'évolution 2022-2035</t>
  </si>
  <si>
    <t>Réduire de 50% la quantité de dechets alimentaires produits en 2035 par rapport à 2023.</t>
  </si>
  <si>
    <t>Carton, verre et DIB (= déchets ménagers)</t>
  </si>
  <si>
    <t>Pour le rapport intermédiaire, on avait fait l'hypothèse que pour les spectateurs locaux, l'évolution de fréquentation des bus, métro/tramway, et train était similaire à l'augmentation pour la mobilité qutotidienne.</t>
  </si>
  <si>
    <t>On avait fait également l'hypothèse que la diminution de l'utilisation de la voiture est similaire pour les spectateurs locaux et pour la mobilité quotidienne. Enfin, on fait l'hypothèse que le reste des déplacements sont effectués en vélo (avec ou sans assistance) ou en marchant.</t>
  </si>
  <si>
    <t>Tenant compte des retours obtenus lors de nos consultations entre le rapport intermédiaire et final, nous avons revu à la hausse la part des transports en commun (bus, métro/tramway et train) et à la baisse la part de mobilité douce et de la voiture. Ces changements tiennent compte des spécificités du secteur (comme le fait que le stade est localisé en zone urbaine ou péri-urbaine, que les matchs ont lieu pour la plupart du temps le soir rendant plus difficile les trajets en mobilité douce sans infrastructures adéquates, etc.).</t>
  </si>
  <si>
    <t>2050 (Hypothèses PTEF)</t>
  </si>
  <si>
    <t>Ainsi, nous passons des hypothèses PTEF en 2050 en parts modales (mobilité quotidienne) aux hypothèses ajustées.</t>
  </si>
  <si>
    <t>2050 (Hypothèses PTEF ajustées)</t>
  </si>
  <si>
    <t>Nombre de clubs pros</t>
  </si>
  <si>
    <t xml:space="preserve">Capacité du stade type </t>
  </si>
  <si>
    <t xml:space="preserve">Nombre d'événements sportifs programmés par an en moyenne pour un stade : </t>
  </si>
  <si>
    <t>matchs en moyenne par stade</t>
  </si>
  <si>
    <t>Rajout du Stade de France (80 000) à l'ensemble.</t>
  </si>
  <si>
    <t xml:space="preserve">Méthodologie : </t>
  </si>
  <si>
    <t xml:space="preserve">L'objectif est de quantifier les émissions de GES d'un stade type (ne disposant pas des données sur l'ensemble de l'échantillon) pour ensuite multiplier les émissions/capacité par la capacité totale des stades professionnels en France. Informations sur ce stade ci-dessous : </t>
  </si>
  <si>
    <t>Etape 1: Estimation de l'empreinte carbone associée à la consommation de gaz et de fioul pour un stade type</t>
  </si>
  <si>
    <t xml:space="preserve">Ainsi, à l'aide de ces hypothèses et des annexes 1 et 2 disponibles, nous en déduisons les résultats suivants : </t>
  </si>
  <si>
    <t>H1 : Nous utilisons les données moyennes de l'ANNEXE 1 pour connaitre le mix énergétique et la consommation en énergie du stade.</t>
  </si>
  <si>
    <t>H2 : Le stade est équipé d'un groupe électrogène fonctionnant pendant les matchs pour assurer l'alimentation énergétique des diffuseurs.</t>
  </si>
  <si>
    <t xml:space="preserve">Etape 2 : Evaluation de l'empreinte carbone totale du poste </t>
  </si>
  <si>
    <t>On estime que le stade moyen est représentatif de l'ensemble. On utilise donc ce modèle pour estimer l'empreinte carbone de l'ensemble des stades en utilisant un ratio consommation énergétique / place assise et on le multiplie par la capacité totale des stades exploités par des clubs professionnels en France.</t>
  </si>
  <si>
    <t>Cela donne les résultats suivants :</t>
  </si>
  <si>
    <t>1. Base de données</t>
  </si>
  <si>
    <t>Emissions moyennes sur un match</t>
  </si>
  <si>
    <t>Etape 1 : Estimation de l'empreinte carbone associée à la consommation d'électricité</t>
  </si>
  <si>
    <t xml:space="preserve">Etape 1 : Nous estimons l'empreinte carbone associée à la consommation d'énergie via les réseaux de chaleur </t>
  </si>
  <si>
    <t>H1 : Nous utilisons les données moyennes de l'ANNEXE 1 pour connaitre le le mix énergétique et la consommation en énergie du stade.</t>
  </si>
  <si>
    <t>Etape 2 : Estimation de l'empreinte carbone totale du poste</t>
  </si>
  <si>
    <t>ANNEXE 2 : Facteur d'émissions</t>
  </si>
  <si>
    <r>
      <rPr>
        <b/>
        <sz val="11"/>
        <color rgb="FF7030A0"/>
        <rFont val="Arial"/>
        <family val="2"/>
      </rPr>
      <t>H1 :</t>
    </r>
    <r>
      <rPr>
        <sz val="11"/>
        <color theme="1"/>
        <rFont val="Arial"/>
        <family val="2"/>
      </rPr>
      <t xml:space="preserve"> L'année de référence pour le décret tertiaire est 2022. Aussi, la baisse de 60% de la consommation d'énergie en 2050 se fait par rapport à cette année de référence</t>
    </r>
  </si>
  <si>
    <r>
      <t>Pour cela nous prenons l'</t>
    </r>
    <r>
      <rPr>
        <b/>
        <sz val="11"/>
        <color rgb="FF7030A0"/>
        <rFont val="Arial"/>
        <family val="2"/>
      </rPr>
      <t>H1</t>
    </r>
    <r>
      <rPr>
        <sz val="11"/>
        <rFont val="Arial"/>
        <family val="2"/>
      </rPr>
      <t xml:space="preserve"> et la source (1). Sur cette base, nous avons l'évolution suivante entre 2022 et 2050 concernant la consommation d'énergie.</t>
    </r>
  </si>
  <si>
    <t>Nous allons ici calculer le nombre moyen de personne dans un match pour les postes suivants : personnel interne, personnel externe, sportifs et équipe encadrante. 
Pour cela nous disposons
- du nombre (en moyenne) de spectateurs, du nombre de sportifs moyens pour un match, du nombre de personnes dans l'équipe encadrante
- de la part occupée par les profesionnels parmi l'affluence moyenne d'un stade
- de la part des profesionnels internes et externes dans les profesionnels au total</t>
  </si>
  <si>
    <t>Etape 1 : Calculs et informations préliminaires</t>
  </si>
  <si>
    <t>Afin de simplifier le calcul (permettant in fine de rendre plus cohérent les leviers de décarbonation), nous regroupons les différents snacks et repas en quatre catégories :</t>
  </si>
  <si>
    <t>Etape 3 : Calcul de l'empreinte carbone totale du poste</t>
  </si>
  <si>
    <t>On s'interesse ici à l'alimentation des personnes uniquement les jours de matchs. On vise pour ces acteurs un mix de repas composé de 70% de repas végétarien, 10% de repas à dominante végétale avec du boeuf et 15% de repas à dominante végétale avec du poulet.</t>
  </si>
  <si>
    <t>Nombre de plat/snacks</t>
  </si>
  <si>
    <t>Emissions totales</t>
  </si>
  <si>
    <t xml:space="preserve">L'objectif est de quantifier les émissions de GES d'un stade type (ne disposant pas des données sur l'ensemble de l'échantillon) pour ensuite multiplier les émissions/spectateur par le totale des spectateurs en France. Informations sur ce stade ci-dessous : </t>
  </si>
  <si>
    <t>H1 : D'après les données obtenues en ANNEXE 4, 0,3% du public achète un maillot les jours de match. 
H2 : On considère que les sweat, pulls et écharpes représentent la moitié des ventes de maillots.</t>
  </si>
  <si>
    <t>Etape 1 : Calcul de l'empreinte carbone du merchandising sur un match</t>
  </si>
  <si>
    <t>On considère que la surface moyenne d'une place de parking est de 11,5 m2, soit 2,3 m x 5 m + une surface de circulation (source : https://www.mairie-questembert.fr/medias/2017/01/Annexe-1-ReglesRelativesAuCalculDesPlacesDeStationnement.pdf)</t>
  </si>
  <si>
    <t>Dans le "Label Stade" de la LNR, il est indiqué que les clubs pros doivent pouvoir proposer des aires de stationnement correspondant à 5% de la capacité maximale du stade en PRO D2 et 10% en TOP 14 (hors VIP).</t>
  </si>
  <si>
    <t>H4 : On considère que tous les stades disposent de 5% de leur capacité en parking.</t>
  </si>
  <si>
    <t>Commentaires :</t>
  </si>
  <si>
    <t xml:space="preserve">L'objectif est de quantifier les émissions de GES d'un stade type (ne disposant pas des données sur l'ensemble de l'échantillon) pour ensuite multiplier les émissions/capacité par la capacité totale des stades professionnels en France. </t>
  </si>
  <si>
    <t xml:space="preserve">Estimation : </t>
  </si>
  <si>
    <t>Empreinte totale (en tCO2e)</t>
  </si>
  <si>
    <t>Etape 1 : Calcul de l'empreinte carbone des immobilisations autres (mobilier, machines et véhicules) du stade moyen</t>
  </si>
  <si>
    <t>Etape 2 : Empreinte carbone totale du poste</t>
  </si>
  <si>
    <t>Etape 1 : Calcul de l'empreinte carbone du matériel numérique d'un stade moyen</t>
  </si>
  <si>
    <t>Etape 2 : Calcul de l'empreinte carbone totale du poste</t>
  </si>
  <si>
    <t>Capacité du stade type</t>
  </si>
  <si>
    <t>Etape 1 : Calcul de l'empreinte carbone des sources mobiles du stade moyen</t>
  </si>
  <si>
    <t>H1 : On considère que la tondeuse est utilisée toute l'année (52 semaines) à raison d'environ 10h de tonte par semaine. Ce chiffre peut varier au cours d'une saison.</t>
  </si>
  <si>
    <t>H2 : On considère que les véhicules utilitaires font environ 50km par semaine chacun. Cette distance va couvrir le transport de marchandises dans le stade, la gestion de déchets verts, l'entretien et le transport d'outils etc. </t>
  </si>
  <si>
    <t>Nombre de matchs par an à l'extérieur</t>
  </si>
  <si>
    <t xml:space="preserve">H1 : D'après des experts du secteur (Clara Girard, Guillaume Gouze), 95% des trajets effectués en avion par les équipes professionnels de football sont effectués en jet privé. Dans le rugby, l'usage est généralement pour les équipes est d'emprunter des vols commerciaux. </t>
  </si>
  <si>
    <t>H2 : La distance (ANNEXE 2) de déplacement de l'équipe extérieure est une distance routière calculée avec le site Mappy. Ainsi, la distance peut être surévaluée pour les trajets aériens mais </t>
  </si>
  <si>
    <t>H3 : On considère que l'équipe encadrante (staff) et les joueurs se déplacent de la même façon.</t>
  </si>
  <si>
    <t>H4 : Lorsque les équipes se déplacent via un autre mode de transport que le car, un car (ou un véhicule équivalent) fait très régulièrement un trajet à vide pour transporter les joueurs de la gare/aéroport d'arrivée au stade et/ou pour transporter le matériel de l'équipe.</t>
  </si>
  <si>
    <t>Distance en km saison</t>
  </si>
  <si>
    <t xml:space="preserve">H1 : On considère que 5% des spectateurs (donc de l'affluence) sont des visiteurs ou un public non-local ayant parcouru une longue-distance. Suivant l'importance de la rencontre et la proximité avec l'équipe extérieure, ce chiffre peut varier fortement. Le chiffre moyen de 5% a donc été choisi. </t>
  </si>
  <si>
    <t xml:space="preserve">H2 : Les parts modales pour les spectateurs extérieurs et non locaux ont été estimées grâce à la base de données du ministère (ANNEXE 4). </t>
  </si>
  <si>
    <t xml:space="preserve">H3 : La distance (ANNEXE 3) des déplacements des supporters visiteurs et non-locaux est la moyenne des distances routières de tous les clubs professionnels. Ainsi, la distance peut être surévaluée pour les trajets aériens mais est en partie compensée par les </t>
  </si>
  <si>
    <t>H4 : On considère que la distance domicile-stade pour les spectateurs locaux est identique à la distance domicile-travail du département (cf. poste 22). </t>
  </si>
  <si>
    <t>H5 : Les parts modales pour les spectateurs locaux ont été estimées grâce aux données récoltées en ANNEXE 2. Il s'agit du regroupement de plusieurs stades en fonction de la catégorie attribuée.</t>
  </si>
  <si>
    <t>H6 : Etant donné la part marginale du transport en deux roues motorisés (environ 1%) et la faible différence sur le facteur d'émission (0,08 kgCO2e/peq.km pour les deux roues motorisés contre 0,11 kgCO2e/peq.km pour la voiture),</t>
  </si>
  <si>
    <t xml:space="preserve">H1 : Le personnel interne est employé par le club ou par une autre organisation gestionnaire du stade (collectivité par exemple). On considère que leur activité est destiné aux activités du stade </t>
  </si>
  <si>
    <t>H2 : Pour le personnel interne, on considère que la distance stade-domicile est du domicile-travail. La distance moyenne retenue est donc celle du département (ANNEXE 2) ou se situe le stade.</t>
  </si>
  <si>
    <t>H3 : Etant donné la part marginale du transport en deux roues motorisés (environ 1%), on considère que les personnes se déplaçant avec ce mode de transport se déplacent en voiture.</t>
  </si>
  <si>
    <t>Distance moyenne</t>
  </si>
  <si>
    <t xml:space="preserve">L'objectif est de quantifier les émissions de GES d'un stade type (ne disposant pas des données sur l'ensemble de l'échantillon) pour ensuite multiplier les émissions/spectateur par les spectateurs totaux des stades professionnels en France. </t>
  </si>
  <si>
    <t>Nombre de téléspectateurs</t>
  </si>
  <si>
    <t xml:space="preserve">H1 : Nous utilisons les données moyennes obtenues en ANNEXE 1 pour connaitre le mix énergétique et la consommation du stade.
H2 : Le stade est équipé d'un groupe électrogène fonctionnant pendant les matchs pour assurer l'alimentation énergétique des diffuseurs. Il utilise un groupe Twin 250kVA pendant 4h les jours de match. Consommation à l'heure = 40L de fioul. </t>
  </si>
  <si>
    <t>(1) Données de consommation et mix énergétique : Echantillon de stades exploités par des clubs professionnels de football et de rugby (ANNEXE 1). Source : LFP et UCPR
(2) Facteurs d'émission : Base Empreinte (ADEME)</t>
  </si>
  <si>
    <t xml:space="preserve">L'objectif est de quantifier les émissions de GES d'un stade type (ne disposant pas des données sur l'ensemble de l'échantillon) pour ensuite multiplier les émissions/capacité par la capacité totale des stades exploités par des clubs professionnels en France.  Pour ce faire, on applique la méthode suivante : 
- Consommation énergétique : Pour le fioul et le gaz, nous effectuons une moyenne des consommations sur l'échantillon (en prenant en compte les stades où ces carburants ne sont pas consommés, l'inverse entraînant un biais dans l'analyse) puis ramenons ces données en kWh/place ou en litres/place, que nous multiplions ensuite par le nombre de places du stade étudié. 
- Groupes électrogènes : Cet élément a été séparé dans l'analyse car destiné à un usage différent (production d'électricité). Ces groupes sont très fréquemment utilisés pour la rediffusion des matchs afin d'assurer l'alimentation continue en énergie.  On considère que le groupe installé est un Twin 250kVA utilisé pendant 4h les jours de match (consommation à l'heure = 40L de fioul). </t>
  </si>
  <si>
    <t>Consommation énergétique de stades de football et de rugby.</t>
  </si>
  <si>
    <t>H1 : La consommation électrique du stade type est déterminée par la fonction polynomiale obtenue grâce à l'échantillon (ANNEXE 1).</t>
  </si>
  <si>
    <t>L'objectif est de quantifier les émissions de GES d'un stade type (ne disposant pas des données sur l'ensemble de l'échantillon) pour ensuite multiplier les émissions/capacité par la capacité totale des stades exploités par des clubs professionnels en France.  
Des données sur la consommation électrique de stades professionnels de football et de rugby nous ont été fournies. La représentation graphique (graphiques 1 et 2) de ces stades via la relation capacité/consommation (kWh) semble montrer une corrélation entre ces deux éléments. En effet, la régression via une fonction exponentielle donne un coefficient de détermination (R2) de 0,75 (à 1, la corrélation serait parfaite) et la régression avec une fonction polynomiale un R2 de 0,82. 
Bien que nous ne puissions établir de relation causale de manière certaine, cette tendance peut s'expliquer par des équipements et technologies plus importants lorsque le stade est plus grand ainsi qu'un nombre croissant de spectateurs. On remarque également qu'au fur et à mesure que la capacité du stade augmente, la consommation marginale d'électricité est croissante. 
Nous avons choisi d'utiliser la fonction polynomiale pour déterminer la consommation du stade étudié, celle-ci tendant mieux à estimer la consommation réelle des stades.</t>
  </si>
  <si>
    <t xml:space="preserve">Échantillon de 35 stades, qui pourrait être augmenté pour améliorer les hypothèses. </t>
  </si>
  <si>
    <t>Consommation électrique de stades de football et de rugby.</t>
  </si>
  <si>
    <t>TYPE</t>
  </si>
  <si>
    <t>Nombre de rencontres nationales sur une saison régulière pour une équipe</t>
  </si>
  <si>
    <t>Comprend : TOP 14 + PRO D2 + LIGUE 1 + LIGUE 2 + D1 + C1 + C1 F + CDF H + CDF H + LIGUE EUROPA + CHAMPIONS CUP + CHALLENGE CUP + EDF FOOT H + EDF FOOT F + EDF RUGBY H + EDF RUGBY F</t>
  </si>
  <si>
    <t>Comprend : TOP 14 + PRO D2 + LIGUE 1 + LIGUE 2 + D1 + C1 + C1 F + CDF H + CDF H</t>
  </si>
  <si>
    <t>Nombre de rencontres sur une saison (nationales)</t>
  </si>
  <si>
    <t>Fréquentation moyenne matchs nationaux</t>
  </si>
  <si>
    <t>Distance moyenne AR entre deux clubs (football/rugby)</t>
  </si>
  <si>
    <t xml:space="preserve">Une répartition de la consommation d'énergie issue des réseaux de chaleur par usage (quelle part pour le chaufage de la pelouse ? de l'eau chaude sanitaire ? des locaux ? etc). </t>
  </si>
  <si>
    <t>(1) Éco Énergie Tertiaire (EET), https://www.ecologie.gouv.fr/eco-energie-tertiaire-eet</t>
  </si>
  <si>
    <t>(1) Facteurs d'émission : Base Empreinte (ADEME) 
(2) Merchandising : données de ventes du LOU Rugby, LOSC et SU Agen
(3) Empreinte carbone d'une nuitée : https://librairie.ademe.fr/ged/4930/pre-deploiement_affichage_environnemental_rapport_f_fb.pdf</t>
  </si>
  <si>
    <t>Part exacte de spectateurs se rendant en hôtel.</t>
  </si>
  <si>
    <t>i. Données :</t>
  </si>
  <si>
    <t xml:space="preserve">Le nombre de passagers sur une saison est le produit du nombre de personnes effectuant les trajets et la fréquence des trajets. D'après le tableau précédent, on comptabilise les nombres suivants de rencontres européennes et de rencontres non-européennes : </t>
  </si>
  <si>
    <t xml:space="preserve">Etant donné HX, on mutlplie par deux ces valeurs : </t>
  </si>
  <si>
    <t xml:space="preserve">Nombre rencontres européennes sol FR :  </t>
  </si>
  <si>
    <t>Nombre rencontres non-européennes sol FR :</t>
  </si>
  <si>
    <t>Nombre rencontres européennes (FR+NFR) :</t>
  </si>
  <si>
    <t>Nombre rencontres non-européennes (FR + NFR) :</t>
  </si>
  <si>
    <t>Les détails du calcul pour obtenir le total des passagers sont à retrouver en annexe 4 - 2 et 3.</t>
  </si>
  <si>
    <t>GÉNÉRAL</t>
  </si>
  <si>
    <t>FOOTBALL</t>
  </si>
  <si>
    <t>RUGBY</t>
  </si>
  <si>
    <t xml:space="preserve">Etape 3 : Calcul de l'empreinte carbone des déplacements des équipes sportives et encadrantes pour les matchs internationaux </t>
  </si>
  <si>
    <t>Etape 4 : Récapitulatif</t>
  </si>
  <si>
    <t>i. Ensemble des rencontres de championnats internationaux sur le territoire français</t>
  </si>
  <si>
    <t>ii. Ajout des rencontres des équipes FR sur des territoires extra-nationaux</t>
  </si>
  <si>
    <t>Total 2022-2023</t>
  </si>
  <si>
    <t xml:space="preserve">Rencontres internationales non-européennes </t>
  </si>
  <si>
    <t>En cellule G191 et I191, il y a deux fois plus de rencontres étant donné HX.</t>
  </si>
  <si>
    <t>HX : On considère qu'il y a un nombre équivalent de rencontres internationales sur le sol français (comprenant une équipe française et une étrangère) qu'il y a de rencontres comprenant une équipe française sur un sol étranger. Pour ces rencontres (matchs internationaux avec une équipe FR sur le sol étranger), on considère toutes les autres hypothèses comme inchangées.</t>
  </si>
  <si>
    <t>Distance en km entre villes à vol d'oiseau</t>
  </si>
  <si>
    <t>Les distances pour les rencontres internationales étant calculées à vol d'oiseau, il faut les multiplier par deux pour obtenir l'aller-retour.</t>
  </si>
  <si>
    <t xml:space="preserve">On comprend également les émissions liées aux déplacements des équipes françaises à l'étranger.  On considère qu'ils font partie des flux liés à notre périmètre (foot et rugby professionnel) et que, ces flux de spectateurs trouvant leur point d'origine dans le territoire national, on doit les comprendre. Pour éviter de faire un listing des déplacements des rencontres de toutes les équipes, on considère qu'on reçoit autant de rencontres internationales de football et de rugby qu'on participe à à ces rencontres à l'étranger. Autrement dit, pour 100 rencontres internationales sur le territoire FR, les équipes FR se déplacent à 100 rencontres à l'étranger. Cela donne l'hypothèse suivante : </t>
  </si>
  <si>
    <t xml:space="preserve">Les distances pour les rencontres internationales étant calculées à vol d'oiseau, il faut les multiplier par deux pour obtenir l'aller-retour. </t>
  </si>
  <si>
    <t>Baisse en %</t>
  </si>
  <si>
    <t>2) Application SNBC au football et rugby pro</t>
  </si>
  <si>
    <t>ANNEXE 5 : Résumé et graphique</t>
  </si>
  <si>
    <t>1) Variante DROP - Déploiement technologique important, sobriété modérée</t>
  </si>
  <si>
    <t>3) Variante BUT - Déploiement technologique moyen, sobriété modérée</t>
  </si>
  <si>
    <t>2) Variante BUT - Déploiement technologique moyen, sobriété modérée</t>
  </si>
  <si>
    <t>Coupe de France H</t>
  </si>
  <si>
    <t>Coupe de France F</t>
  </si>
  <si>
    <t>10) Match moyen FR</t>
  </si>
  <si>
    <t>Levier 1 : Systèmatisation du recours à des voitures électriques d'ici 2050 - version pessimiste</t>
  </si>
  <si>
    <t>FE voitures 2050</t>
  </si>
  <si>
    <t>A. Application de l'application de la Stratégie Nationale Bas-Carbone (SNBC) aux manifestations sportives de football et rugby professionnel</t>
  </si>
  <si>
    <t xml:space="preserve">Source : Stratégie Nationale Bas-Carbone, 2020 </t>
  </si>
  <si>
    <r>
      <rPr>
        <b/>
        <i/>
        <sz val="11"/>
        <color theme="1"/>
        <rFont val="Arial"/>
        <family val="2"/>
      </rPr>
      <t>Tableau 2 – Projection des émissions (en MtCO2eq) du secteur des transports selon la SNBC</t>
    </r>
    <r>
      <rPr>
        <i/>
        <sz val="11"/>
        <color theme="1"/>
        <rFont val="Arial"/>
        <family val="2"/>
      </rPr>
      <t xml:space="preserve">
Source : Guide national sur les principales méthodologies de construction par une entreprise d’une trajectoire de réduction de ses émissions de gaz à effet de serre cohérente avec les budgets carbone sectoriels sur base inventaire « SECTEN » (2020) et « AMS » (2018), Citepa</t>
    </r>
  </si>
  <si>
    <r>
      <t>Pour les véhicules particuliers, les émissions de GES associées doivent passer de 69,5 Mt CO</t>
    </r>
    <r>
      <rPr>
        <vertAlign val="subscript"/>
        <sz val="11"/>
        <rFont val="Arial"/>
        <family val="2"/>
      </rPr>
      <t>2</t>
    </r>
    <r>
      <rPr>
        <sz val="11"/>
        <rFont val="Arial"/>
        <family val="2"/>
      </rPr>
      <t>e en 2019 à des émissions nulles d’ici 2050. Autrement dit, appliqué au secteur sportif, plus aucun véhicule thermique ne devra être utilisé pour transporter les spectateurs, athlètes et professionnels d’ici 30 ans. </t>
    </r>
  </si>
  <si>
    <r>
      <rPr>
        <b/>
        <i/>
        <sz val="11"/>
        <color theme="1"/>
        <rFont val="Arial"/>
        <family val="2"/>
      </rPr>
      <t>Tableau 3 – Projection des émissions (en MtCO2eq) de la production d’énergie selon la SNBC</t>
    </r>
    <r>
      <rPr>
        <i/>
        <sz val="11"/>
        <color theme="1"/>
        <rFont val="Arial"/>
        <family val="2"/>
      </rPr>
      <t xml:space="preserve">
Source : Guide national sur les principales méthodologies de construction par une entreprise d’une trajectoire de réduction de ses émissions de gaz à effet de serre cohérente avec les budgets carbone sectoriels sur base inventaire « SECTEN » (2020) et « AMS » (2018), Citepa</t>
    </r>
  </si>
  <si>
    <t>Explication : La SNBC donne pour objectif de réduction des émissions de GES de -83% au total  entre 2015 et 2050. Les objectifs sont différenciés par secteur : Transports (-97%), Bâtiments (-95%), Agriculture/Sylviculture hors UTCATF (-46%), Industrie (-81%), Production d’énergie (-95%) et Déchets (-66%). Il existe des objectifs encore plus différenciés par sous secteur, mais rien qu’avec ces grands objectifs sectoriels on peut en déduire pour les matchs et les stades de rugby et football professionnel et amateur un objectif plus précis que -83%. En effet, les émissions du secteur proviennent d’abord (à 70%) du transport : on peut appliquer à ces émissions l’objectif de -97% pour les transports dans la SNBC. Les émissions du secteur proviennent également (à 10%) de l’alimentation et des boissons : on peut appliquer l’objectif de -46% pour l’agriculture/sylviculture dans la SNBC. En procédant ainsi pour chaque poste d’émission, on arrive plutôt à un objectif d’environ -90% pour notre secteur. Nous sommes preneurs de retours sur ce point que nous retravaillerons pour le rapport final début de 2025.</t>
  </si>
  <si>
    <t>Par rapport à 2022</t>
  </si>
  <si>
    <t>2bis) Application SNBC au football et rugby pro - Sous-poste transport</t>
  </si>
  <si>
    <t>FE voitures 2050 (pessimiste)</t>
  </si>
  <si>
    <t>Part VE parc 2050</t>
  </si>
  <si>
    <t>Part VT parc 2050</t>
  </si>
  <si>
    <t>Part VE parc</t>
  </si>
  <si>
    <t>FE après levier 1</t>
  </si>
  <si>
    <t>Levier 1 : Décarbonation du secteur aérien - version pessimiste</t>
  </si>
  <si>
    <t>Source : (2) ADEME, "Elaboration de scénarios de transition écologique du secteur aérien", 2022. https://librairie.ademe.fr/mobilite-et-transports/5815-elaboration-de-scenarios-de-transition-ecologique-du-secteur-aerien.html</t>
  </si>
  <si>
    <t>S0</t>
  </si>
  <si>
    <t>Baisse</t>
  </si>
  <si>
    <t xml:space="preserve">On obtient alors en gCO2e/PKTeq : </t>
  </si>
  <si>
    <t>Dans le scénario d'une décarbonation pessimiste du secteur aérien, on considère que celui-ci ne décarbone qu'à 33% d'ici 2050 par passager/km. On se réfère au scénario pessimiste de l'ADEME de la source (2), nommé S0, "Scénario de référence". Cela correspond à un scénario comprenant le remplacement des avions en fin de vie par les avions les plus performants disponibles aujourd'hui et une quantité nulle de carburants durables.</t>
  </si>
  <si>
    <t>Nombre de passagers en moyenne</t>
  </si>
  <si>
    <t>Facteur d'émission gaz (kgCO2e/kWh)</t>
  </si>
  <si>
    <t>Distance parcourue par professionnel lors des déplacements (en km AR)</t>
  </si>
  <si>
    <t>Objectif - 83%</t>
  </si>
  <si>
    <t xml:space="preserve">Sobriété </t>
  </si>
  <si>
    <t>Source 4 : Hypothèses relatives aux mode de déplacement des visiteurs - Carbon footprint study Londres 2012 (https://library.olympics.com/default/digitalCollection/DigitalCollectionAttachmentDownloadHandler.ashx?parentDocumentId=69866&amp;documentId=158548&amp;skipWatermark=true&amp;skipCopyright=true)</t>
  </si>
  <si>
    <t>metro/tramway</t>
  </si>
  <si>
    <t>Pour les métro/tramway, on fait l'hypothèse d'une évolution similaire aux trains, basée sur l'électrification plus importante du réseau et de la décarbonation de l'industrie.</t>
  </si>
  <si>
    <t>kg éq. CO2/passager/km</t>
  </si>
  <si>
    <t xml:space="preserve">(2), Voiture particulière/Entrée de gamme - Véhicule léger/Electrique. </t>
  </si>
  <si>
    <t xml:space="preserve">D'après (2) et ramenant le calcul en passager.km : </t>
  </si>
  <si>
    <t>On s'interesse ici à la consommation des boissons uniquement les jours de matchs. On ne change pas le mix de boissons mais on passe à des boissons bios et locales.</t>
  </si>
  <si>
    <t xml:space="preserve">=&gt; MAJ en disant que d'après Dominque Gato, 20% de baisse de consommation facilement atteignable. Il nous possible, d'ici 2050, d'atteindre une baisse du volume consommée d'environ 50% si on tient compte du déploiement de technologies plus sobres, de la rénovation énergétique des locaux, de la formation du personnel aux éco-gestes etc. </t>
  </si>
  <si>
    <r>
      <t xml:space="preserve">Tendre vers </t>
    </r>
    <r>
      <rPr>
        <sz val="11"/>
        <color theme="1"/>
        <rFont val="Arial"/>
        <family val="2"/>
      </rPr>
      <t>100 % de plastiques recyclés en 2025 (LTECV)</t>
    </r>
  </si>
  <si>
    <r>
      <t xml:space="preserve">(LTECV) valoriser </t>
    </r>
    <r>
      <rPr>
        <sz val="11"/>
        <color theme="1"/>
        <rFont val="Arial"/>
        <family val="2"/>
      </rPr>
      <t>55 % des déchets non dangereux non inertes, notamment organiques, en 2020 et 65 % en 2025, via notamment la généralisation du tri à la source des biodéchets 
(AGEC) réduire de 15 % les quantités de déchets ménagers et assimilés produits par habitant en 2030 par rapport à 2010 (loi antigaspillage – article 3)</t>
    </r>
  </si>
  <si>
    <t>Béton</t>
  </si>
  <si>
    <t>Acier (charpente)</t>
  </si>
  <si>
    <t>Acier (ferraillage du béton armé)</t>
  </si>
  <si>
    <t>Dalle alvéolaire</t>
  </si>
  <si>
    <t>Béton (gradins préfabriqués)</t>
  </si>
  <si>
    <t>Toiture (membrane ETFE)</t>
  </si>
  <si>
    <t>Pelouse et terre</t>
  </si>
  <si>
    <t>Quantités utilisées</t>
  </si>
  <si>
    <t>t</t>
  </si>
  <si>
    <t>m2</t>
  </si>
  <si>
    <t>kg CO2e/unité</t>
  </si>
  <si>
    <t>ii. Correction avec nouveaux FE</t>
  </si>
  <si>
    <t>Pas de changement.</t>
  </si>
  <si>
    <t>Hypothèse conservatrice acier recyclé</t>
  </si>
  <si>
    <t>*Divers éléments techniques, parachèvement</t>
  </si>
  <si>
    <t>*Les impacts des constructions ne peuvent pas être limités aux « grandes quantités » des matériaux de gros œuvre. La méthode fournit aussi un ratio au m2 (506 kg eq. C02 / m2) pour les constructions afin de prendre en compte l’ensemble des éléments constructifs de faible quantité mais dont l’impact peut être élevé (matériaux vitrés, plastiques, métalliques,...) du second œuvre et des équipements techniques.</t>
  </si>
  <si>
    <t>iii. Autres données (sans corrections)</t>
  </si>
  <si>
    <t>Transport des matériaux</t>
  </si>
  <si>
    <t>Répartition des lots de la tribune en fonction de leur impact carbone</t>
  </si>
  <si>
    <t>Fondations spéciales</t>
  </si>
  <si>
    <t xml:space="preserve">Charpente </t>
  </si>
  <si>
    <t>Menuiseries extérieures</t>
  </si>
  <si>
    <t>Etanchéité zinguerie</t>
  </si>
  <si>
    <t>Serrurerie</t>
  </si>
  <si>
    <t>Fauteils</t>
  </si>
  <si>
    <t>Menuiseries extérieures / mobilier intérieur</t>
  </si>
  <si>
    <t>Platrerie-Faux Plafonds-Peinture</t>
  </si>
  <si>
    <t>Revêtement des sols souples</t>
  </si>
  <si>
    <t>Carrelage et faience</t>
  </si>
  <si>
    <t>L’impact carbone le plus important est lié au gros œuvre (75% de l’impact global). Son utilisation importante induit automatiquement des émissions de CO2 élevées.
Le lot des plâtreries, des faux plafonds et de la peinture est le second lot aux émissions carbones élevés. Son impact reste minime par rapport aux fondations et gros œuvre (5,2%).</t>
  </si>
  <si>
    <t>EC/place</t>
  </si>
  <si>
    <t xml:space="preserve">Transport du personnel </t>
  </si>
  <si>
    <t>Bases de vie</t>
  </si>
  <si>
    <t>Divers éléments techniques, parachèvement et autres</t>
  </si>
  <si>
    <t>EC/place en tCO2e</t>
  </si>
  <si>
    <t xml:space="preserve">Capacité : </t>
  </si>
  <si>
    <t>tCO2e/place</t>
  </si>
  <si>
    <t>Clermont</t>
  </si>
  <si>
    <t>Havre</t>
  </si>
  <si>
    <t xml:space="preserve">5. Résumé </t>
  </si>
  <si>
    <t>Source : anonyme</t>
  </si>
  <si>
    <t>EC en tCO2e de la construction sur 50 ans</t>
  </si>
  <si>
    <t>ANNEXE 4 : Données ACV construction stade</t>
  </si>
  <si>
    <t xml:space="preserve">Etape de calcul : On précise les données utilisées </t>
  </si>
  <si>
    <t>Pourcentage de différence</t>
  </si>
  <si>
    <t>ANNEXE 1 : La Beaujoire, comparaison des émissions cumulées de CO2 entre la construction et la rénovation</t>
  </si>
  <si>
    <t>(1) Calculs de The Shift Project dans le cadre d’approfondissement du PTEF Logement (non publiés à date) à partir de sources bibliographiques nouvelles (Méthode Quartier-Energie-Carbone : https://librairie.ademe.fr/urbanisme-et-batiment/5802-methode-quartier-energie-carbone.html, NZC réno : https://www.hqegbc.org/international-alliance-hqe-gbc/nzc-renovation/, étude PAC Nooco : https://www.nooco.com/blog/la-pompe-a-chaleur-equipement-bas-carbone-miracle-le-vrai-du-faux-en-6-points/) et retours d’expérience professionnels
(2) Différence d'empreinte carbone entre la construction ou la rénovation du stade de La Beaujoire. Annexe 1, "Comparaison des émissions cumulées de CO2"</t>
  </si>
  <si>
    <t>Hypohèses de décarbonation</t>
  </si>
  <si>
    <t>Les évolutions sur les quantités de matériaux consommées lors de la construction n'ont pas été évaluées. Statuer sur ces quantités nécessiterait au moins de connaître le nombre de nouveaux stades construits dans les prochaines années, leur conception (les différences d'architecture faisant évoluer les quantités de matériaux consommés) ainsi que la part de stades rénovés et dans quelles proportions. Nous ne disposons pas de telles données. Quand bien même nous le saurions, une forte incertitude reposerait sur ces calculs. Nous nous contenterons ici de décrire qualitativement les leviers activables pour décarboner la construction et la rénovation des stades.</t>
  </si>
  <si>
    <t>III) Description qualitative des leviers</t>
  </si>
  <si>
    <t>1. Prévilégier la rénovation à la construction de nouveaux stades</t>
  </si>
  <si>
    <t xml:space="preserve">Ex : Pour Nice, le choix du bois en structure a permis d’économiser environ 2800 tonnes de CO2 par rapport à une structure Acier et 5000 tonnes par rapport à une structure de couverture lourde. </t>
  </si>
  <si>
    <t>Ex : Le recours à l’ETFE à Nice, matériaux particulièrement léger et réduisant la quantité de structure pour le supporter, a permis d'économiser X tCO2.</t>
  </si>
  <si>
    <t>IV) Détail des calculs</t>
  </si>
  <si>
    <t>Source : ACV et émissions carbone : Elioth</t>
  </si>
  <si>
    <t xml:space="preserve">Source : anonyme </t>
  </si>
  <si>
    <t>1. Stade 1</t>
  </si>
  <si>
    <t>Type : stade de football</t>
  </si>
  <si>
    <t>i. Données brutes, 2010</t>
  </si>
  <si>
    <t>2. Si la construction est actée (dans un des deux cas évoqués précédemment) :</t>
  </si>
  <si>
    <t>- Acter une stratégie de construction menant à une structure légère, un usage sobre en matériaux (notamment l'acier et le béton, responsable de plus de 70% des émissions) et une capacité raisonnable du stade (cf. cahier des charges des instances)</t>
  </si>
  <si>
    <t>Type de construction / rénovation : construction</t>
  </si>
  <si>
    <t>Périmètre : cette étude n'est pas une étude ACV mais reprend la méthodo BC. La méthodologie de calcul diffère donc des autres sources.</t>
  </si>
  <si>
    <t>kgCO2e/place</t>
  </si>
  <si>
    <t>BC construction - amortissement sur 50 ans</t>
  </si>
  <si>
    <t>Périmètre : ACV complete</t>
  </si>
  <si>
    <t xml:space="preserve">On comprend également les émissions liées aux déplacements des spectateurs français à l'étranger. On considère qu'ils font partie des flux liés à notre périmètre (foot et rugby professionnel) et que, ces flux de spectateurs trouvant leur point d'origine dans le territoire national, on doit les inclure dans le périmètre. Pour éviter de faire un listing des déplacements des rencontres de toutes les équipes, on considère qu'on reçoit autant de rencontres internationales de football et de rugby qu'on participe à ces rencontres à l'étranger. Autrement dit, pour 100 rencontres internationales sur le territoire FR, les spectateurs FR se déplacent à 100 rencontres à l'étranger. Cela donne l'hypothèse suivante : </t>
  </si>
  <si>
    <t>NB : un calcul plus fin nous aurait ammené à considérer l'ensemble des salariés des clubs des ligues professionnelles et des clubs, comprenant le personnel administratif, les joueurs (dont en formation) ainsi que le staff technique.</t>
  </si>
  <si>
    <t xml:space="preserve">On comprend également dans notre périmètre les salariés des clubs faisant le trajet domicile-travail près de 200 jours dans l'année. On fait l'hypothèse simplificatrice qu'il y a en moyenne (d'après des entretiens qualitatifs) : </t>
  </si>
  <si>
    <t>Hypothèse du nombre de salariés club en moyenne</t>
  </si>
  <si>
    <t>jours</t>
  </si>
  <si>
    <t xml:space="preserve">En prenant une hypothèse basse pour chaque ligue et en multipliant par le nombre de clubs par ligue on obtient : </t>
  </si>
  <si>
    <t xml:space="preserve">- Lorsque la superstructure du stade actuel est trop vétuste pour être rénovée. </t>
  </si>
  <si>
    <t>- Instauration d'espaces verts favorisant la capture du carbone (bien que faible au regard des enjeux)</t>
  </si>
  <si>
    <t>Les évolutions des quantités de matériaux consommés lors de la construction n'ont pas été évaluées. Statuer sur ces quantités nécessiterait au minimum de connaître le nombre de nouveaux stades construits dans les prochaines années, leur conception (les différences d'architecture influençant les quantités de matériaux consommés), ainsi que la part de stades rénovés et dans quelle proportion. Nous ne disposons pas de telles données. Quand bien même nous les aurions, ces calculs comporteraient une forte incertitude. Les leviers décrits en III) 2.1 permettront cependant de réduire la quantité de matériaux consommés.</t>
  </si>
  <si>
    <r>
      <rPr>
        <b/>
        <sz val="12"/>
        <color theme="1"/>
        <rFont val="Arial"/>
        <family val="2"/>
      </rPr>
      <t xml:space="preserve">1. Risques principaux </t>
    </r>
    <r>
      <rPr>
        <sz val="12"/>
        <color theme="1"/>
        <rFont val="Arial"/>
        <family val="2"/>
      </rPr>
      <t xml:space="preserve">
L’objectif d’avoir un parc roulant 100% électrique en 2050 pourrait ne pas être atteint compte tenu des risques suivants :
Insuffisance de l'offre en VE accessibles. Les VE restent trop puissants, trop grands, trop lourds et trop chers. Leur pénétration sur le marché est ralentie, leur consommation d’énergie supérieure à nos prévisions. Cela entraîne une prolongation de la durée de vie du parc existant, donc il reste donc une part de véhicules thermiques en 2050.. Comme les voitures électriques particulières sont plus grosses, il y a une plus forte consommation d’électricité.
Les politiques incitatives pour la conversion sont insuffisantes (ça tombe bien on est dedans).
Le manque de cuivre et la hausse des prix ralentissent la production et rend les véhicules moins accessibles financièrement, donc ralentit leur pénétration sur le marché. Il reste donc une part de véhicules thermiques en 2050. 
La réglementation sur l'interdiction des ventes de VT neufs en 2035 est retardée
Dans ce contexte, il nous paraît raisonnable d'imaginer un scénario où l’électrification du parc ne se fait pas à un rythme suffisant pour ne plus avoir de VT dans le parc roulant en 2050. Le foot et le rugby doivent anticiper la possibilité d’un tel scénario, leur trajectoire de décarbonation doit y être résiliente.
</t>
    </r>
    <r>
      <rPr>
        <b/>
        <sz val="12"/>
        <color theme="1"/>
        <rFont val="Arial"/>
        <family val="2"/>
      </rPr>
      <t>2. Constat actuel</t>
    </r>
    <r>
      <rPr>
        <sz val="12"/>
        <color theme="1"/>
        <rFont val="Arial"/>
        <family val="2"/>
      </rPr>
      <t xml:space="preserve">
Les ventes de VE ne sont pas encore à la hauteur pour atteindre les objectifs. Les projections donnvent environ 250 000 ventes en 2024 de VE, soit entre 15 et 20% des ventes (source : PFA/AAA Data) et nous devons passer de 3% de VE dans le parc en 2024 à 15% en 2030 (objectif PTEF, SGPE p13 et SNBC3).
Il faut donc augmenter les ventes de VE neufs chaque année d'environ 30%.
</t>
    </r>
    <r>
      <rPr>
        <b/>
        <sz val="12"/>
        <color theme="1"/>
        <rFont val="Arial"/>
        <family val="2"/>
      </rPr>
      <t>3. Tendances et conclusion</t>
    </r>
    <r>
      <rPr>
        <sz val="12"/>
        <color theme="1"/>
        <rFont val="Arial"/>
        <family val="2"/>
      </rPr>
      <t xml:space="preserve">
​En tenant compte des parties 1 et 2, des ventes de 2024 (20% des ventes contre 25% prévu par ton modèle) et en augmentant de 5 points de pourcentage chaque année les ventes de VE d'ici 2030, (suivant si on garde ou pas l'interdiction des ventes de VE en 2035), on arriverait à un taux de VE dans le parc compris entre 80 et 90%. 
</t>
    </r>
    <r>
      <rPr>
        <b/>
        <sz val="12"/>
        <color theme="1"/>
        <rFont val="Arial"/>
        <family val="2"/>
      </rPr>
      <t xml:space="preserve">Nous faisons le choix pessimiste d'un taux de VE en 2050 de 80%.
</t>
    </r>
    <r>
      <rPr>
        <i/>
        <sz val="12"/>
        <color theme="1"/>
        <rFont val="Arial"/>
        <family val="2"/>
      </rPr>
      <t>NB : Attention, cette projection est soumise à de fortes incertitudes. Prendre des tendances passées pour projeter des tendances futures ne tient pas compte des nombreuses mécaniques en cours. Il s'agit ici d'illustrer les risques auxquels le secteur est soumis si des chocs exogènes s'appliquent à lui et de projeter un scénario pessimiste sur la décarbonation du secteur.</t>
    </r>
  </si>
  <si>
    <t>(2), Moyenne du FE "Voiture particulière/Entrée de gamme - Véhicule léger/Electrique", du FE "Voiture particulière/Coeur de gamme - Véhicule compact/Electrique" et du FE "Voiture particulière/Haut de gamme - Berline/Electrique" dans le cas où le poids des véhicules resterait important. On ramène le calcul avec le même passager/km que le thermique.</t>
  </si>
  <si>
    <t>Etape de calcul : On rappel les données utilisées</t>
  </si>
  <si>
    <t>Le tableau de répartition en annexe du calcul d'empreinte donne les chiffres suivants :</t>
  </si>
  <si>
    <t xml:space="preserve">B. Intensité carbone </t>
  </si>
  <si>
    <t>1. Intensité carbone des matériaux</t>
  </si>
  <si>
    <t>1. Acier</t>
  </si>
  <si>
    <t>Baisse en pourcentage en kgCO2e/m3 2015-2050</t>
  </si>
  <si>
    <t xml:space="preserve">Soit au prorata de l'empreinte une part ramenée à </t>
  </si>
  <si>
    <t>2. Béton</t>
  </si>
  <si>
    <t>3. Autres (éléments techniques, parachèvement et autres)</t>
  </si>
  <si>
    <t>Ne disposant pas de données spécifiques pour cette très grande variété de matériaux, on prend le chiffre moyen de décarbonation entre l'acier et le béton.</t>
  </si>
  <si>
    <t>Baisse en pourcentage en kgCO2e/m2 2015-2050</t>
  </si>
  <si>
    <t>(1) The Shift Project, Décarboner l'industrie sans la saborder, https://theshiftproject.org/wp-content/uploads/2022/01/PTEF-Decarboner-lindustrie_-Rapport-final.pdf
(2) The Shift Project, Décarboner l'industrie du ciment, https://theshiftproject.org/wp-content/uploads/2022/01/PTEF-Decarboner-lindustrie_-Ciment_-Rapport-final.pdf</t>
  </si>
  <si>
    <t>Répartition de l'empreinte carbone de la construction de stade</t>
  </si>
  <si>
    <t xml:space="preserve">Intensité carbone </t>
  </si>
  <si>
    <t>Baisse de l'intensité carbone de la construction : ciment et béton bas carbone, CCS, smart carbone, recyclage, etc.</t>
  </si>
  <si>
    <t>2. Choix de la rénovation vs construction</t>
  </si>
  <si>
    <t xml:space="preserve">D'après la source (1), nous avons : </t>
  </si>
  <si>
    <t>Impact de la construction en kgCO2e/m2</t>
  </si>
  <si>
    <t>Impact de la rénovation kgCO2e/m2</t>
  </si>
  <si>
    <t>La source (1) donne pour l'activation de tous les leviers d’innovation aujourd’hui disponibles pour réduire l’impact unitaire de la production d’une tonne de matériau les donnée suivantes entre 2015 et 2050 :</t>
  </si>
  <si>
    <t>La source (2) soit l’activation de tous les leviers d’innovation aujourd’hui disponibles pour réduire l’impact unitaire de la production d’une tonne de matériau nous donne les donnée suivantes entre 2015 et 2050 :</t>
  </si>
  <si>
    <t>Potentiel de décarbonation des matériaux de construction</t>
  </si>
  <si>
    <t>4. Stade australien</t>
  </si>
  <si>
    <t>Source : Mehdi Hedayati, Usha Iyer-Raniga and Enda Crossin, "A greenhouse gas assessment of a stadium in Australia"</t>
  </si>
  <si>
    <t>Stade australien</t>
  </si>
  <si>
    <t>2. Stade Clermont</t>
  </si>
  <si>
    <t>3. Stade Nice</t>
  </si>
  <si>
    <t>tCO2e/place/an</t>
  </si>
  <si>
    <t>ACV construction - amortissement sur 50 ans</t>
  </si>
  <si>
    <r>
      <t xml:space="preserve">- Lorsqu’une analyse de cycle de vie permet de démontrer que le nouveau stade émettra moins de GES sur l'ensemble de sa durée de vie par rapport à l'existant. Cette étude devra </t>
    </r>
    <r>
      <rPr>
        <b/>
        <sz val="11"/>
        <rFont val="Arial"/>
        <family val="2"/>
      </rPr>
      <t>obligatoirement</t>
    </r>
    <r>
      <rPr>
        <sz val="11"/>
        <rFont val="Arial"/>
        <family val="2"/>
      </rPr>
      <t xml:space="preserve"> intégrer les flux de spectateurs et leurs moyens de transport ; l'implantation géographique du stade et les infrastructures de mobilité (transports en commun, pistes cyclables, bornes de recharge électrique, etc.) seront déterminantes, étant donné l'impact du transport sur les émissions globales. L'établissement de scénarios avec différentes zones d'implémentation du stade devra également être effectuée pour évaluer la pertinence du projet.</t>
    </r>
  </si>
  <si>
    <t xml:space="preserve">- Acter le choix de matériaux bas-carbone : bois, béton bas-carbone, acier bas-carbone, etc. </t>
  </si>
  <si>
    <t>- Penser et construire des stades pour optimiser l'efficience énergétique</t>
  </si>
  <si>
    <t>- Penser et construire des stades qui tiennent compte des besoins naturels de la pelouse, pour éviter l'usage de la luminothérapie, technique énergivore.</t>
  </si>
  <si>
    <t>- Penser et construire des stades pour favoriser l'accessibilité de modes de transport bas-carbone : desserte importante en transports en commun, installation de pistes cyclables, de bornes de recharge, etc.</t>
  </si>
  <si>
    <t>- Utiliser les espaces (notamment ceux déjà artificialisés comme les parkings ou les toits) pour installer des capacités photovoltaique.</t>
  </si>
  <si>
    <t xml:space="preserve">- Favoriser l'installation d'infrastructures éphèmeres aux pérènnes quand cela est possible, permettant une économie substantielle d'émissions de GES (cf. JOP Paris 2024). </t>
  </si>
  <si>
    <t>2.3. Optimiser les approvisionnements de chantier, pesant quelques pourcents des émissions de GES de la phase de construction</t>
  </si>
  <si>
    <r>
      <t xml:space="preserve">Etant donné les incertitudes et le manque de données, </t>
    </r>
    <r>
      <rPr>
        <b/>
        <i/>
        <sz val="12"/>
        <rFont val="Arial"/>
        <family val="2"/>
      </rPr>
      <t>nous nous contenterons principalement de préconisations et d'évaluations qualitatives pour ce poste</t>
    </r>
    <r>
      <rPr>
        <i/>
        <sz val="12"/>
        <rFont val="Arial"/>
        <family val="2"/>
      </rPr>
      <t xml:space="preserve">, sauf pour l'évolution du facteur d'émissions de la construction qui fait l'objet d'une quantification (bien que n'étant pas spécifique à la construction des stades). Nous nous appuierons sur d'autres rapports ou sur des mesures déjà mises en œuvre par des acteurs pour exemplariser nos leviers. Enfin, le </t>
    </r>
    <r>
      <rPr>
        <b/>
        <i/>
        <sz val="12"/>
        <rFont val="Arial"/>
        <family val="2"/>
      </rPr>
      <t xml:space="preserve">potentiel physique de décarbonation pour ce poste est évalué grace à la baisse de l'intensité carbone des matériaux acier-béton. </t>
    </r>
    <r>
      <rPr>
        <i/>
        <sz val="12"/>
        <rFont val="Arial"/>
        <family val="2"/>
      </rPr>
      <t>Une évaluation plus fine aurait par exemple permis de quantifier le potentiel de la rénovation (seulement des ordres de grandeur sont donnés), des choix de matériaux, de la sobriété structurelle, etc.</t>
    </r>
  </si>
  <si>
    <t xml:space="preserve">2.1. Mener une réflexion poussée sur l'usage de la future structure, permettant de réduire les émissions sur toute la durée de vie </t>
  </si>
  <si>
    <t>2.2. Limiter les émissions initiales de la phase travaux</t>
  </si>
  <si>
    <t>Objectifs que nous fixons sur les quantités en 2035</t>
  </si>
  <si>
    <t>Objectifs que nous fixons sur la revalorisation en 2035</t>
  </si>
  <si>
    <t xml:space="preserve">La LTECV nous donne un objectif de réduction de 15% de la masse de tous les types de dechets en 2035 par rapport à 2023. </t>
  </si>
  <si>
    <t>NB : Les données de baisse du FE ci-dessus donnent des valeurs projetées à 2035. Faute de référentiel pour 2050, on considère ces valeurs comme identiques à 2035.</t>
  </si>
  <si>
    <t>La baisse des émissions dûe à l'évolution de l'intensité carbone des déchets ne suffit pas à faire baisser à l'échelle l'empreinte carbone de ce poste pour tendre vers les objectifs SNBC (environ -66%). En tenant compte des objectifs fixés précédement et du reste à charge pour tendre vers l'objectif, on obtient le tableau suivant :</t>
  </si>
  <si>
    <t>Objectifs que nous fixons sur les quantités en 2050</t>
  </si>
  <si>
    <t>Objectifs chiffrés 2050</t>
  </si>
  <si>
    <t>Objectif de -40% en 2050. Effort post-2035 plus important étant donné le reste à charge après application de baisse du FE.</t>
  </si>
  <si>
    <t>Objectif de -75% en 2050.</t>
  </si>
  <si>
    <t xml:space="preserve">Privilégier la rénovation à la construction de nouveaux stades permet de réduire substantiellement les émissions de GES, avec une réduction de 50 % à 66 % en faveur de la rénovation. Pour quelques cas précis, la construction peut être envisagée (moyennant des conditions, décrites ci-après) : </t>
  </si>
  <si>
    <t>Nous utilisons les rapports du secteur Industrie lourde du Shift Project pour tirer les évolutions de facteur d'émissions (au m2 ou m3) d'ici 2050 après application des leviers technologiques et d'éfficacité pour la décarbonation. Grâce à la répartition de l'empreinte carbone d'un stade sur sa phase de construction (approche upfront), on applique la baisse des FE de chaque matériau au prorata de sa part dans l'empreinte carbone. Cela donne in fine le potentiel de décarbonation des matériaux de construction.</t>
  </si>
  <si>
    <t>Nous n'avons pas (à date) pu quantifier le potentiel de décarbonation de la rénovation de manière précise pour la construction des stades, ne disposant pas de données suffisament importantes. De plus, les rénovations peuvent être de nature différente : rénovation comlète, partielle, agrandissement, rénovation de la surface de jeu uniquement, etc. Toutes ces variations font qu'il est actuellement difficile de présenter des résultats solides sur le sujet. Nous nous contentons donc pour ce levier d'ordres de grandeur issus d'autres rapports (source 1 et 2) permettant de donner quelques éléments sur le différentiel carbone entre la rénovation et la construction.</t>
  </si>
  <si>
    <t>Autres*</t>
  </si>
  <si>
    <t xml:space="preserve">On comprend la part des audiences nationales (téléspectateurs sur le territoire FR) et l'audience internationale. Pour les matchs internationaux, de nombreux téléspectateurs regardent les matchs à l'étranger (les supporters de l'équipe étrangère par exemple). Ne disposant pas de données spécifiques sur celles-ci, nous ne les comprenons pas dans le calcul. </t>
  </si>
  <si>
    <t>Hypothèse du nombre moyen de téléspectateurs sur un match national :</t>
  </si>
  <si>
    <t>Clé de répartition</t>
  </si>
  <si>
    <t xml:space="preserve">TV linéaire par TNT </t>
  </si>
  <si>
    <t xml:space="preserve">TV linéaire par IPTV géré </t>
  </si>
  <si>
    <t>Part autres (5%)</t>
  </si>
  <si>
    <t>Smartphone HD réseau mobile</t>
  </si>
  <si>
    <t>Football - Ligue 1 : 850 000 téléspectateurs/match et Ligue 2 : 200 000. Chiffre moyen, pouvant fortement varié suivant la rencontre. Estimation basée sur : https://www.sofoot.com/breves/la-ligue-1-a-perdu-la-moitie-de-ses-telespectateurs-en-dix-ans
Rugby - TOP 14 (voir ANNEXE A - Affluences) et PRO D2 estimation provisoire issue de https://www.lerugbynistere.fr/news/une-pro-d2-deux-fois-plus-regardee-que-la-ligue-2-quelles-equipes-seduisent-le-plus-2910211718.php
Estimation moyenne à 300 000 téléspectateurs/match en moyenne.</t>
  </si>
  <si>
    <t>Source facteur d'émission et clés de répartition ARCOM - ARCEP</t>
  </si>
  <si>
    <t>Pour calculer l'ensemble des émissions de GES liées à la retransmission, il nous faut multiplier les émissions par téléspectateur par l'audience des rencontres sportives (audience nationale et internationale).</t>
  </si>
  <si>
    <t>Etape 1 : Calcul de l'empreinte carbone moyenne sur un match moyen</t>
  </si>
  <si>
    <t>ANNEXE 2 : Répartition mode de consommation Top 14 mi-saison 2020-2021</t>
  </si>
  <si>
    <t>kgCO2e par téléspectateur/match</t>
  </si>
  <si>
    <t>ANNEXE 3 : Répartition empreinte carbone des différentes technologies de diffusion</t>
  </si>
  <si>
    <t>Source : ÉTUDE DE L'IMPACT ENVIRONNEMENTAL DES USAGES AUDIOVISUELS EN France (ARCROM - ARCEP)</t>
  </si>
  <si>
    <t>Audience totale des rencontres sportives</t>
  </si>
  <si>
    <r>
      <rPr>
        <b/>
        <sz val="12"/>
        <rFont val="Arial"/>
        <family val="2"/>
      </rPr>
      <t>Covoiturage</t>
    </r>
    <r>
      <rPr>
        <sz val="12"/>
        <rFont val="Arial"/>
        <family val="2"/>
      </rPr>
      <t xml:space="preserve"> : pour la voiture, la source (1) nous indique une augmentation du taux de remplissage de 15% d'ici 2050. On ajoute donc ce levier à la diminution exogène des facteurs d'émissions.</t>
    </r>
  </si>
  <si>
    <r>
      <rPr>
        <b/>
        <sz val="12"/>
        <rFont val="Arial"/>
        <family val="2"/>
      </rPr>
      <t>Covoiturage</t>
    </r>
    <r>
      <rPr>
        <sz val="12"/>
        <rFont val="Arial"/>
        <family val="2"/>
      </rPr>
      <t xml:space="preserve"> : pour la voiture, la source (1) nous indique une augmentation du taux de remplissage de 15% d'ici 2050. On ajoute donc ce levierà la diminution exogène des facteurs d'émissions.</t>
    </r>
  </si>
  <si>
    <t>Agribalyse</t>
  </si>
  <si>
    <t>kgCO2e/plat</t>
  </si>
  <si>
    <t>Soda industriel, 33 cl</t>
  </si>
  <si>
    <t>Soda bio circuit court, 33 cl</t>
  </si>
  <si>
    <t>Bière blonde industrielle européenne, 25 cl</t>
  </si>
  <si>
    <t>Bière bio et locale, 25 cl</t>
  </si>
  <si>
    <t>Vin français non local, 12 cl</t>
  </si>
  <si>
    <t>Vin bio et local, 12 cl</t>
  </si>
  <si>
    <t>Hypothèse (200g de soupe de légumes / 300g d'omelettes de pommes de terre et aux oignons / 250g de salade de fruits)</t>
  </si>
  <si>
    <t>Hypothèse (180 g de bifteck grillé accompagné de 150g de frites)</t>
  </si>
  <si>
    <t>Marges d'atténuation supplémentaires (GES)</t>
  </si>
  <si>
    <t>Part de la production agricole dans l'empreinte</t>
  </si>
  <si>
    <t>Répartition par ingrédient</t>
  </si>
  <si>
    <t>Perspectives d'évolution d'ici 2050 (transition agroécologique -&gt; relocalisation et poussée d'agricultures alternatives comme le bio et l'ACS)</t>
  </si>
  <si>
    <t>Hypothèses chiffrées d'atténuation</t>
  </si>
  <si>
    <t>Substitution (options végétariennes)</t>
  </si>
  <si>
    <t>Substitution avec légumineuses (atténuation GES supplémentaires)</t>
  </si>
  <si>
    <t>Décarbonation du transport et des emballages (pourcentage respectif dans l'empreinte GES)</t>
  </si>
  <si>
    <t>Cheeseburger</t>
  </si>
  <si>
    <t>Bœuf haché (86,2%) / Fromage cheddar (3,5%) / Farine de blé (1,1%)</t>
  </si>
  <si>
    <t>Décarbonation de la production bovin viande (extensification à dominante herbagère / agroforesterie / despécialisation / diversité génétique et santé animale) -&gt; -10% GES par kilo produit</t>
  </si>
  <si>
    <t>Empreinte GES du bœuf produit réduite de 10% (prod agri seule considérée)</t>
  </si>
  <si>
    <t>Comparaison avec le burger végétarien (0,68 kgCO2e/repas)</t>
  </si>
  <si>
    <t>Gains GES potentiels si le soja (pavés au soja présents dans le burger végé) n'est pas issu d'importation et/ou de déforestation</t>
  </si>
  <si>
    <t>1.9% -&gt; Transport (0.9% de l'empreinte totale) + Emballages (1.0% de l'empreinte totale)</t>
  </si>
  <si>
    <t>Viande bœuf sans os (52,9%) /  Viande (17%) / Abas de porc (10,4%) / Pain (10,5%)</t>
  </si>
  <si>
    <t>Décarbonation de la production bovin viande (extensification à dominante herbagère / agroforesterie / despécialisation / diversité génétique et santé animale) / Décarbonation de la production de blé tendre (économies d'engrais minéraux, cultures associées avec des légumineuses, ...)</t>
  </si>
  <si>
    <t>Empreinte GES du bœuf produit réduite de 10% / empreinte GES de la viande de porcs réduite de 15% / Empreinte du pain réduite de 5% (blé tendre)</t>
  </si>
  <si>
    <t>Comparaison avec les hot dogs végétariens, estimation à 0,426 kgCO2e/repas (forte atténuation permise étant donné que la prod agricole des produits carnés comptent pour 59,22% de l'empreinte soit 0,63 kgCO2e/repas)</t>
  </si>
  <si>
    <t>Comparaison avec le hot dog aux pois chiches et aux oignons (non chiffré mais empreinte GES du pois chiche très faible et estimée à 0,6 kgCO2/kg net)</t>
  </si>
  <si>
    <t>5,3% -&gt; Transports (2,0%) + Emballages (3,3%)</t>
  </si>
  <si>
    <t>Bifteck (96,4%) / Pommes de terre (0,6%) / Huile combinée (0,6%)</t>
  </si>
  <si>
    <t>Décarbonation du bovin viande (extensification à dominante herbagère / agroforesterie / despécialisation / diversité génétique et santé animale) -&gt; -10% GES par kilo produit</t>
  </si>
  <si>
    <t>Empreinte GES du bœuf produit réduite de 10% (prod agri seule considérée) / Empreinte GES des pommes de terre et des huiles végétales réduite de 5%</t>
  </si>
  <si>
    <t>Comparaison avec l'alternative végétarienne (tagliatelles sauce bolognaise pour laquelle l'empreinte GES s'élève à 1,28 kgCO2e/repas pour une portion de 237 g)</t>
  </si>
  <si>
    <t>Comparaison avec les tagliatelles aux petits pois ou associées à d'autres légumineuses à graines</t>
  </si>
  <si>
    <t>2,1% -&gt; 1,0% (Transports) + 1,1% (Emballages)</t>
  </si>
  <si>
    <t>Empreinte GES du bœuf produit réduite de 10% / Empreinte des pommes de terre et des huiles végétales réduite de 5%</t>
  </si>
  <si>
    <t>2,1% -&gt; Transport (1,0%) + Emballages (1,1%)</t>
  </si>
  <si>
    <t>Huile d'olive et issue d'autres graines (17,1%) / Pommes de terre (16,8%)</t>
  </si>
  <si>
    <t>Décarbonation des pommes de terre et de la production oléicole</t>
  </si>
  <si>
    <t>Empreinte des pommes de terre et de l'huile d'olive réduite de 5%</t>
  </si>
  <si>
    <t xml:space="preserve">Frites à base d'huile de tournesol, de colza ou de pépins de raisons (réduction des importations par rapport à l'huile d'olive) / </t>
  </si>
  <si>
    <t>26,3% -&gt; Transports (12,1%) + Emballages (14,2%)</t>
  </si>
  <si>
    <t>Burger (dominante poulet)</t>
  </si>
  <si>
    <t>Viande de poulet sans os (68,3%) / Beurre (4,2%) / Farine de blé (4,2%) / Lait demi-écrémé (2%)</t>
  </si>
  <si>
    <t>Décarbonation de la production de volailles (relocalisation du soja produit, meilleure gestion des bâtiments, redistribution spatiale des élevages à proximité de cultures céréalières, …)</t>
  </si>
  <si>
    <t>Empreinte de la viande de volailles réduite de 15% / empreinte de la farine de blé réduite de 5% / Empreinte du lait et du beurre réduite de 10%</t>
  </si>
  <si>
    <t>6,2% -&gt; Transport (3,3%) + Emballages (2,9%)</t>
  </si>
  <si>
    <t>Jambon cuit (77.2%) / Beurre (5,8%) / Farine de blé (4,5%)</t>
  </si>
  <si>
    <t>Décarbonation de la production porcine (relocalisation du soja produit, meilleure gestion des effluents, croissance de la polyculture/élevage, …)</t>
  </si>
  <si>
    <t>Empreinte du jambon réduite de 15% / Empreinte de la farine réduite de 5% / Empreinte du beurre réduite de 10%</t>
  </si>
  <si>
    <t>Comparaison avec des sandwichs végétariens (type sandwich œuf - crudités - baguette avec une empreinte de 0,56 kgCO2e/repas)</t>
  </si>
  <si>
    <t>Comparaison avec les sandwichs à base de légumineuses à graines (pois cassés, houmous de pois chiche, lentilles corail)</t>
  </si>
  <si>
    <t>9,6% -&gt; Transport (2,4%) + Emballages (7,2%)</t>
  </si>
  <si>
    <t>Poulet (24,6%) / Riz (12,5%)</t>
  </si>
  <si>
    <t>Décarbonation de la production de volailles (relocalisation du soja produit, meilleure gestion des bâtiments, redistribution spatiale des élevages à proximité de cultures céréalières, …) / Décarbonation de la production de riz</t>
  </si>
  <si>
    <t>Empreinte de la viande de volailles réduite de 15% / empreinte du riz réduite de 5%</t>
  </si>
  <si>
    <t>Comparaison avec le riz blanc accompagné de légumes (0,49 kgCO2/repas)</t>
  </si>
  <si>
    <t>Comparaison avec le riz blanc accompagné de légumineuses à graines (lentilles, haricot, pois chiche, …)</t>
  </si>
  <si>
    <t>28% -&gt; Transport (5,0%) + Emballages (23,0%)</t>
  </si>
  <si>
    <t>23,6% -&gt; Transport (4,7%) + Emballages (18,9%)</t>
  </si>
  <si>
    <t>Repas végétarien (kgCO2eq/repas)</t>
  </si>
  <si>
    <t>Repas à dominante bœuf (kgCO2eq/repas)</t>
  </si>
  <si>
    <t>Repas à dominante poulet (kgCO2e/repas)</t>
  </si>
  <si>
    <t>Hypothèse (220g de poulet avec riz)</t>
  </si>
  <si>
    <t>- Nombre de repas moyen ;
- Nombre de repas et snacks végétariens : comprend les repas végétariens (FE de X) et les frites (FE de X) ;
- Nombre de repas et snacks avec une dominante bœuf : comprend les repas avec une dominante boeuf (FE de X) et les burgers (FE de X) ;
- Nombre de repas et snacks avec une dominante poulet/porc : comprend les repas avec une dominante poulet (FE de X), les hot-dog (FE de X), les sandwich jambon-beurre (FE de X).</t>
  </si>
  <si>
    <t>Repas avec une dominante bœuf</t>
  </si>
  <si>
    <t>Repas avec une dominante poulet</t>
  </si>
  <si>
    <t>Repas végétariens</t>
  </si>
  <si>
    <t>Plat et snacks végétariens</t>
  </si>
  <si>
    <t>ANNEXE 1 : Facteurs d'émission brut</t>
  </si>
  <si>
    <t>1. Baisse des émissions de la phase de production agricole</t>
  </si>
  <si>
    <t>Baisse des émissions de la phase de production agricole</t>
  </si>
  <si>
    <t>Perspectives d'évolution d'ici 2050 : transition agroécologique par la relocalisation et poussée d'agricultures alternatives comme le bio et l'ACS</t>
  </si>
  <si>
    <t>FE 2050 (en kgCO2e/repas)</t>
  </si>
  <si>
    <t>FE plats et snacks à dominante poulet/porc</t>
  </si>
  <si>
    <t>FE plats et snacks à dominante bœuf</t>
  </si>
  <si>
    <t>Part de repas à dominante végétale avec du poulet/porc</t>
  </si>
  <si>
    <t xml:space="preserve">a. Méthode 1 </t>
  </si>
  <si>
    <t>b. Méthode 2</t>
  </si>
  <si>
    <t>Méthode prenant en compte plus de paramètre et des hypothèses moins conservatrice. Une séparation est effectué entre la consommation du match/événement via une TV et les autres plateformes (tablette, ordinateur, smartphone etc.). Nous avons également sur la part de la TV (95%) séparé la consommation via TNT, IPTV et satellite. </t>
  </si>
  <si>
    <t>Clés de répartition</t>
  </si>
  <si>
    <t>TNT </t>
  </si>
  <si>
    <t>Facteur d'émission : ANNEXE 4 (Rapport "Quantitative study of the GHG emissions of delivering TV content", LoCaT)
Répartition : Observatoire de l’équipement audiovisuel des foyers de France métropolitaine, ARCOM (https://www.arcom.fr/sites/default/files/2023-03/Observatoire%20de%20equipement%20audiovisuel%20des%20foyers%20de%20France%20metropolitaine%20-%20Resultats%20des%201er%20et%202e%20trimestres%202022%20pour%20la%20television_0.pdf)</t>
  </si>
  <si>
    <t>IPTV</t>
  </si>
  <si>
    <t>Facteur d'émission :  ANNEXE 4 (Rapport "Quantitative study of the GHG emissions of delivering TV content", LoCaT)
Répartition : Observatoire de l’équipement audiovisuel des foyers de France métropolitaine, ARCOM (https://www.arcom.fr/sites/default/files/2023-03/Observatoire%20de%20equipement%20audiovisuel%20des%20foyers%20de%20France%20metropolitaine%20-%20Resultats%20des%201er%20et%202e%20trimestres%202022%20pour%20la%20television_0.pdf)</t>
  </si>
  <si>
    <t>Satellite </t>
  </si>
  <si>
    <t>Facteur d'émission : ANNEXE 5 (Rapport "The carbon impact of streaming: an update on BBC TV's energy footprint", https://www.bbc.co.uk/rd/blog/2021-06-bbc-carbon-footprint-energy-envrionment-sustainability)
Répartition : Observatoire de l’équipement audiovisuel des foyers de France métropolitaine, ARCOM (https://www.arcom.fr/sites/default/files/2023-03/Observatoire%20de%20equipement%20audiovisuel%20des%20foyers%20de%20France%20metropolitaine%20-%20Resultats%20des%201er%20et%202e%20trimestres%202022%20pour%20la%20television_0.pdf)</t>
  </si>
  <si>
    <t>Part "autres" (5%)</t>
  </si>
  <si>
    <t>OTT</t>
  </si>
  <si>
    <t>Source article ENGIE : https://particuliers.engie.fr/economies-energie/conseils-economies-energie/conseils-calcul-consommation/consommation-electrique-television.html</t>
  </si>
  <si>
    <t>Puissance (W)</t>
  </si>
  <si>
    <t>Total kWh</t>
  </si>
  <si>
    <t>Consommation électrique TV </t>
  </si>
  <si>
    <t>Décodeur TV</t>
  </si>
  <si>
    <t>Source : https://lafibre.info/images/environnement/201806_60millions_consommateurs_consommation_electrique_des_box.webp</t>
  </si>
  <si>
    <t>Consommation électrique "autres" </t>
  </si>
  <si>
    <t>Source : https://www.hellowatt.fr/suivi-consommation-energie/consommation-electrique/ordinateur#:~:text=En%20général%2C%20la%20puissance%20d,utilisé%20pour%20une%20durée%20variable.</t>
  </si>
  <si>
    <t>Regarder 1h de streaming 4k 60 fps via une connexion fixe</t>
  </si>
  <si>
    <t>Configuration :Watch 1 hour of streaming video; 4k, 60 fps, via a fixed-line connection, 82% television, 18% laptop; FR
Les impacts tiennent compte des appareils, des réseaux et des centres de données des utilisateurs finaux. Ils sont une configuration moyenne. 
Profil d'utilisation en mode actif : ordinateur fixe 3,45 heure/jour, ordinateur portable 3,45 heure/jour,  tablette 3,45 heure/jour, smartphone 2,68 heure/jour, téléviseur 2,78 heure/jour
Puissance en mode actif : ordinateur fixe 50 W, ordinateur portable 25 W, écran 30 W, tablette 15 W, smartphone 5,6W, téléviseur 65W
Bloc data center + stockage émetteur : Performance technique Netflix ; PUE = 1,3
Durée de vie : ordinateur fixe 5 ans, écran 6 ans, ordinateur portable 4 ans, tablette 3 ans, smartphone 2 ans, téléviseur 6 ans, Firewall 5 ans, Switch 5 ans, Routeur 5 ans, Serveur 5 ans, Stockage 5 ans, Equipements supports et architecture 25 ans
Impact du réseau : voir donnée NégaOctet</t>
  </si>
  <si>
    <t>NégaOctet</t>
  </si>
  <si>
    <t>Regarder 1h de streaming 1080p 60 fps via une connexion fixe</t>
  </si>
  <si>
    <t>Configuration : Watch 1 hour of streaming video; 1080p, 60 fps, via a fixed-line connection, 82% television, 18% laptop; FR
Les impacts tiennent compte des appareils, des réseaux et des centres de données des utilisateurs finaux. Ils sont une configuration moyenne. 
Profil d'utilisation en mode actif : ordinateur fixe 3,45 heure/jour, ordinateur portable 3,45 heure/jour,  tablette 3,45 heure/jour, smartphone 2,68 heure/jour, téléviseur 2,78 heure/jour
Puissance en mode actif : ordinateur fixe 50 W, ordinateur portable 25 W, écran 30 W, tablette 15 W, smartphone 5,6W, téléviseur 65W
Bloc data center + stockage émetteur : Performance technique Netflix ; PUE = 1,3
Durée de vie : ordinateur fixe 5 ans, écran 6 ans, ordinateur portable 4 ans, tablette 3 ans, smartphone 2 ans, téléviseur 6 ans, Firewall 5 ans, Switch 5 ans, Routeur 5 ans, Serveur 5 ans, Stockage 5 ans, Equipements supports et architecture 25 ans
Impact du réseau : voir donnée NégaOctet</t>
  </si>
  <si>
    <t>Regarder 1h de streaming 720p 30 fps via une connexion fixe</t>
  </si>
  <si>
    <t>Configuration :Watch 1 hour of streaming video; 720p, 30 fps, via a fixed-line connection, 82% television, 18% laptop; FR
Les impacts tiennent compte des appareils, des réseaux et des centres de données des utilisateurs finaux. Ils sont une configuration moyenne. 
Profil d'utilisation en mode actif : ordinateur fixe 3,45 heure/jour, ordinateur portable 3,45 heure/jour,  tablette 3,45 heure/jour, smartphone 2,68 heure/jour, téléviseur 2,78 heure/jour
Puissance en mode actif : ordinateur fixe 50 W, ordinateur portable 25 W, écran 30 W, tablette 15 W, smartphone 5,6W, téléviseur 65W
Bloc data center + stockage émetteur : Performance technique Netflix ; PUE = 1,3
Durée de vie : ordinateur fixe 5 ans, écran 6 ans, ordinateur portable 4 ans, tablette 3 ans, smartphone 2 ans, téléviseur 6 ans, Firewall 5 ans, Switch 5 ans, Routeur 5 ans, Serveur 5 ans, Stockage 5 ans, Equipements supports et architecture 25 ans
Impact du réseau : voir donnée NégaOctet</t>
  </si>
  <si>
    <t>ANNEXE 4 : FE</t>
  </si>
  <si>
    <t>ANNEXE 1 : Retransmission des événements sportifs et audience TV</t>
  </si>
  <si>
    <t>Source : ANNEXE 2</t>
  </si>
  <si>
    <t>Facteur d'émission (CO2e/téléspectateur)</t>
  </si>
  <si>
    <t>Baisse du FE</t>
  </si>
  <si>
    <t>FE "Plat et snacks végétariens"</t>
  </si>
  <si>
    <t>- Répartition des usages de l'énergie dans le stade. Nous avons ici une estimation de la consommation énergétique par type de vecteur (Gaz, fioul, électricité ou réseau de chaleur) mais nous ne sommes pas capables d'estimer l'usage qui est fait de cette énergie (quelle part pour le chauffage de la pelouse, des bureaux, luminothérapie, etc.).</t>
  </si>
  <si>
    <t>- Pas de données sur les énergies renouvelables.
- Une répartition de la consommation d'énergie issue de l'électricité par usage.</t>
  </si>
  <si>
    <t xml:space="preserve">H1 : D'après des données récoltées 10% des capacités des stades sont dédiées aux hospitalités. Le détail du calcul est à retrouver en 10.1 - ANNEXE 3.  </t>
  </si>
  <si>
    <t>H2: On utilise la répartition en plat consommé de l'ANNEXE 3 (en 2.a) et on l'applique à notre modèle. On considère la répartition de ce club comme représentative.</t>
  </si>
  <si>
    <t xml:space="preserve">H3 : Pour les hospitalités, 100% mangent sur place un plat. Etant donné que les aliments proposés sont généralement multiples (buffet), nous considérons que les quantités consommées par personne sont équivalentes à un plat. On considère que 10% des plats sont végétariens, 50% comportent du boeuf et 40% du poulet. </t>
  </si>
  <si>
    <t>H4 : Pour la quantité de boissons servies pour les hospitalités : 25% consomme un soda, 25% une coupe de champagne, 25% un verre de vin et 50% une bière soit plus d'une boisson par personne.</t>
  </si>
  <si>
    <t>H5 : 40% des sportifs consomment des plats à base de bœuf et 60% à base de poulet les jours de matchs (On considère que les sportifs de haut niveau ont une alimentation plus carnée que le français moyen).</t>
  </si>
  <si>
    <t>H1 : D'après des données récoltées 10% des capacités des stades sont dédiées aux hospitalités. Le détail du calcul est à retrouver en 10.1 - ANNEXE 3.  
H2: On utilise la répartition en plat consommé de l'ANNEXE 3 (en 2.a) et on l'applique à notre modèle. On considère la répartition de ce club comme représentative.
H3 : Pour les hospitalités, 100% mangent sur place un plat. Etant donné que les aliments proposés sont généralement multiples (buffet), nous considérons que les quantités consommées par personne sont équivalentes à un plat. On considère que 10% des plats sont végétariens, 50% comportent du boeuf et 40% du poulet. 
H4 : Pour la quantité de boissons servies pour les hospitalités : 25% consomme un soda, 25% une coupe de champagne, 25% un verre de vin et 50% une bière soit plus d'une boisson par personne.
H5 : 40% des sportifs consomment des plats à base de bœuf et 60% à base de poulet les jours de matchs (On considère que les sportifs de haut niveau ont une alimentation plus carnée que le français moyen).</t>
  </si>
  <si>
    <t>ANNEXE 6 : Calcul des nouveaux FE</t>
  </si>
  <si>
    <t>(1) Facteurs d'émission : Base Empreinte (ADEME), Calculateur "Bon pour le climat" et Agribalyse (ADEME)
(2) Données provenant de clubs/stades (ANNEXE 3 - ANNEXE 4)</t>
  </si>
  <si>
    <t>H1 : D'après les données récoltées auprès d'un stadium manager, 80% du personnel interne est équipé d'un ordinateur et d'un écran fixe (annexe 1).</t>
  </si>
  <si>
    <t xml:space="preserve">H2 : On attribue 180 mètres linéaires d'écran led sur le bord du terrain. Si on considère que l'écran fait 1m de hauteur et 2m de largeur alors 180/2 = 90m2 d'écran. </t>
  </si>
  <si>
    <t>H3 : On suppose que l'écran géant à la même ACV q'un écran publicitaire. D'après l'ADEME, ce dernier à une EC de 1320 kg eCO2. L'écran a une durée de vie de 10 ans soit 1320/10 = 132 kg CO2e par an pour 2m2.</t>
  </si>
  <si>
    <t>H1 : D'après les données récoltées auprès d'un stadium manager, 80% du personnel interne est équipé d'un ordinateur et d'un écran fixe (ANNEXE 1).
H2 : On attribue 180 mètres linéaires d'écran led sur le bord du terrain. Si on considère que l'écran fait 1m de hauteur et 2m de largeur alors 180/2 = 90m2 d'écran.  Ces chiffres se basent sur des entretiens menés avec des acteurs du secteur (stadiums manager principalement).
H3 : On suppose que l'écran géant à la même ACV qu'un écran publicitaire. D'après l'ADEME, ce dernier à une empreinte carbone de 1320 kgCO2e. L'écran a une durée de vie de 10 ans soit 1320/10 = 132 kgCO2e par an pour 2m2.</t>
  </si>
  <si>
    <t>H1 : On ne comprend dans le matériel immobilisé qu'un tracteur/tondeuse à gazon de 800 kilos et quatre véhicules utilitaires légers de 3 tonnes. Estimation basée sur les autres simulations (très probablement sous-évaluée).</t>
  </si>
  <si>
    <t>Empreinte</t>
  </si>
  <si>
    <t>NC.</t>
  </si>
  <si>
    <t xml:space="preserve">H1 : On considère que la tondeuse est utilisée toute l'année (52 semaines) à raison d'environ 10h de tonte par semaine. Ce chiffre peut varier au cours d'une saison.
H2 : On considère que les véhicules utilitaires font environ 50km par semaine chacun. Cette distance va couvrir le transport de marchandises dans le stade, la gestion de déchets verts, l'entretien et le transport d'outils etc. </t>
  </si>
  <si>
    <t>H1 : 10h de tonte par semaine d'après un professionnel du secteur.</t>
  </si>
  <si>
    <t>H5 : La distance moyenne domicile-stade est égale à celle au trajet domicile-travail (cf. poste 22).</t>
  </si>
  <si>
    <t>H6 : On considère que 100% des personnes de l'équipe locale se déplacent en voiture. Cette hypothèse a été confirmée par plusieurs stadium manager de stades.</t>
  </si>
  <si>
    <t>H7 : On considère qu'il y a un nombre équivalent de rencontres internationales sur le sol français (comprenant une équipe française et une étrangère) qu'il y a de rencontres comprenant une équipe française sur un sol étranger. Pour ces rencontres (matchs internationaux avec une équipe FR sur le sol étranger), on considère toutes les autres hypothèses comme inchangées.</t>
  </si>
  <si>
    <t>H1 : D'après des experts du secteur (Clara Girard, Guillaume Gouze), 95% des trajets effectués en avion par les équipes professionnels de football sont effectués en jet privé. Dans le rugby, l'usage est généralement pour les équipes est d'emprunter des vols commerciaux. On considère donc que la moitié des vols sont effectués en jet privé et l'autre moitié en vol commercial. Le choix dépend en réalité du budget et de la santé économique du club, de la distance parcourue et du calendrier sportif. 
H2 : La distance (ANNEXE 2) de déplacement de l'équipe extérieure est une distance routière calculée avec le site Mappy. Ainsi, la distance peut être surévaluée pour les trajets aériens mais est en partie compensée par les trajets aéroports - stades, les aéroports étant très souvent éloignés des centres-villes.
H3 : On considère que l'équipe encadrante (staff) et les joueurs se déplacent de la même façon.
H4 : Lorsque les équipes se déplacent via un autre mode de transport que le car, un car (ou un véhicule équivalent) fait très régulièrement un trajet à vide pour transporter les joueurs de la gare/aéroport d'arrivée au stade et/ou pour transporter le matériel de l'équipe.
Nous prenons l'hypothèse qu'un car fait le trajet à vide dans 100% des cas lorsque l'équipe se déplace en train ou en avion.
H5 : La distance moyenne domicile-stade est égale à celle au trajet domicile-travail (cf. poste 22).
H6 : On considère que 100% des personnes de l'équipe locale se déplacent en voiture. Cette hypothèse a été confirmée par plusieurs stadium manager de stades.
H7 : On considère qu'il y a un nombre équivalent de rencontres internationales sur le sol français (comprenant une équipe française et une étrangère) qu'il y a de rencontres comprenant une équipe française sur un sol étranger. Pour ces rencontres (matchs internationaux avec une équipe FR sur le sol étranger), on considère toutes les autres hypothèses comme inchangées.</t>
  </si>
  <si>
    <t>Facteurs d'émission : Base Empreinte (ADEME)
Distances routières entre clubs (annexe 2) : calculées via Mappy 
Mobilité quotidienne, The Shift Project (source : https://theshiftproject.org/wp-content/uploads/2020/06/Mobilité-quotidienne_Chantier-du-Plan-de-transformation_TheShiftProject.pdf)
Mobilité longue distance, The Shift Project (source : https://theshiftproject.org/wp-content/uploads/2020/07/Secteur-usages-Fiche-Mobilité-longue-distance-Vision-globale_Avancement-PTEF-Juillet-2020.pdf)
Parts modales provenant de clubs pros foot+rugby</t>
  </si>
  <si>
    <t>Déplacement de l'équipe extérieure pour se rendre au stade et déplacement de l'équipe locale.</t>
  </si>
  <si>
    <t>-- potentiel à évaluer --</t>
  </si>
  <si>
    <t xml:space="preserve">2.1. Compétitions plus localisées </t>
  </si>
  <si>
    <t>2.2. Diminution du nombre de rencontres et/ou diminution du nombre d'équipes</t>
  </si>
  <si>
    <r>
      <rPr>
        <b/>
        <sz val="12"/>
        <color rgb="FF7030A0"/>
        <rFont val="Arial"/>
        <family val="2"/>
      </rPr>
      <t xml:space="preserve">Hypothèse 2 : </t>
    </r>
    <r>
      <rPr>
        <sz val="12"/>
        <color theme="1"/>
        <rFont val="Arial"/>
        <family val="2"/>
      </rPr>
      <t>Le nombre de rencontres européennes sont réduites de 30%.</t>
    </r>
  </si>
  <si>
    <t xml:space="preserve">Une distinction a été effectuée entre le déplacement de l'équipe locale et les déplacements de l'équipe adverse. Pour l'équipe locale, les déplacements sont similaires aux trajets domicile-travail. 
Pour calculer l'empreinte des déplacements, on mutliplie le nombre de personnes concernées par le sous-poste (ex : déplacement équipe extérieure) par la part de chaque mode de transport puis par la distance aller-retour (AR). Cela nous donne la distance en km pour un match. On mutliplie ensuite ce chiffre par le facteur d'émission du mode pour avoir l'empreinte carbone par mode sur un match.
On comprend également dans le périmètre les émissions liées aux déplacements des équipes françaises à l'étranger. On considère qu'ils font partie des flux liés à notre périmètre (foot et rugby professionnel) et que, ces flux de spectateurs trouvant leur point d'origine dans le territoire national, on doit les comprendre. Pour éviter de faire un listing des déplacements des rencontres de toutes les équipes, on considère qu'on reçoit autant de rencontres internationales de football et de rugby qu'on participe à à ces rencontres à l'étranger. </t>
  </si>
  <si>
    <t>H7 : Pour les déplacements des spectateurs internationaux non-européens, on considère que 100% des spectateurs extérieurs internationaux provenant de pays en dehors du continent européen viennent en avion.</t>
  </si>
  <si>
    <t>H1 : On considère que 5% des spectateurs (donc de l'affluence) sont des visiteurs ou un public non-local ayant parcouru une longue-distance. Suivant l'importance de la rencontre et la proximité avec l'équipe extérieure, ce chiffre peut varier fortement. Le chiffre moyen de 5% a donc été choisi. 
La proportion inverse est attribuée aux spectateurs locaux. Nous avons revu à la hausse cette estimation par rapport au RI de mars 2024 (qui comportait le chiffre de 2,5%) en prenant en compte les retours suite à la publication du rapport et l'apport de nouvelles données.
H2 : Les parts modales pour les spectateurs extérieurs et non locaux ont été estimées grâce à la base de données du ministère (ANNEXE 4). 
H3 : La distance (ANNEXE 3) des déplacements des supporters visiteurs et non-locaux est la moyenne des distances routières de tous les clubs professionnels. Ainsi, la distance peut être surévaluée pour les trajets aériens mais est en partie compensée par les trajets aéroport-stade, les aéroports étant très souvent éloignés des centres-villes. On considère également que les spectateurs non-locaux font la même distance que les supporters visiteurs.
H4 : On considère que la distance domicile-stade pour les spectateurs locaux est identique à la distance domicile-travail du département (cf. poste 22). On retrouve une distance similaire (19km) sur cet article de l'Equipe : https://www.lequipe.fr/Football/Actualites/La-saison-prochaine-la-ligue-1-se-veut-plus-ecologique/1382126
H5 : Les parts modales pour les spectateurs locaux ont été estimées grâce aux données récoltées en ANNEXE 2. Il s'agit du regroupement de plusieurs stades en fonction de la catégorie attribuée.
H6 : Etant donné la part marginale du transport en deux roues motorisés (environ 1%) et la faible différence sur le facteur d'émission (0,08 kgCO2e/peq.km pour les deux roues motorisés contre 0,11 kgCO2e/peq.km pour la voiture),
on considère que les personnes se déplaçant avec ce mode de transport se déplacent en voiture.
H7 : Pour les déplacements des spectateurs internationaux non-européens, on considère que 100% des spectateurs extérieurs internationaux provenant de pays en dehors du continent européen viennent en avion.</t>
  </si>
  <si>
    <t>- Facteurs d'émission - Base Empreinte (ADEME)
- Enquête mobilité football professionnel, LFP / EcoAct
- Enquêtes mobilités de clubs ou estimations, sources anonymes.
- Base de données mobilité par le Ministère de la Transition Ecologique (source : https://www.statistiques.developpement-durable.gouv.fr/resultats-detailles-de-lenquete-mobilite-des-personnes-de-2019)
- Distances routières entre clubs (ANNEXE 3) : calculées via Mappy
- Mobilité quotidienne, The Shift Project (source : https://theshiftproject.org/wp-content/uploads/2020/06/Mobilité-quotidienne_Chantier-du-Plan-de-transformation_TheShiftProject.pdf)
- Spectateurs visiteurs, LFP : https://www.lfp.fr/Articles/Communiqués/2023/06/15/record-d-affluence-dans-les-espaces-visiteurs-de-ligue-1-uber-eats-et-ligue-2-bkt
- Mobilité longue distance, The Shift Project (source : https://theshiftproject.org/wp-content/uploads/2020/07/Secteur-usages-Fiche-Mobilité-longue-distance-Vision-globale_Avancement-PTEF-Juillet-2020.pdf)
- Provenance des spectateurs internationaux : FluxVision</t>
  </si>
  <si>
    <t>Pour calculer l'empreinte des déplacements, on mutliplie le nombre de personnes concernées par le sous-poste (ex : déplacement spectateurs locaux) par la part de chaque mode de transport puis par la distance aller-retour (AR). Cela nous donne la distance en km pour un match. On mutliplie ensuite ce chiffre par le facteur d'émission du mode pour avoir l'empreinte carbone par mode sur un match.
On fait ce calcul pour les rencontres nationales et internationales, qui demandent des hypothèses différenciées. On comprend également les spectateurs d'équipes françaises se rendant à des rencontres à l'étranger.</t>
  </si>
  <si>
    <t xml:space="preserve">H4 : Le personnel externe local est composé de professionnels mobilisés les jours de match mais pas internes au club (secouristes, prestataires en restauration et sécurité etc.). </t>
  </si>
  <si>
    <t>H1 : Le personnel interne est employé par le club ou par une autre organisation gestionnaire du stade (collectivité par exemple). On considère que leur activité est destiné aux activités du stade (même s'ils sont employés par le club). Le calcul se fait ainsi sur la base de 218 jours travaillés.
H2 : Pour le personnel interne, on considère que la distance stade-domicile est du domicile-travail. La distance moyenne retenue est donc celle du département (ANNEXE 2) ou se situe le stade.
H3 : Etant donné la part marginale du transport en deux roues motorisés (environ 1%), on considère que les personnes se déplaçant avec ce mode de transport se déplacent en voiture.
H4 : Le personnel externe local est composé de professionnels mobilisés les jours de match mais pas internes au club (secouristes, prestataires en restauration et sécurité etc.). Le détail du calcul de leur nombre est détaillé en annexe 3. Pour la plupart, ces personnes sont situées sur le territoire proche du stade. On considère donc que ces personnes se déplacent comme le personnel interne et effectue la même distance.
H5 : Les autres professionnels externes sont des professionnels mobilisés les jours de match, non salariés par le club et le stade (arbitres, médias etc.), et qui ne sont pas localisés sur le territoire proche du stade. Ils proviennent globalement de lieux éloignés et leurs trajets sont classifiés comme de la mobilité longue distance. Les parts modales et la distance ont été estimées grâce aux données en annexe 4.</t>
  </si>
  <si>
    <t>Une séparation est effectué entre la consommation du match via une TV et les autres plateformes (tablette, ordinateur, smartphone etc.). Nous séparons également les technologies de diffusion. La répartition des émissions du facteur d'émission sont à retrouver en Annexe 3.</t>
  </si>
  <si>
    <t>H1 : Etant donné la variabilité faible entre les différentes technologies de visionnage hors TNT sur TV, nous simplifions le calcul en considérant que 100% du visionnage hors TNT est de l'IPTV.</t>
  </si>
  <si>
    <t>H2 : 30% de la consommation d'un événément sportif via une télévision est effectuée via une connexion TNT (cf. source ARCOM). Le FE donnée par LoCaT prend en compte la consommation du serveur, du réseau et de la box. Chiffre arrondi pour arriver à un total de 100% sur les modes de diffusion.</t>
  </si>
  <si>
    <t>H3 : 60% de la consommation d'un événément sportif via une télévision est effectuée via une connexion IPTV. Le FE donnée par LoCaT prend en compte la consommation du serveur, du réseau et de la box. Chiffre arrondi pour arriver à un total de 100% sur les modes de diffusion.</t>
  </si>
  <si>
    <t>H4 : 10% de la consommation d'un événément sportif via une télévision est effectuée via une connexion satellite. Le FE donnée par l'étude BBC prend en compte la consommation du serveur, du réseau et de la box. Chiffre arrondi pour arriver à un total de 100% sur les modes de diffusion.</t>
  </si>
  <si>
    <t xml:space="preserve">H5 : Connexion OTT via des supports de consommation mobile (smartphone, tablette, ordinateur etc.). </t>
  </si>
  <si>
    <t>H8 : Hypothèse basse de puissance (50W) basée sur la consommation d'un ordinateur portable (cf. source).</t>
  </si>
  <si>
    <t>H7 : Puissances du décodeur TV estimées à environ 10W chacune.</t>
  </si>
  <si>
    <t>H6 : 100W de puissance et 2h de consommation. Approximation basée sur un article internet d'ENGIE (cf. onglet Source) pour un écran TV 55" LCD LED</t>
  </si>
  <si>
    <t>H1 : Etant donné la variabilité faible entre les différentes technologies de visionnage hors TNT sur TV, nous simplifions le calcul en considérant que 100% du visionnage hors TNT est de l'IPTV. 
H2 : 30% de la consommation d'un événément sportif via une télévision est effectuée via une connexion TNT (cf. source ARCOM). Le FE donnée par LoCaT prend en compte la consommation du serveur, du réseau et de la box. Chiffre arrondi pour arriver à un total de 100% sur les modes de diffusion.
H3 : 60% de la consommation d'un événément sportif via une télévision est effectuée via une connexion IPTV. Le FE donnée par LoCaT prend en compte la consommation du serveur, du réseau et de la box. Chiffre arrondi pour arriver à un total de 100% sur les modes de diffusion.
H4 : 10% de la consommation d'un événément sportif via une télévision est effectuée via une connexion satellite. Le FE donnée par l'étude BBC prend en compte la consommation du serveur, du réseau et de la box. Chiffre arrondi pour arriver à un total de 100% sur les modes de diffusion.
H5 : Connexion OTT via des supports de consommation mobile (smartphone, tablette, ordinateur etc.). 
H6 : 100W de puissance et 2h de consommation. Approximation basée sur un article internet d'ENGIE (cf. onglet Source) pour un écran TV 55" LCD LED
H7 : Puissances du décodeur TV estimées à environ 10W chacune.
H8 : Hypothèse basse de puissance (50W) basée sur la consommation d'un ordinateur portable (cf. source).</t>
  </si>
  <si>
    <t>Les audiences de Ligue 1 et Ligue 2 ne sont pas diffusées. D'après plusieurs sources, il y aurait entre 350 000 et 850 000 téléspectateurs par match. Nous prenons l'hypothèse qu'il y a 600 000 téléspectateurs par rencontre.</t>
  </si>
  <si>
    <t>Estimation délicate car multiplexe. On prend l'hypothèse de 50 000 téléspectateurs / matcH;</t>
  </si>
  <si>
    <t>Aucune données en l'état.</t>
  </si>
  <si>
    <t>Hypothèse de 300 000 téléspectateurs en moyenne par match.</t>
  </si>
  <si>
    <t>Hypothèse de 50 000 téléspectateurs en moyenne par match.</t>
  </si>
  <si>
    <t>Hypothèse que audience similaire à L1.</t>
  </si>
  <si>
    <t>Source 1 : https://www.lerugbynistere.fr/news/audiences-le-rugby-est-seulement-le-4e-sport-le-plus-suivi-sur-canal-1004221209.php#google_vignette</t>
  </si>
  <si>
    <t>- Facteurs d'émission : Base de données NegaOctet / ADEME / LoCaT
- Nombre de téléspectateurs PRO D2 et L2 : https://www.lerugbynistere.fr/news/une-pro-d2-deux-fois-plus-regardee-que-la-ligue-2-quelles-equipes-seduisent-le-plus-2910211718.php
- Nombre de téléspectateurs TOP 14 : ANNEXE 1 - Affluences
- Puissance box internet + décodeur : https://lafibre.info/images/environnement/201806_60millions_consommateurs_consommation_electrique_des_box.webp
- Puissance télévision : https://particuliers.engie.fr/economies-energie/conseils-economies-energie/conseils-calcul-consommation/consommation-electrique-television.html
- Rapport "Quantitative study of the GHG emissions of delivering TV content", LoCaT
- Observatoire de l’équipement audiovisuel des foyers de France métropolitaine, ARCOM : https://www.arcom.fr/sites/default/files/2023-03/Observatoire%20de%20equipement%20audiovisuel%20des%20foyers%20de%20France%20metropolitaine%20-%20Resultats%20des%201er%20et%202e%20trimestres%202022%20pour%20la%20television_0.pdf
- The carbon impact of streaming: an update on BBC TV's energy footprint (https://www.bbc.co.uk/rd/blog/2021-06-bbc-carbon-footprint-energy-envrionment-sustainability)
- Puissance ordinateur portable : https://www.hellowatt.fr/suivi-consommation-energie/consommation-electrique/ordinateur#:~:text=En%20général%2C%20la%20puissance%20d,utilisé%20pour%20une%20durée%20variable.
- ARCOM, ARCEP : https://www.arcom.fr/presse/larcom-et-larcep-en-lien-avec-lademe-publient-une-etude-inedite-sur-limpact-environnemental-des-usages-audiovisuels-en-france-en-2022-et-lhorizon-2030</t>
  </si>
  <si>
    <t xml:space="preserve">Méthode 2 : manque l'amortissement du matériel numérique. </t>
  </si>
  <si>
    <t>NB : Etant donné les incertitudes sur ce poste d'émission, notre manque de moyens pour explorer pleinement ce sujet complexe et sa part relativement faible (allant de 2 à 8% suivant la méthode) dans l'empreinte globale de notre périmètre, nous nous contenterons principalement de préconisations et d'évaluations qualitatives pour ce poste (nous renvoyons pour cela au rapport écrit). Le potentiel physique de décarbonation est évalué par la baisse de l'intensité carbone de l'électricité étant donné que nous retenons la méthode 2 (comprenant uniquement la consommation d'énergie marginale de la retransmission des événéments). Cette hypothèse très symplificatrice est sans aucun doute contestable, les ressorts de la décarbonation de la retransmission étant bien plus complexe à déterminer (évolution de l'audience des rencontres sportives, évolution des différentes technologies de diffusion et des réseaux, essort de l'IA, etc.). Une analyse plus robuste pourra être effectuée dans le cadre d'un projet ensemblié "Grands événéments sportifs".</t>
  </si>
  <si>
    <t>Nous considérons que le potentiel de décarbonation du poste est lié à la décarbonation du facteur d'émission de l'électricité. En effet, d'après le calcul d'empreinte (méthode 2), la consommation énergétique des terminaux et des réseaux est le seul responsable des émissions de ce poste. Ainsi, nous faisons l'hypothèse très simplificatrice que, toutes choses égales par ailleurs (audience stable et consommation énergétiques des technologies de diffusion et du réseau stable), la retransmission peut se décarboner à hauteur du potentiel de décarbonation de la production d'électricité française.</t>
  </si>
  <si>
    <t xml:space="preserve">     ANNEXE B : La SNBC appliquée au secteur</t>
  </si>
  <si>
    <t xml:space="preserve">     ANNEXE A : Rencontres nationales</t>
  </si>
  <si>
    <t xml:space="preserve">     ANNEXE C : Notes de précision du périmètre et des calculs</t>
  </si>
  <si>
    <t>Le secteur professionnel de football et de rugby est large et comporte nombreuses compétitions et acteurs. Le tableau ci-dessous permet d'indiquer quelle est le taux de couverture de chaque catégorie.</t>
  </si>
  <si>
    <t>Taux</t>
  </si>
  <si>
    <t>Coupe de France</t>
  </si>
  <si>
    <t xml:space="preserve">H5 : Les autres professionnels externes sont des professionnels mobilisés les jours de match, non salariés par le club et le stade (arbitres, médias etc.), et qui ne sont pas localisés sur le territoire proche du stade. </t>
  </si>
  <si>
    <t xml:space="preserve">Les deux méthodes donnent des résultats différents d'un facteur 4. Ces différences s'expliquent par des différences méthodologiques (méthode attributionnelle vs conséquentielle) ainsi que des sources différentes pour les facteurs d'émission. Ces deux méthodes serviront de fourchettes basses/hautes. Nous retenons la méthode 2 en base du modèle. </t>
  </si>
  <si>
    <t>La méthode part d'un calcul basé sur un match moyen (grâce à l'apport de données multiples) et d'ensuite multiplier les consommations par match moyen par le total de spectateurs consommateurs d'alimentation/boisson sur une saison (on considère donc que ce match dit moyen est représentatif de l'ensemble). Il nous faut donc multiplier la fréquentation totale des événéments par la quantité de boissons/snacks consommés et par les facteurs d'émission de chaque catégorie. On obtient ensuite l'empreinte carbone du poste.</t>
  </si>
  <si>
    <t xml:space="preserve">Méthode 1 : Méthode attributionelle tenant compte du carbone gris (émissions de GES liées à la vie des infrastructures comme le réseau, les terminaux, etc.) et les consommations énergétiques induites par l'événement.
Méthode 2 : Méthode conséquentielle tenant compte uniquement des consommations énergétiques induites par l'événement. Ici, la méthode conséquentielle demande à ce qu'un lien de causalité soit établi entre le fait d'acheter une télévision (ou d'adapter les infrastructures réseaux par exemple) et nos événements sportifs. Actuellement, nous ne disposons pas de données permettant d'établir un tel lien. </t>
  </si>
  <si>
    <t xml:space="preserve">La distance moyenne domicile-travail aller-retour est donnée puis calculée grâce au tableau de données de l'INSEE (annexe 2) pour les salariés de la structure ou le personnel externe local. Pour les autres professionnels extérieurs, on utilise la base de données du ministère sur la mobilité longue distance.
Pour calculer l'empreinte des déplacements, on mutliplie le nombre de personnes concernées par le sous-poste par la part de chaque mode de transport puis par la distance aller-retour (AR). Cela nous donne la distance en km pour un match. On mutliplie ensuite ce chiffre par le facteur d'émission du mode pour avoir l'empreinte carbone par mode sur un match. </t>
  </si>
  <si>
    <t>Trajets des professionnels pour se rendre au stade (hors sportifs et équipe encadrante) et au club sur une saison.</t>
  </si>
  <si>
    <t>Ligue 1 : Environ 150 à 300 personnes. Cela inclut non seulement les joueurs et les staffs techniques, mais aussi les équipes administratives, commerciales et de gestion des infrastructures.
Ligue 2 : Environ 50 et 150 personnes. Les structures y sont plus petites, mais le besoin en personnel reste conséquent.
Top 14 : Environ 100 et 200 personnes. Cette estimation comprend les joueurs, les staffs techniques, ainsi que le personnel administratif et médical.
Pro D2 : Environ 50 et 100 salariés. Le personnel est composé des équipes sportives, du staff technique, mais aussi de services administratifs plus réduits.
D1 Féminine : Environ 30 à 80 salariés. Les sections féminines dépendent parfois de la structure des clubs masculins, donc cette variation peut être significative.</t>
  </si>
  <si>
    <t>Nombre rencontres nationales</t>
  </si>
  <si>
    <t>Nombre rencontres européennes</t>
  </si>
  <si>
    <t>Nombre rencontres extra-européennes</t>
  </si>
  <si>
    <t>3) Empreinte carbone par sport</t>
  </si>
  <si>
    <t xml:space="preserve">a. Football </t>
  </si>
  <si>
    <t>Européen</t>
  </si>
  <si>
    <t>Extra-européen</t>
  </si>
  <si>
    <t>Pour réatribuer l'empreinte par sport, on prend la part typologie de rencontre par sport puis on multiplie par les empreintes par typologie.</t>
  </si>
  <si>
    <t>a. Nombre de rencontres par typologie</t>
  </si>
  <si>
    <t>b. Réatribution des empreintes (en tCO2e) par type</t>
  </si>
  <si>
    <t>2. Bilan</t>
  </si>
  <si>
    <t>Championnats domestiques nationaux football (D1 Féminine, L1, L2)</t>
  </si>
  <si>
    <t>Championnats internationaux rugby XV (Champions Cup, Challenge Cup, Tournoi des 6 nations, etc.)</t>
  </si>
  <si>
    <t>Matchs amicaux internationaux football</t>
  </si>
  <si>
    <t xml:space="preserve">        Évènement</t>
  </si>
  <si>
    <t xml:space="preserve">        Autres</t>
  </si>
  <si>
    <t xml:space="preserve">NC. </t>
  </si>
  <si>
    <t xml:space="preserve">NC. = non comptabilisés </t>
  </si>
  <si>
    <t xml:space="preserve">Rugby </t>
  </si>
  <si>
    <t xml:space="preserve">Matchs nationaux </t>
  </si>
  <si>
    <t>Matchs extra-européens</t>
  </si>
  <si>
    <t>c. Empreinte totale par type</t>
  </si>
  <si>
    <t>du total</t>
  </si>
  <si>
    <t>des matchs</t>
  </si>
  <si>
    <t>% total</t>
  </si>
  <si>
    <t>N</t>
  </si>
  <si>
    <t>E</t>
  </si>
  <si>
    <t>NE</t>
  </si>
  <si>
    <t>3. Répartition locaux / visiteurs</t>
  </si>
  <si>
    <t>Visiteurs</t>
  </si>
  <si>
    <t>Part sur le total</t>
  </si>
  <si>
    <t>des rencontres</t>
  </si>
  <si>
    <t>Par pesonne en kgCO2e</t>
  </si>
  <si>
    <t>1. Émissions et parts modales</t>
  </si>
  <si>
    <t>Matchs nationaux - visiteurs</t>
  </si>
  <si>
    <t>Matchs nationaux - locaux</t>
  </si>
  <si>
    <t>Mobilités douces</t>
  </si>
  <si>
    <t>Kilomètres parcourus</t>
  </si>
  <si>
    <t>ANNEXE 7 : Résumé et graphiques</t>
  </si>
  <si>
    <t>Bière industrielle</t>
  </si>
  <si>
    <t>Soda industriel</t>
  </si>
  <si>
    <t>Part du total consommé</t>
  </si>
  <si>
    <t>Part de l'empreinte carbone</t>
  </si>
  <si>
    <t>Production des matériaux (carbone gris)</t>
  </si>
  <si>
    <t>A. Empreinte carbone sur un match</t>
  </si>
  <si>
    <t>B. Empreinte carbone - périmètre complet et par sport</t>
  </si>
  <si>
    <t>Totale conso stades France kWh</t>
  </si>
  <si>
    <t>Empreinte moyenne matchs internationaux (en tCO2e)</t>
  </si>
  <si>
    <t>Km</t>
  </si>
  <si>
    <t>Empreinte moyenne du transport des spectateurs visiteurs / match</t>
  </si>
  <si>
    <t>Empreinte par type</t>
  </si>
  <si>
    <t>Nombre matchs saison</t>
  </si>
  <si>
    <t>x. Emissions des spectateurs par type de match et par mode</t>
  </si>
  <si>
    <t>x. Répartition des émissions par type de match et répartiton par type de match</t>
  </si>
  <si>
    <t>Émissions totales (tCO2e) 2022-2023</t>
  </si>
  <si>
    <t>3) Empreinte carbone des matchs internationaux et d'un match international "moyen" de football ou rugby professionnel en 2022-2023</t>
  </si>
  <si>
    <t>Par spectateur (en kgCO2e)</t>
  </si>
  <si>
    <t>Equivalent Paris-NY</t>
  </si>
  <si>
    <t>Km parcourues</t>
  </si>
  <si>
    <t>1 trajet AR</t>
  </si>
  <si>
    <t>Non compris dans ce périmètre : compétitions de rugby à VII, TOP 14 Rugby Tour, Nuit du Rugby, Access match. Des calculs d'empreinte carbone transmis par la Ligue Nationale de rugby nous ont permis de considérer ces potentiels ajouts comme faibles au regard de l'empreinte totale du secteur.</t>
  </si>
  <si>
    <t>Non compris dans le périmètre : tournois amicaux d'été, matchs d'exposition, matchs de charité.</t>
  </si>
  <si>
    <t>Doit comprendre une équipe française pour être incluse dans le périmètre. Non compris : compétitions de rugby à VII.</t>
  </si>
  <si>
    <t>Activités des clubs professionnels (hors évènements)</t>
  </si>
  <si>
    <t>Sièges administratifs des instances (Ligues pro, syndicats, etc.)</t>
  </si>
  <si>
    <t>Coupe de France Homme et Femme, à partir du 32ᵉ de finale pour les hommes et 8ᵉ de finale pour les femmes (correspond aux entrées en lice des équipes professionnelles).</t>
  </si>
  <si>
    <t>Championnats domestiques nationaux rugby XV (TOP 14, PRO D2)</t>
  </si>
  <si>
    <t>Nom</t>
  </si>
  <si>
    <t>Ville</t>
  </si>
  <si>
    <t>Capacité actuelle</t>
  </si>
  <si>
    <t>Année d'ouverture</t>
  </si>
  <si>
    <t>Dernière rénovation</t>
  </si>
  <si>
    <t>Stade de France</t>
  </si>
  <si>
    <t>Saint-Denis</t>
  </si>
  <si>
    <t>Orange Velodrome</t>
  </si>
  <si>
    <t>Marseille</t>
  </si>
  <si>
    <t>Groupama Stadium</t>
  </si>
  <si>
    <t>Décines-Charpieu</t>
  </si>
  <si>
    <t>Decathlon Arena Stade Pierre Mauroy</t>
  </si>
  <si>
    <t>Villeneuve-d'Ascq</t>
  </si>
  <si>
    <t>Parc des Princes</t>
  </si>
  <si>
    <t>Paris</t>
  </si>
  <si>
    <t>Matmut Atlantique</t>
  </si>
  <si>
    <t>Bordeaux</t>
  </si>
  <si>
    <t>Stade Geoffroy-Guichard</t>
  </si>
  <si>
    <t>Saint-Étienne</t>
  </si>
  <si>
    <t>Stade Bollaert-Delelis</t>
  </si>
  <si>
    <t>Lens</t>
  </si>
  <si>
    <t>Allianz Riviera</t>
  </si>
  <si>
    <t>Stade de la Beaujoire</t>
  </si>
  <si>
    <t>Nantes</t>
  </si>
  <si>
    <t>Stade de Gerland</t>
  </si>
  <si>
    <t>Lyon</t>
  </si>
  <si>
    <t>Stade Chaban-Delmas</t>
  </si>
  <si>
    <t>Stadium de Toulouse</t>
  </si>
  <si>
    <t>Toulouse</t>
  </si>
  <si>
    <t>Paris La Défense Arena</t>
  </si>
  <si>
    <t>Nanterre</t>
  </si>
  <si>
    <t>Roazhon Park</t>
  </si>
  <si>
    <t>Rennes</t>
  </si>
  <si>
    <t>Stade Saint-Symphorien</t>
  </si>
  <si>
    <t>Longeville-lès-Metz
(Metz)</t>
  </si>
  <si>
    <t>Stade de la Meinau</t>
  </si>
  <si>
    <t>Strasbourg</t>
  </si>
  <si>
    <t>Stade Océane</t>
  </si>
  <si>
    <t>Le Havre</t>
  </si>
  <si>
    <t>Stade du Hainaut</t>
  </si>
  <si>
    <t>Valenciennes</t>
  </si>
  <si>
    <t>Stade Marie-Marvingt</t>
  </si>
  <si>
    <t>Le Mans</t>
  </si>
  <si>
    <t>Stade Louis-Dugauguez</t>
  </si>
  <si>
    <t>Sedan</t>
  </si>
  <si>
    <t>Stade de la Mosson</t>
  </si>
  <si>
    <t>Montpellier</t>
  </si>
  <si>
    <t>Stade Auguste-Delaune</t>
  </si>
  <si>
    <t>Reims</t>
  </si>
  <si>
    <t>Stade de l'Aube</t>
  </si>
  <si>
    <t>Troyes</t>
  </si>
  <si>
    <t>Stade Michel-d'Ornano</t>
  </si>
  <si>
    <t>Caen</t>
  </si>
  <si>
    <t>Stade Marcel-Picot</t>
  </si>
  <si>
    <t>Tomblaine(Nancy)</t>
  </si>
  <si>
    <t>Stade des Alpes</t>
  </si>
  <si>
    <t>Grenoble</t>
  </si>
  <si>
    <t>Stade Auguste-Bonal</t>
  </si>
  <si>
    <t>Montbéliard</t>
  </si>
  <si>
    <t>Stade Jean-Bouin</t>
  </si>
  <si>
    <t>Stade Raymond-Kopa</t>
  </si>
  <si>
    <t>Angers</t>
  </si>
  <si>
    <t>Stade Marcel-Michelin</t>
  </si>
  <si>
    <t>Clermont-Ferrand</t>
  </si>
  <si>
    <t>Stade Charléty</t>
  </si>
  <si>
    <t>Stade Ernest-Wallon</t>
  </si>
  <si>
    <t>Stade de Roudourou</t>
  </si>
  <si>
    <t>Guingamp</t>
  </si>
  <si>
    <t>Stade Robert-Bobin</t>
  </si>
  <si>
    <t>Bondoufle</t>
  </si>
  <si>
    <t>Stade Raoul-Barrière</t>
  </si>
  <si>
    <t>Béziers</t>
  </si>
  <si>
    <t>Stadium Lille Métropole</t>
  </si>
  <si>
    <t>Villeneuve-d'Ascq
(Lille)</t>
  </si>
  <si>
    <t>Stade du Moustoir</t>
  </si>
  <si>
    <t>Lorient</t>
  </si>
  <si>
    <t>Stade Gaston-Gérard</t>
  </si>
  <si>
    <t>Dijon</t>
  </si>
  <si>
    <t>Stade Mayol</t>
  </si>
  <si>
    <t>Toulon</t>
  </si>
  <si>
    <t>Stade Jean-Dauger</t>
  </si>
  <si>
    <t>Bayonne</t>
  </si>
  <si>
    <t>Stade Pierre-Aliker</t>
  </si>
  <si>
    <t>Fort-de-France</t>
  </si>
  <si>
    <t>Stade de l'Abbé-Deschamps</t>
  </si>
  <si>
    <t>Auxerre</t>
  </si>
  <si>
    <t>Plaine des sports</t>
  </si>
  <si>
    <t>Avignon</t>
  </si>
  <si>
    <t>Stade Gaston-Petit</t>
  </si>
  <si>
    <t>Châteauroux</t>
  </si>
  <si>
    <t>Stade Jules-Deschaseaux</t>
  </si>
  <si>
    <t>Stade Armand-Cesari</t>
  </si>
  <si>
    <t>Furiani
(Bastia)</t>
  </si>
  <si>
    <t>Stade Marcel-Deflandre</t>
  </si>
  <si>
    <t>La Rochelle</t>
  </si>
  <si>
    <t>Parc des sports</t>
  </si>
  <si>
    <t>Annecy</t>
  </si>
  <si>
    <t>GGL Stadium</t>
  </si>
  <si>
    <t>Stade Francis-Le Blé</t>
  </si>
  <si>
    <t>Brest</t>
  </si>
  <si>
    <t xml:space="preserve">Accor Arena </t>
  </si>
  <si>
    <t>Stade Pater Te Hono Nui</t>
  </si>
  <si>
    <t>Pirae</t>
  </si>
  <si>
    <t>Stade Maurice-Trélut</t>
  </si>
  <si>
    <t>Tarbes</t>
  </si>
  <si>
    <t xml:space="preserve">Plus de 50 ans </t>
  </si>
  <si>
    <t>Stades qui auront moins de 50 ans en 2050</t>
  </si>
  <si>
    <t>Construction stade</t>
  </si>
  <si>
    <t>Rénovation stade</t>
  </si>
  <si>
    <t xml:space="preserve">Parking </t>
  </si>
  <si>
    <t>Part à prendre en compte</t>
  </si>
  <si>
    <t>Nombre total de places assises</t>
  </si>
  <si>
    <t>Soit le nombre de places assises à considérer avec le FE/place neuf</t>
  </si>
  <si>
    <t>Construction des stades</t>
  </si>
  <si>
    <t>Rénovation des stades</t>
  </si>
  <si>
    <t>ANNEXE 5 : Empreinte carbone de la rénovation</t>
  </si>
  <si>
    <t>La méthode est la suivante : on applique le FE construction neuve aux stades de moins de 50 ans. Aux stades supérieurs à 50 ans, on applique le FE rénovation. Les détails de calculs des FE sont à retrouver en Annexe 4 et 5.</t>
  </si>
  <si>
    <t>Etape 1 : Empreinte carbone de la construction et de la rénovation des stades</t>
  </si>
  <si>
    <t>Etape 2 : Empreinte carbone des parkings</t>
  </si>
  <si>
    <t>Nous utilisons ce différentiel en considérant que l'empreinte carbone de la rénovatioj des stades est du même ordre de grandeur plus faible que le cas ci-dessus.</t>
  </si>
  <si>
    <t>ANNEXE 6 : Liste de stades en France</t>
  </si>
  <si>
    <t>Source : Wikipédia, https://fr.wikipedia.org/wiki/Liste_des_plus_grands_stades_de_France</t>
  </si>
  <si>
    <t>Stades qui ont moins de 50 ans sur l'échantillon</t>
  </si>
  <si>
    <t>Impact de la construction en kgCO2e/place</t>
  </si>
  <si>
    <t>Impact de la rénovation kgCO2e/place</t>
  </si>
  <si>
    <t>XXX</t>
  </si>
  <si>
    <t xml:space="preserve">Un nouveau stade est construit en moyenne tout les </t>
  </si>
  <si>
    <t>Année</t>
  </si>
  <si>
    <t>Construction neuve</t>
  </si>
  <si>
    <t>places/an</t>
  </si>
  <si>
    <t>Rénovation</t>
  </si>
  <si>
    <t xml:space="preserve">Soit un taux annuel de </t>
  </si>
  <si>
    <t xml:space="preserve">Remarque : on considère que toute les constructions se font sur la base du nouveau FE mais leviers exogènes s'implèmentent au fur et à mesure. </t>
  </si>
  <si>
    <t>1. Construction neuve avec FE avant activation des leviers</t>
  </si>
  <si>
    <t>2. Construction neuve après activation des leviers</t>
  </si>
  <si>
    <t>Pourcentage de la capacité totale</t>
  </si>
  <si>
    <t>Empreinte en tCO2e</t>
  </si>
  <si>
    <t>Restant 2050</t>
  </si>
  <si>
    <t xml:space="preserve">Prise en compte des constructions inférieures à 50 ans en 2050 avec les FE d'avant l'activation des leviers. </t>
  </si>
  <si>
    <t>Diminution annuelle d'après Annexe X :</t>
  </si>
  <si>
    <t>Construction neuve avec nouveaux FE</t>
  </si>
  <si>
    <t>FE après leviers</t>
  </si>
  <si>
    <t>3. Rénovation avec nouveaux FE</t>
  </si>
  <si>
    <t>ANNEXE 2 : Détail des calculs</t>
  </si>
  <si>
    <t>H1 : Sont comptabilisés dans le calcul uniquement les places assises et non la capacité totale comprenant des places assises et débout. En effet, ces dernières nécessitent une intensité matière bien moindre (voir nulle) par rapport aux places assises. Pour les grands stades, le pourcentage de places assises est généralement proche de 100%.</t>
  </si>
  <si>
    <t xml:space="preserve">NB : La méthode employée pour le calcul des émissions de ce post lors du rapport intermédiaire tendait à sous-estimer les émissions réelles de la construction des stades. En effet, des données obtenues d'ACV de construction de stades nous ont permis de constater que les émissions de GES/place était au moins 2 fois supérieurs. Nous utilisons donc ces données plus fiables pour estimer l'empreinte. </t>
  </si>
  <si>
    <t>H2 : On considère que tous les stades disposent de 5% de leur capacité en parking.</t>
  </si>
  <si>
    <t>H3 : On considère que le parking est amorti au bout de 30 ans. Inspiré du chiffre obtenu ici : https://www.cher.gouv.fr/contenu/telechargement/6213/36841/file/AABilan_carbone-DDT18-1.pdf</t>
  </si>
  <si>
    <t xml:space="preserve">H1 : Sont comptabilisés dans le calcul uniquement les places assises et non la capacité totale comprenant des places assises et débout. En effet, ces dernières nécessitent une intensité matière bien moindre (voir nulle) par rapport aux places assises. Pour les grands stades, le pourcentage de places assises est généralement proche de 100%.	
H2 : On considère que tous les stades disposent de 5% de leur capacité en parking.
H3 : On considère que le parking est amorti au bout de 30 ans. Inspiré du chiffre obtenu ici : https://www.cher.gouv.fr/contenu/telechargement/6213/36841/file/AABilan_carbone-DDT18-1.pdf	</t>
  </si>
  <si>
    <t>H1 : Ne disposant pas de données spécifiques sur les matériaux hors béton-acier, on considère que ces matériaux divers se décarbonnent à hauteur de la moyenne de la décarbonation entre le béton et l'acier.</t>
  </si>
  <si>
    <r>
      <rPr>
        <b/>
        <sz val="12"/>
        <color rgb="FF7030A0"/>
        <rFont val="Arial"/>
        <family val="2"/>
      </rPr>
      <t xml:space="preserve">Hypothèse 1 : </t>
    </r>
    <r>
      <rPr>
        <sz val="12"/>
        <color theme="1"/>
        <rFont val="Arial"/>
        <family val="2"/>
      </rPr>
      <t>Le nombre de rencontres internationales extra-européennes est divisée par 4.</t>
    </r>
  </si>
  <si>
    <t>Total spectateurs nationaux</t>
  </si>
  <si>
    <t>Total spectateurs internationaux</t>
  </si>
  <si>
    <t>Soit</t>
  </si>
  <si>
    <t>soit sur le total national</t>
  </si>
  <si>
    <t xml:space="preserve">    I. Empreinte carbone 2022-2023 - Synthèse</t>
  </si>
  <si>
    <t xml:space="preserve">     II. Evolution 2022-2050 - Synthèse</t>
  </si>
  <si>
    <t>Empreinte carbone par spectateur (kgCO2e)</t>
  </si>
  <si>
    <t xml:space="preserve">ANNEXE 7 : Calcul levier </t>
  </si>
  <si>
    <t>(1) Amortissement place parking : https://www.cher.gouv.fr/contenu/telechargement/6213/36841/file/AABilan_carbone-DDT18-1.pdf
(2) Taille place parking : https://www.mairie-questembert.fr/medias/2017/01/Annexe-1-ReglesRelativesAuCalculDesPlacesDeStationnement.pdf
(3) Données ACV de stades, sources anonymes</t>
  </si>
  <si>
    <t xml:space="preserve">D'après Annexe X et l'amortissement sur 50 ans (alignement avec la RE2020). </t>
  </si>
  <si>
    <t>Privilégier la rénovation à la place de la construction</t>
  </si>
  <si>
    <t>Téléspectateur</t>
  </si>
  <si>
    <t>Spectateur visiteur d'un match extra-européen</t>
  </si>
  <si>
    <t>Spectateur visiteur d'un match européen</t>
  </si>
  <si>
    <t>Spectateur visiteur d'un match national</t>
  </si>
  <si>
    <t>EC/spectateur/visiteur en kgCO2e</t>
  </si>
  <si>
    <t xml:space="preserve">Spectateurs  </t>
  </si>
  <si>
    <t>Spectateur local d'un match national</t>
  </si>
  <si>
    <t>Championnats internationaux football (Champion's League, Ligue Europa, etc.)</t>
  </si>
  <si>
    <t>Rugby amateur
Niveau départemental, régional et national</t>
  </si>
  <si>
    <t>Rugby professionnel 
Niveau international et national</t>
  </si>
  <si>
    <t>Pro</t>
  </si>
  <si>
    <t>Consommation d'énergie des bâtiments</t>
  </si>
  <si>
    <t>Amateur</t>
  </si>
  <si>
    <t>DROP</t>
  </si>
  <si>
    <t>BUT 1</t>
  </si>
  <si>
    <t>BUT 2</t>
  </si>
  <si>
    <t>4) Trajectoires de décarbonation des variantes</t>
  </si>
  <si>
    <t>Objectif</t>
  </si>
  <si>
    <t>Boissons : circuits courts et bio, sans contenants à usage unique</t>
  </si>
  <si>
    <t>Alimentation : végétalisation de l'offre, sans contenant à usage unique</t>
  </si>
  <si>
    <t>Objectifs que nous fixons sur les volumes</t>
  </si>
  <si>
    <t>Objectifs que nous fixons sur les type de traitement</t>
  </si>
  <si>
    <t>Dechets ordinaires</t>
  </si>
  <si>
    <t>(LTECV) Valoriser 55 % des déchets non dangereux non inertes, notamment organiques, en 2020 et 65 % en 2025, via notamment la généralisation du tri à la source des biodéchets</t>
  </si>
  <si>
    <t>(AGEC) Réduire de 15 % les quantités de déchets ménagers et assimilés produits par habitant en 2030 par rapport à 2010 (loi anti gaspillage – article 3)</t>
  </si>
  <si>
    <t>Passer à 65% de recyclage et/ou compostage pour tous les déchets en 2035 par rapport à 2021</t>
  </si>
  <si>
    <t>Déchets alimentaires</t>
  </si>
  <si>
    <t>(AGEC) Réduire le gaspillage alimentaire de 50 % d’ici 2025, par rapport à 2015, dans la distribution alimentaire et la restauration collective. (loi anti-gaspillage – article 11) ;</t>
  </si>
  <si>
    <t>Réduire de 50% la quantité de déchets alimentaires produits en 2035 par rapport à 2021</t>
  </si>
  <si>
    <t>Passer à 65% de recyclage et/ou compostage pour les déchets alimentaires en 2035 par rapport à 2021</t>
  </si>
  <si>
    <t>Tendre vers 100 % de plastiques recyclés en 2025 (LTECV)</t>
  </si>
  <si>
    <t>Passer à 100% de plastique recyclés en 2035 par rapport à 2021</t>
  </si>
  <si>
    <t>Réduire de 15% la masse de tous les types de déchets en 2035 par rapport à 2022</t>
  </si>
  <si>
    <t>PRO spectateurs</t>
  </si>
  <si>
    <t>PRO Equipes</t>
  </si>
  <si>
    <t>PRO TOTAL</t>
  </si>
  <si>
    <t>AMAT Entrainement</t>
  </si>
  <si>
    <t xml:space="preserve">AMAT Matchs </t>
  </si>
  <si>
    <t>AMAT TOTAL</t>
  </si>
  <si>
    <t>TOTAL %</t>
  </si>
  <si>
    <t xml:space="preserve">b. Rugby </t>
  </si>
  <si>
    <t>TOTAL SPECTATEURS</t>
  </si>
  <si>
    <t>*Autres : sources mobiles de combustion, merchandising et nuitée des spectateurs extérieurs. Postes n'ayant pas fait l'objet d'une analyse spécifique. On fait donc l'hypothèse d'un suivi des objectifs SNBC permettant une baisse de 80% des émissions de GES</t>
  </si>
  <si>
    <t>Sont comptabilisés uniquement les déplacements pour se rendre au club des joueurs, salariés et staff. Les autres postes (la construction des structures des clubs et leur consommation d'énergie par exemple) sont non-compris.</t>
  </si>
  <si>
    <t>Infrastructures (stade, locaux, parking, etc.)</t>
  </si>
  <si>
    <t>GRAPH</t>
  </si>
  <si>
    <t>Matériels informatiques</t>
  </si>
  <si>
    <t>Autres immobilisations (véhicules, mobilier, etc.)</t>
  </si>
  <si>
    <t>Empreinte moyenne par match en tCO2e</t>
  </si>
  <si>
    <t>Avion (tCO2e)</t>
  </si>
  <si>
    <t>Voiture (tCO2e)</t>
  </si>
  <si>
    <t>Transports en commun (tCO2e)</t>
  </si>
  <si>
    <t>Total (tCO2e)</t>
  </si>
  <si>
    <t>1) Empreinte carbone totale du football ou rugby professionnel en 2022-2023</t>
  </si>
  <si>
    <t>Empreinte carbone par match (tCO2e) en 2022-2023</t>
  </si>
  <si>
    <t>Déchets et autres</t>
  </si>
  <si>
    <t>TEC</t>
  </si>
  <si>
    <t>2) Empreinte carbone des matchs nationaux de football ou rugby professionnel en 2022-2023</t>
  </si>
  <si>
    <t>Peut différer des chiffres officiels. On se base sur notre mode de calcul (par moyenne) pour éviter une erreur dans les calculs.</t>
  </si>
  <si>
    <t>Pas le même calcul que tableau "général", normal que ça ne boucle pas.</t>
  </si>
  <si>
    <t>TOAL MATCHS SAISON</t>
  </si>
  <si>
    <t>Énergie et autres (dont déchets)</t>
  </si>
  <si>
    <t>Déplacement des salariés</t>
  </si>
  <si>
    <t>Déplacement de l'équipe sportive</t>
  </si>
  <si>
    <t>Déplacement des spectateurs</t>
  </si>
  <si>
    <t xml:space="preserve">Déplacement des spectateurs </t>
  </si>
  <si>
    <t>Salariés</t>
  </si>
  <si>
    <t>c. Emissions pour un sportif international</t>
  </si>
  <si>
    <t>tCO2e/saison</t>
  </si>
  <si>
    <t xml:space="preserve">Déplacements visiteur </t>
  </si>
  <si>
    <t>Déplacements domicile-travail</t>
  </si>
  <si>
    <t>Déplacements rencontres européennes</t>
  </si>
  <si>
    <t>Déplacements rencontres extra-européennes</t>
  </si>
  <si>
    <t>Déplacements domicile-club 200 jours par an</t>
  </si>
  <si>
    <t>Ne comprend pas les stages et autres déplacements pro.</t>
  </si>
  <si>
    <t>Déplacements des spectateurs</t>
  </si>
  <si>
    <t>Déplacements des équipes</t>
  </si>
  <si>
    <t>Déplacements des salariés</t>
  </si>
  <si>
    <t>Déplacements (spectateurs, pratiquants, etc.)</t>
  </si>
  <si>
    <t>Football professionnel 
Niveau international et national</t>
  </si>
  <si>
    <t>Football amateur
Niveau départemental, régional et national</t>
  </si>
  <si>
    <t>Construction et entretien infrastructures</t>
  </si>
  <si>
    <t>Articles de sport</t>
  </si>
  <si>
    <t>Football et rugby professionnel 
Niveau international et national</t>
  </si>
  <si>
    <t>Football et rugby amateur
Niveau départemental, régional et national</t>
  </si>
  <si>
    <t>Empreinte par match pro tCO2e</t>
  </si>
  <si>
    <t>Empreinte tCO2e</t>
  </si>
  <si>
    <t>Empreinte carbone totale (en tCO2e)</t>
  </si>
  <si>
    <t>Rapprocher, optimiser, modérer</t>
  </si>
  <si>
    <t>Construction et entretien des infra.</t>
  </si>
  <si>
    <t>Construction et entretien des infras.</t>
  </si>
  <si>
    <t>Consommation d'énergie des infras.</t>
  </si>
  <si>
    <t>PRO Equipes et salariés</t>
  </si>
  <si>
    <t>Mob actives</t>
  </si>
  <si>
    <t>1. Répartion des émissions par parts modales PRO National</t>
  </si>
  <si>
    <t>2. Répartion des émissions par parts modales PRO international</t>
  </si>
  <si>
    <t>3. Répartion des émissions par parts modales PRO équipes et salariés</t>
  </si>
  <si>
    <t>A. Répartion des émissions par parts modales globales PRO + AMAT</t>
  </si>
  <si>
    <t>B. Répartion parts modales PRO + AMAT</t>
  </si>
  <si>
    <t>Rugby PRO</t>
  </si>
  <si>
    <t>Rugby AMAT</t>
  </si>
  <si>
    <t>Part empreinte</t>
  </si>
  <si>
    <t>Football PRO</t>
  </si>
  <si>
    <t>PRO</t>
  </si>
  <si>
    <t>AMAT</t>
  </si>
  <si>
    <t>PARTS MODALES PAR SPORT</t>
  </si>
  <si>
    <t>Football AMAT</t>
  </si>
  <si>
    <t>Chauffage et éclairage</t>
  </si>
  <si>
    <t>Ligue 1 + 2 matchs de CDF en extérieur</t>
  </si>
  <si>
    <t>Fictif</t>
  </si>
  <si>
    <t>1) Variante pessimiste pour la décarbonation de l'aérien et des industries automobiles + sobriété pour les rencontres internationales</t>
  </si>
  <si>
    <t>FICTIF</t>
  </si>
  <si>
    <t>Rapprocher, modérer (compétitions, spectateurs, etc.)</t>
  </si>
  <si>
    <t>A. Taux de couverture de l'étude</t>
  </si>
  <si>
    <t xml:space="preserve">Satisfaisant </t>
  </si>
  <si>
    <t xml:space="preserve">Très satisfaisant </t>
  </si>
  <si>
    <t>Moyennement satisfaisant</t>
  </si>
  <si>
    <t xml:space="preserve">Non-compris </t>
  </si>
  <si>
    <t>Transport du matériel 
et bases de vie</t>
  </si>
  <si>
    <t xml:space="preserve">Pour graphique </t>
  </si>
  <si>
    <t>ANNEXE 8 : Graphiques</t>
  </si>
  <si>
    <t>SPORTIF PRO RUGBY (exemple Antoine Dupont)</t>
  </si>
  <si>
    <t>SPORTIF PRO FOOTBALL (exemple Kylian Mbappé)</t>
  </si>
  <si>
    <t>TOP 14 + 1 Phases finales à domicile</t>
  </si>
  <si>
    <t>Champions Cup : 1 rencontres non-européennes + Equipes de France : 1 (tournée annuelle)</t>
  </si>
  <si>
    <t xml:space="preserve">Champions Cup : 3 rencontres européennes + Equipes de France : 2 (6 nations) </t>
  </si>
  <si>
    <t>Détails des hypothèses</t>
  </si>
  <si>
    <t>Hypothèses (d'après https://www.footmercato.net/joueur/kylian-mbappe/statistique)</t>
  </si>
  <si>
    <t xml:space="preserve">EDF + match exposition </t>
  </si>
  <si>
    <t>Objectif -83%</t>
  </si>
  <si>
    <t>11 rencontres européennes (4 via club CL et 8 EDF)</t>
  </si>
  <si>
    <t>TGV</t>
  </si>
  <si>
    <t>Avion, court courrier</t>
  </si>
  <si>
    <t>Avion affrété, court courrier</t>
  </si>
  <si>
    <t>Facteur d'émissions en kgCO2e.passager.km</t>
  </si>
  <si>
    <t>Empreinte carbone des déplacements</t>
  </si>
  <si>
    <t>Match national</t>
  </si>
  <si>
    <t xml:space="preserve">Match international </t>
  </si>
  <si>
    <t>Répartition nombre de spectateurs</t>
  </si>
  <si>
    <t>Répartition empreinte carbone</t>
  </si>
  <si>
    <t>Mobilités actives</t>
  </si>
  <si>
    <t>Transports en commun 
(dont car et mini-bus)</t>
  </si>
  <si>
    <t>Déplacements des équipes et salariés</t>
  </si>
  <si>
    <t>Pourcentage de baisse du poste</t>
  </si>
  <si>
    <t>Retransmission, déchets et autres</t>
  </si>
  <si>
    <t>Émissions après transformation 2050</t>
  </si>
  <si>
    <t>Rapprocher et modérer</t>
  </si>
  <si>
    <t>Voiture thermique</t>
  </si>
  <si>
    <t xml:space="preserve">Graphique comparaison déplacements match national et international </t>
  </si>
  <si>
    <t>AUTRES FORMATS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</si>
</sst>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_ ;_ * \(#,##0.00\)_ ;_ * &quot;-&quot;??_)_ ;_ @_ "/>
    <numFmt numFmtId="164" formatCode="_ * #,##0_)_ ;_ * \(#,##0\)_ ;_ * &quot;-&quot;??_)_ ;_ @_ "/>
    <numFmt numFmtId="165" formatCode="0.0"/>
    <numFmt numFmtId="166" formatCode="_ * #,##0.0_)_ ;_ * \(#,##0.0\)_ ;_ * &quot;-&quot;??_)_ ;_ @_ "/>
    <numFmt numFmtId="167" formatCode=";;;"/>
    <numFmt numFmtId="168" formatCode="_ * #,##0.00_)\ _€_ ;_ * \(#,##0.00\)\ _€_ ;_ * &quot;-&quot;??_)\ _€_ ;_ @_ "/>
    <numFmt numFmtId="169" formatCode="_ * #,##0.0_)\ _€_ ;_ * \(#,##0.0\)\ _€_ ;_ * &quot;-&quot;??_)\ _€_ ;_ @_ "/>
    <numFmt numFmtId="170" formatCode="_-* #,##0_-;\-* #,##0_-;_-* &quot;-&quot;??_-;_-@_-"/>
    <numFmt numFmtId="171" formatCode="0.000"/>
    <numFmt numFmtId="172" formatCode="0.0000"/>
    <numFmt numFmtId="173" formatCode="0.0%"/>
    <numFmt numFmtId="174" formatCode="_ * #,##0_)\ _€_ ;_ * \(#,##0\)\ _€_ ;_ * &quot;-&quot;??_)\ _€_ ;_ @_ "/>
    <numFmt numFmtId="175" formatCode="_ * #,##0_)\ _€_ ;_ * \(#,##0\)\ _€_ ;_ * &quot;-&quot;???_)\ _€_ ;_ @_ "/>
    <numFmt numFmtId="176" formatCode="_ * #,##0.000_)_ ;_ * \(#,##0.000\)_ ;_ * &quot;-&quot;??_)_ ;_ @_ "/>
    <numFmt numFmtId="177" formatCode="_ * #,##0.000_)\ _€_ ;_ * \(#,##0.000\)\ _€_ ;_ * &quot;-&quot;???_)\ _€_ ;_ @_ "/>
    <numFmt numFmtId="178" formatCode="_-* #,##0.000\ _€_-;\-* #,##0.000\ _€_-;_-* &quot;-&quot;???\ _€_-;_-@_-"/>
    <numFmt numFmtId="179" formatCode="_ * #,##0.00000000000000_)_ ;_ * \(#,##0.00000000000000\)_ ;_ * &quot;-&quot;??_)_ ;_ @_ "/>
    <numFmt numFmtId="180" formatCode="_-* #,##0\ _€_-;\-* #,##0\ _€_-;_-* &quot;-&quot;??\ _€_-;_-@_-"/>
    <numFmt numFmtId="181" formatCode="_ * #,##0_)\ _€_ ;_ * \(#,##0\)\ _€_ ;_ * &quot;-&quot;?_)\ _€_ ;_ @_ "/>
    <numFmt numFmtId="182" formatCode="_ * #,##0.0_)\ _€_ ;_ * \(#,##0.0\)\ _€_ ;_ * &quot;-&quot;???_)\ _€_ ;_ @_ "/>
    <numFmt numFmtId="183" formatCode="_ * #,##0.0000_)\ _€_ ;_ * \(#,##0.0000\)\ _€_ ;_ * &quot;-&quot;??_)\ _€_ ;_ @_ "/>
    <numFmt numFmtId="184" formatCode="_ * #,##0.0_)\ _€_ ;_ * \(#,##0.0\)\ _€_ ;_ * &quot;-&quot;?_)\ _€_ ;_ @_ "/>
    <numFmt numFmtId="185" formatCode="_ * #,##0.00_)\ _€_ ;_ * \(#,##0.00\)\ _€_ ;_ * &quot;-&quot;?_)\ _€_ ;_ @_ "/>
    <numFmt numFmtId="186" formatCode="_ * #,##0.000_)\ _€_ ;_ * \(#,##0.000\)\ _€_ ;_ * &quot;-&quot;??_)\ _€_ ;_ @_ "/>
    <numFmt numFmtId="187" formatCode="_-* #,##0.0\ _€_-;\-* #,##0.0\ _€_-;_-* &quot;-&quot;??\ _€_-;_-@_-"/>
  </numFmts>
  <fonts count="200" x14ac:knownFonts="1">
    <font>
      <sz val="12"/>
      <color theme="1"/>
      <name val="Arial"/>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u/>
      <sz val="12"/>
      <color theme="10"/>
      <name val="Arial"/>
      <family val="2"/>
      <scheme val="minor"/>
    </font>
    <font>
      <sz val="11"/>
      <color theme="1"/>
      <name val="Arial"/>
      <family val="2"/>
      <scheme val="minor"/>
    </font>
    <font>
      <sz val="11"/>
      <name val="Calibri"/>
      <family val="2"/>
    </font>
    <font>
      <sz val="12"/>
      <color theme="1"/>
      <name val="Calibri (Corps)"/>
    </font>
    <font>
      <b/>
      <sz val="12"/>
      <color theme="1"/>
      <name val="Calibri (Corps)"/>
    </font>
    <font>
      <sz val="12"/>
      <color theme="1"/>
      <name val="Calibri"/>
      <family val="2"/>
    </font>
    <font>
      <sz val="12"/>
      <name val="Calibri (Corps)"/>
    </font>
    <font>
      <i/>
      <sz val="12"/>
      <name val="Calibri (Corps)"/>
    </font>
    <font>
      <b/>
      <sz val="12"/>
      <name val="Calibri (Corps)"/>
    </font>
    <font>
      <sz val="12"/>
      <color theme="1"/>
      <name val="Arial"/>
      <family val="2"/>
    </font>
    <font>
      <b/>
      <sz val="14"/>
      <color rgb="FF00005A"/>
      <name val="Arial"/>
      <family val="2"/>
    </font>
    <font>
      <b/>
      <sz val="12"/>
      <color theme="0"/>
      <name val="Arial"/>
      <family val="2"/>
    </font>
    <font>
      <i/>
      <sz val="12"/>
      <color rgb="FF00005A"/>
      <name val="Arial"/>
      <family val="2"/>
    </font>
    <font>
      <b/>
      <sz val="12"/>
      <color rgb="FF00005A"/>
      <name val="Arial"/>
      <family val="2"/>
    </font>
    <font>
      <b/>
      <i/>
      <sz val="12"/>
      <color rgb="FF00005A"/>
      <name val="Arial"/>
      <family val="2"/>
    </font>
    <font>
      <b/>
      <sz val="12"/>
      <color theme="1"/>
      <name val="Arial"/>
      <family val="2"/>
    </font>
    <font>
      <i/>
      <sz val="12"/>
      <color theme="1"/>
      <name val="Arial"/>
      <family val="2"/>
    </font>
    <font>
      <b/>
      <sz val="16"/>
      <color theme="1"/>
      <name val="Arial"/>
      <family val="2"/>
      <scheme val="minor"/>
    </font>
    <font>
      <b/>
      <sz val="12"/>
      <color theme="0"/>
      <name val="Arial"/>
      <family val="2"/>
      <scheme val="minor"/>
    </font>
    <font>
      <b/>
      <sz val="12"/>
      <color theme="1"/>
      <name val="Arial"/>
      <family val="2"/>
      <scheme val="minor"/>
    </font>
    <font>
      <sz val="12"/>
      <name val="Arial"/>
      <family val="2"/>
      <scheme val="minor"/>
    </font>
    <font>
      <b/>
      <i/>
      <sz val="12"/>
      <color theme="1"/>
      <name val="Arial"/>
      <family val="2"/>
      <scheme val="minor"/>
    </font>
    <font>
      <b/>
      <sz val="14"/>
      <color theme="1"/>
      <name val="Arial"/>
      <family val="2"/>
      <scheme val="minor"/>
    </font>
    <font>
      <i/>
      <sz val="12"/>
      <color theme="1"/>
      <name val="Arial"/>
      <family val="2"/>
      <scheme val="minor"/>
    </font>
    <font>
      <b/>
      <sz val="12"/>
      <name val="Arial"/>
      <family val="2"/>
      <scheme val="minor"/>
    </font>
    <font>
      <b/>
      <sz val="12"/>
      <color theme="1"/>
      <name val="Calibri"/>
      <family val="2"/>
    </font>
    <font>
      <b/>
      <sz val="12"/>
      <name val="Arial"/>
      <family val="2"/>
    </font>
    <font>
      <b/>
      <sz val="16"/>
      <color theme="1"/>
      <name val="Arial"/>
      <family val="2"/>
    </font>
    <font>
      <b/>
      <sz val="11"/>
      <color theme="1"/>
      <name val="Arial"/>
      <family val="2"/>
    </font>
    <font>
      <sz val="14"/>
      <color theme="1"/>
      <name val="Arial"/>
      <family val="2"/>
    </font>
    <font>
      <b/>
      <i/>
      <sz val="12"/>
      <color theme="1"/>
      <name val="Arial"/>
      <family val="2"/>
    </font>
    <font>
      <b/>
      <sz val="14"/>
      <color theme="1"/>
      <name val="Arial"/>
      <family val="2"/>
    </font>
    <font>
      <sz val="12"/>
      <name val="Arial"/>
      <family val="2"/>
    </font>
    <font>
      <i/>
      <sz val="11"/>
      <color theme="1"/>
      <name val="Arial"/>
      <family val="2"/>
    </font>
    <font>
      <b/>
      <i/>
      <sz val="12"/>
      <name val="Arial"/>
      <family val="2"/>
    </font>
    <font>
      <b/>
      <sz val="12"/>
      <color indexed="2"/>
      <name val="Arial"/>
      <family val="2"/>
    </font>
    <font>
      <sz val="11"/>
      <name val="Arial"/>
      <family val="2"/>
    </font>
    <font>
      <b/>
      <sz val="18"/>
      <color theme="0"/>
      <name val="Arial"/>
      <family val="2"/>
    </font>
    <font>
      <b/>
      <sz val="11"/>
      <color theme="0"/>
      <name val="Arial"/>
      <family val="2"/>
    </font>
    <font>
      <sz val="11"/>
      <color theme="0"/>
      <name val="Arial"/>
      <family val="2"/>
    </font>
    <font>
      <b/>
      <sz val="20"/>
      <color theme="1"/>
      <name val="Arial"/>
      <family val="2"/>
    </font>
    <font>
      <sz val="11"/>
      <color theme="1"/>
      <name val="Arial"/>
      <family val="2"/>
    </font>
    <font>
      <b/>
      <sz val="14"/>
      <color theme="3"/>
      <name val="Arial"/>
      <family val="2"/>
    </font>
    <font>
      <u/>
      <sz val="12"/>
      <color theme="10"/>
      <name val="Arial"/>
      <family val="2"/>
    </font>
    <font>
      <b/>
      <sz val="18"/>
      <color theme="1"/>
      <name val="Arial"/>
      <family val="2"/>
    </font>
    <font>
      <b/>
      <sz val="11"/>
      <name val="Arial"/>
      <family val="2"/>
    </font>
    <font>
      <b/>
      <sz val="20"/>
      <name val="Arial"/>
      <family val="2"/>
    </font>
    <font>
      <b/>
      <i/>
      <sz val="16"/>
      <name val="Arial"/>
      <family val="2"/>
    </font>
    <font>
      <b/>
      <sz val="11"/>
      <color theme="5" tint="-0.249977111117893"/>
      <name val="Arial"/>
      <family val="2"/>
    </font>
    <font>
      <sz val="12"/>
      <color theme="0"/>
      <name val="Arial"/>
      <family val="2"/>
    </font>
    <font>
      <b/>
      <sz val="16"/>
      <name val="Arial"/>
      <family val="2"/>
      <scheme val="minor"/>
    </font>
    <font>
      <b/>
      <sz val="12"/>
      <color indexed="2"/>
      <name val="Arial"/>
      <family val="2"/>
      <scheme val="minor"/>
    </font>
    <font>
      <sz val="12"/>
      <color theme="1"/>
      <name val="Arial"/>
      <family val="2"/>
      <scheme val="minor"/>
    </font>
    <font>
      <b/>
      <sz val="11"/>
      <color rgb="FF7030A0"/>
      <name val="Arial"/>
      <family val="2"/>
    </font>
    <font>
      <b/>
      <sz val="16"/>
      <color rgb="FFFF8200"/>
      <name val="Arial"/>
      <family val="2"/>
      <scheme val="minor"/>
    </font>
    <font>
      <sz val="11"/>
      <color rgb="FF00B050"/>
      <name val="Arial"/>
      <family val="2"/>
    </font>
    <font>
      <b/>
      <sz val="16"/>
      <color rgb="FFFF8200"/>
      <name val="Arial"/>
      <family val="2"/>
    </font>
    <font>
      <b/>
      <sz val="20"/>
      <color rgb="FFC00000"/>
      <name val="Arial"/>
      <family val="2"/>
    </font>
    <font>
      <b/>
      <sz val="18"/>
      <color rgb="FFC00000"/>
      <name val="Arial"/>
      <family val="2"/>
    </font>
    <font>
      <b/>
      <u/>
      <sz val="14"/>
      <color indexed="2"/>
      <name val="Arial"/>
      <family val="2"/>
    </font>
    <font>
      <b/>
      <u/>
      <sz val="12"/>
      <color indexed="2"/>
      <name val="Arial"/>
      <family val="2"/>
    </font>
    <font>
      <i/>
      <u/>
      <sz val="12"/>
      <color theme="1"/>
      <name val="Arial"/>
      <family val="2"/>
    </font>
    <font>
      <b/>
      <sz val="11"/>
      <color rgb="FF00B050"/>
      <name val="Arial"/>
      <family val="2"/>
    </font>
    <font>
      <b/>
      <sz val="12"/>
      <color indexed="64"/>
      <name val="Arial"/>
      <family val="2"/>
    </font>
    <font>
      <sz val="12"/>
      <color indexed="64"/>
      <name val="Arial"/>
      <family val="2"/>
    </font>
    <font>
      <sz val="18"/>
      <color theme="1"/>
      <name val="Arial"/>
      <family val="2"/>
    </font>
    <font>
      <b/>
      <sz val="12"/>
      <color rgb="FFC00000"/>
      <name val="Arial"/>
      <family val="2"/>
    </font>
    <font>
      <b/>
      <sz val="11"/>
      <color indexed="64"/>
      <name val="Arial"/>
      <family val="2"/>
    </font>
    <font>
      <b/>
      <sz val="12"/>
      <color theme="9"/>
      <name val="Arial"/>
      <family val="2"/>
    </font>
    <font>
      <b/>
      <sz val="18"/>
      <color theme="3"/>
      <name val="Arial"/>
      <family val="2"/>
    </font>
    <font>
      <b/>
      <sz val="14"/>
      <name val="Arial"/>
      <family val="2"/>
    </font>
    <font>
      <b/>
      <sz val="10"/>
      <color theme="1"/>
      <name val="Arial"/>
      <family val="2"/>
    </font>
    <font>
      <i/>
      <sz val="11"/>
      <name val="Arial"/>
      <family val="2"/>
    </font>
    <font>
      <b/>
      <sz val="12"/>
      <color theme="2"/>
      <name val="Arial"/>
      <family val="2"/>
    </font>
    <font>
      <b/>
      <sz val="14"/>
      <color rgb="FF000000"/>
      <name val="Arial"/>
      <family val="2"/>
      <scheme val="minor"/>
    </font>
    <font>
      <sz val="8"/>
      <name val="Arial"/>
      <family val="2"/>
      <scheme val="minor"/>
    </font>
    <font>
      <b/>
      <sz val="11"/>
      <color theme="2"/>
      <name val="Arial"/>
      <family val="2"/>
    </font>
    <font>
      <b/>
      <sz val="12"/>
      <color indexed="65"/>
      <name val="Arial"/>
      <family val="2"/>
    </font>
    <font>
      <b/>
      <sz val="16"/>
      <color theme="0"/>
      <name val="Arial"/>
      <family val="2"/>
    </font>
    <font>
      <b/>
      <sz val="14"/>
      <color theme="0"/>
      <name val="Arial"/>
      <family val="2"/>
    </font>
    <font>
      <b/>
      <i/>
      <sz val="12"/>
      <color indexed="64"/>
      <name val="Arial"/>
      <family val="2"/>
    </font>
    <font>
      <i/>
      <sz val="12"/>
      <color indexed="64"/>
      <name val="Arial"/>
      <family val="2"/>
    </font>
    <font>
      <b/>
      <sz val="14"/>
      <color theme="2"/>
      <name val="Arial"/>
      <family val="2"/>
    </font>
    <font>
      <b/>
      <i/>
      <sz val="14"/>
      <color theme="1"/>
      <name val="Arial"/>
      <family val="2"/>
    </font>
    <font>
      <b/>
      <i/>
      <sz val="14"/>
      <name val="Arial"/>
      <family val="2"/>
    </font>
    <font>
      <b/>
      <i/>
      <sz val="12"/>
      <color theme="2"/>
      <name val="Arial"/>
      <family val="2"/>
    </font>
    <font>
      <b/>
      <sz val="12"/>
      <color theme="5"/>
      <name val="Arial"/>
      <family val="2"/>
    </font>
    <font>
      <b/>
      <sz val="14"/>
      <color theme="5"/>
      <name val="Arial"/>
      <family val="2"/>
    </font>
    <font>
      <b/>
      <sz val="12"/>
      <color theme="4" tint="0.499984740745262"/>
      <name val="Arial"/>
      <family val="2"/>
    </font>
    <font>
      <sz val="12"/>
      <color rgb="FF212121"/>
      <name val="Arial"/>
      <family val="2"/>
    </font>
    <font>
      <b/>
      <sz val="24"/>
      <name val="Arial"/>
      <family val="2"/>
    </font>
    <font>
      <b/>
      <i/>
      <sz val="18"/>
      <name val="Arial"/>
      <family val="2"/>
    </font>
    <font>
      <b/>
      <sz val="12"/>
      <color rgb="FF7030A0"/>
      <name val="Arial"/>
      <family val="2"/>
    </font>
    <font>
      <b/>
      <sz val="16"/>
      <name val="Arial"/>
      <family val="2"/>
    </font>
    <font>
      <i/>
      <sz val="16"/>
      <color theme="1"/>
      <name val="Arial"/>
      <family val="2"/>
    </font>
    <font>
      <b/>
      <sz val="18"/>
      <name val="Arial"/>
      <family val="2"/>
    </font>
    <font>
      <i/>
      <sz val="12"/>
      <name val="Arial"/>
      <family val="2"/>
    </font>
    <font>
      <sz val="12"/>
      <color rgb="FF000000"/>
      <name val="Arial"/>
      <family val="2"/>
      <scheme val="minor"/>
    </font>
    <font>
      <b/>
      <sz val="12"/>
      <color rgb="FF000000"/>
      <name val="Arial"/>
      <family val="2"/>
      <scheme val="minor"/>
    </font>
    <font>
      <b/>
      <i/>
      <sz val="12"/>
      <color rgb="FF000000"/>
      <name val="Arial"/>
      <family val="2"/>
      <scheme val="minor"/>
    </font>
    <font>
      <b/>
      <sz val="22"/>
      <name val="Arial"/>
      <family val="2"/>
    </font>
    <font>
      <b/>
      <sz val="11"/>
      <color theme="1"/>
      <name val="Arial (Corps)"/>
    </font>
    <font>
      <sz val="11"/>
      <color theme="1"/>
      <name val="Arial (Corps)"/>
    </font>
    <font>
      <sz val="11"/>
      <name val="Arial (Corps)"/>
    </font>
    <font>
      <b/>
      <sz val="12"/>
      <color rgb="FFFF8200"/>
      <name val="Arial"/>
      <family val="2"/>
    </font>
    <font>
      <b/>
      <i/>
      <sz val="12"/>
      <color theme="9"/>
      <name val="Arial"/>
      <family val="2"/>
    </font>
    <font>
      <sz val="12"/>
      <color rgb="FF004899"/>
      <name val="Arial"/>
      <family val="2"/>
    </font>
    <font>
      <sz val="12"/>
      <color theme="2"/>
      <name val="Arial"/>
      <family val="2"/>
    </font>
    <font>
      <b/>
      <sz val="12"/>
      <color theme="3"/>
      <name val="Arial"/>
      <family val="2"/>
    </font>
    <font>
      <sz val="12"/>
      <color theme="3"/>
      <name val="Arial"/>
      <family val="2"/>
    </font>
    <font>
      <b/>
      <sz val="11"/>
      <color theme="3"/>
      <name val="Arial"/>
      <family val="2"/>
    </font>
    <font>
      <sz val="11"/>
      <color theme="3"/>
      <name val="Arial"/>
      <family val="2"/>
    </font>
    <font>
      <b/>
      <sz val="22"/>
      <color theme="0"/>
      <name val="Arial"/>
      <family val="2"/>
    </font>
    <font>
      <b/>
      <sz val="20"/>
      <color theme="9"/>
      <name val="Arial"/>
      <family val="2"/>
    </font>
    <font>
      <b/>
      <sz val="18"/>
      <color theme="5"/>
      <name val="Arial"/>
      <family val="2"/>
    </font>
    <font>
      <b/>
      <sz val="12"/>
      <color theme="9"/>
      <name val="Arial"/>
      <family val="2"/>
      <scheme val="minor"/>
    </font>
    <font>
      <sz val="12"/>
      <color rgb="FFFFC000"/>
      <name val="Arial"/>
      <family val="2"/>
    </font>
    <font>
      <b/>
      <sz val="11"/>
      <color theme="4"/>
      <name val="Arial"/>
      <family val="2"/>
    </font>
    <font>
      <b/>
      <sz val="11"/>
      <color indexed="65"/>
      <name val="Arial"/>
      <family val="2"/>
    </font>
    <font>
      <b/>
      <sz val="16"/>
      <color theme="9"/>
      <name val="Arial"/>
      <family val="2"/>
    </font>
    <font>
      <b/>
      <sz val="14"/>
      <color theme="9"/>
      <name val="Arial"/>
      <family val="2"/>
    </font>
    <font>
      <b/>
      <sz val="14"/>
      <color theme="9"/>
      <name val="Arial"/>
      <family val="2"/>
      <scheme val="minor"/>
    </font>
    <font>
      <b/>
      <i/>
      <sz val="11"/>
      <color theme="1"/>
      <name val="Arial"/>
      <family val="2"/>
    </font>
    <font>
      <b/>
      <sz val="12"/>
      <color theme="3"/>
      <name val="Arial"/>
      <family val="2"/>
      <scheme val="minor"/>
    </font>
    <font>
      <b/>
      <sz val="12"/>
      <color theme="4"/>
      <name val="Arial"/>
      <family val="2"/>
    </font>
    <font>
      <b/>
      <sz val="20"/>
      <color theme="2"/>
      <name val="Arial"/>
      <family val="2"/>
    </font>
    <font>
      <b/>
      <sz val="18"/>
      <color rgb="FF00005A"/>
      <name val="Arial"/>
      <family val="2"/>
    </font>
    <font>
      <i/>
      <sz val="11"/>
      <color theme="1"/>
      <name val="Arial (Corps)"/>
    </font>
    <font>
      <i/>
      <sz val="11"/>
      <name val="Arial (Corps)"/>
    </font>
    <font>
      <b/>
      <i/>
      <sz val="10"/>
      <color theme="1"/>
      <name val="Arial"/>
      <family val="2"/>
    </font>
    <font>
      <b/>
      <sz val="16"/>
      <color theme="9"/>
      <name val="Arial"/>
      <family val="2"/>
      <scheme val="minor"/>
    </font>
    <font>
      <b/>
      <sz val="16"/>
      <color rgb="FF00005A"/>
      <name val="Arial"/>
      <family val="2"/>
    </font>
    <font>
      <vertAlign val="subscript"/>
      <sz val="11"/>
      <name val="Arial"/>
      <family val="2"/>
    </font>
    <font>
      <sz val="14"/>
      <color theme="1"/>
      <name val="Arial (Corps)"/>
    </font>
    <font>
      <b/>
      <sz val="14"/>
      <color theme="0"/>
      <name val="Arial (Corps)"/>
    </font>
    <font>
      <b/>
      <i/>
      <sz val="14"/>
      <color theme="0"/>
      <name val="Arial (Corps)"/>
    </font>
    <font>
      <sz val="14"/>
      <color rgb="FF00005A"/>
      <name val="Arial (Corps)"/>
    </font>
    <font>
      <b/>
      <sz val="14"/>
      <color rgb="FF00005A"/>
      <name val="Arial (Corps)"/>
    </font>
    <font>
      <b/>
      <i/>
      <sz val="14"/>
      <color theme="1"/>
      <name val="Arial (Corps)"/>
    </font>
    <font>
      <b/>
      <sz val="14"/>
      <color theme="1"/>
      <name val="Arial (Corps)"/>
    </font>
    <font>
      <b/>
      <i/>
      <sz val="14"/>
      <color theme="0"/>
      <name val="Arial"/>
      <family val="2"/>
    </font>
    <font>
      <sz val="14"/>
      <color rgb="FF00005A"/>
      <name val="Arial"/>
      <family val="2"/>
    </font>
    <font>
      <i/>
      <sz val="14"/>
      <color rgb="FF00005A"/>
      <name val="Arial"/>
      <family val="2"/>
    </font>
    <font>
      <b/>
      <i/>
      <sz val="14"/>
      <color rgb="FF00005A"/>
      <name val="Arial"/>
      <family val="2"/>
    </font>
    <font>
      <i/>
      <sz val="14"/>
      <color theme="4"/>
      <name val="Arial"/>
      <family val="2"/>
    </font>
    <font>
      <sz val="12"/>
      <color rgb="FF000000"/>
      <name val="Calibri"/>
      <family val="2"/>
    </font>
    <font>
      <b/>
      <sz val="12"/>
      <color rgb="FF000000"/>
      <name val="Calibri"/>
      <family val="2"/>
    </font>
    <font>
      <b/>
      <sz val="12"/>
      <color theme="5" tint="-0.249977111117893"/>
      <name val="Arial"/>
      <family val="2"/>
    </font>
    <font>
      <sz val="12"/>
      <color theme="9"/>
      <name val="Arial"/>
      <family val="2"/>
    </font>
    <font>
      <b/>
      <sz val="14"/>
      <color theme="9"/>
      <name val="Arial (Corps)"/>
    </font>
    <font>
      <b/>
      <sz val="22"/>
      <color theme="2"/>
      <name val="Arial"/>
      <family val="2"/>
    </font>
    <font>
      <b/>
      <sz val="24"/>
      <color theme="0"/>
      <name val="Arial"/>
      <family val="2"/>
    </font>
    <font>
      <sz val="22"/>
      <color theme="1"/>
      <name val="Arial"/>
      <family val="2"/>
    </font>
    <font>
      <b/>
      <i/>
      <sz val="12"/>
      <color rgb="FF7030A0"/>
      <name val="Arial"/>
      <family val="2"/>
    </font>
    <font>
      <sz val="14"/>
      <color theme="3"/>
      <name val="Arial"/>
      <family val="2"/>
      <scheme val="minor"/>
    </font>
    <font>
      <i/>
      <sz val="14"/>
      <color theme="3"/>
      <name val="Arial"/>
      <family val="2"/>
      <scheme val="minor"/>
    </font>
    <font>
      <b/>
      <sz val="14"/>
      <color theme="3"/>
      <name val="Arial"/>
      <family val="2"/>
      <scheme val="minor"/>
    </font>
    <font>
      <b/>
      <i/>
      <sz val="14"/>
      <color theme="3"/>
      <name val="Arial"/>
      <family val="2"/>
      <scheme val="minor"/>
    </font>
    <font>
      <b/>
      <sz val="16"/>
      <color indexed="2"/>
      <name val="Arial"/>
      <family val="2"/>
    </font>
    <font>
      <b/>
      <sz val="14"/>
      <color rgb="FF000000"/>
      <name val="Arial"/>
      <family val="2"/>
    </font>
    <font>
      <b/>
      <u/>
      <sz val="12"/>
      <name val="Arial"/>
      <family val="2"/>
    </font>
    <font>
      <i/>
      <sz val="10"/>
      <color theme="1"/>
      <name val="Arial"/>
      <family val="2"/>
    </font>
    <font>
      <b/>
      <i/>
      <sz val="14"/>
      <color theme="1"/>
      <name val="Arial"/>
      <family val="2"/>
      <scheme val="minor"/>
    </font>
    <font>
      <b/>
      <sz val="20"/>
      <color theme="3"/>
      <name val="Arial"/>
      <family val="2"/>
    </font>
    <font>
      <b/>
      <sz val="24"/>
      <color theme="2"/>
      <name val="Arial"/>
      <family val="2"/>
    </font>
    <font>
      <b/>
      <i/>
      <sz val="18"/>
      <color theme="9"/>
      <name val="Arial"/>
      <family val="2"/>
    </font>
    <font>
      <b/>
      <i/>
      <sz val="14"/>
      <color theme="4"/>
      <name val="Arial"/>
      <family val="2"/>
    </font>
    <font>
      <sz val="14"/>
      <color theme="1"/>
      <name val="Arial"/>
      <family val="2"/>
      <scheme val="minor"/>
    </font>
    <font>
      <sz val="12"/>
      <color rgb="FF000000"/>
      <name val="Arial"/>
      <family val="2"/>
    </font>
    <font>
      <sz val="20"/>
      <color rgb="FF202124"/>
      <name val="Arial"/>
      <family val="2"/>
    </font>
    <font>
      <sz val="11"/>
      <color rgb="FF00005A"/>
      <name val="Arial"/>
      <family val="2"/>
      <scheme val="minor"/>
    </font>
    <font>
      <sz val="11"/>
      <color rgb="FF000000"/>
      <name val="Arial"/>
      <family val="2"/>
      <scheme val="minor"/>
    </font>
    <font>
      <b/>
      <sz val="12"/>
      <color rgb="FF00005A"/>
      <name val="Arial"/>
      <family val="2"/>
      <scheme val="minor"/>
    </font>
    <font>
      <sz val="12"/>
      <color rgb="FF00005A"/>
      <name val="Arial"/>
      <family val="2"/>
      <scheme val="minor"/>
    </font>
    <font>
      <b/>
      <i/>
      <sz val="16"/>
      <color theme="1"/>
      <name val="Arial"/>
      <family val="2"/>
      <scheme val="minor"/>
    </font>
    <font>
      <sz val="16"/>
      <color theme="1"/>
      <name val="Arial"/>
      <family val="2"/>
      <scheme val="minor"/>
    </font>
    <font>
      <i/>
      <sz val="16"/>
      <color theme="1"/>
      <name val="Arial"/>
      <family val="2"/>
      <scheme val="minor"/>
    </font>
    <font>
      <i/>
      <sz val="14"/>
      <color theme="3"/>
      <name val="Arial"/>
      <family val="2"/>
    </font>
    <font>
      <i/>
      <sz val="14"/>
      <color theme="1"/>
      <name val="Arial"/>
      <family val="2"/>
      <scheme val="minor"/>
    </font>
  </fonts>
  <fills count="90">
    <fill>
      <patternFill patternType="none"/>
    </fill>
    <fill>
      <patternFill patternType="gray125"/>
    </fill>
    <fill>
      <patternFill patternType="solid">
        <fgColor theme="0"/>
        <bgColor theme="0"/>
      </patternFill>
    </fill>
    <fill>
      <patternFill patternType="solid">
        <fgColor rgb="FF00005A"/>
        <bgColor rgb="FF00005A"/>
      </patternFill>
    </fill>
    <fill>
      <patternFill patternType="solid">
        <fgColor theme="5" tint="0.79998168889431442"/>
        <bgColor theme="5" tint="0.79998168889431442"/>
      </patternFill>
    </fill>
    <fill>
      <patternFill patternType="solid">
        <fgColor theme="4" tint="0.39997558519241921"/>
        <bgColor theme="4" tint="0.39997558519241921"/>
      </patternFill>
    </fill>
    <fill>
      <patternFill patternType="solid">
        <fgColor theme="4" tint="0.59999389629810485"/>
        <bgColor theme="4" tint="0.59999389629810485"/>
      </patternFill>
    </fill>
    <fill>
      <patternFill patternType="solid">
        <fgColor theme="9" tint="0.59999389629810485"/>
        <bgColor theme="9" tint="0.59999389629810485"/>
      </patternFill>
    </fill>
    <fill>
      <patternFill patternType="solid">
        <fgColor rgb="FF92D050"/>
        <bgColor rgb="FF92D050"/>
      </patternFill>
    </fill>
    <fill>
      <patternFill patternType="solid">
        <fgColor theme="7" tint="0.39997558519241921"/>
        <bgColor theme="7" tint="0.39997558519241921"/>
      </patternFill>
    </fill>
    <fill>
      <patternFill patternType="solid">
        <fgColor theme="0" tint="-4.9989318521683403E-2"/>
        <bgColor theme="0" tint="-4.9989318521683403E-2"/>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0" tint="-0.14999847407452621"/>
        <bgColor theme="0" tint="-0.14999847407452621"/>
      </patternFill>
    </fill>
    <fill>
      <patternFill patternType="solid">
        <fgColor theme="5"/>
        <bgColor theme="5"/>
      </patternFill>
    </fill>
    <fill>
      <patternFill patternType="solid">
        <fgColor rgb="FFBFBFBF"/>
        <bgColor rgb="FFBFBFBF"/>
      </patternFill>
    </fill>
    <fill>
      <patternFill patternType="solid">
        <fgColor rgb="FFFF8200"/>
        <bgColor rgb="FFFF8200"/>
      </patternFill>
    </fill>
    <fill>
      <patternFill patternType="solid">
        <fgColor rgb="FF002060"/>
        <bgColor rgb="FF002060"/>
      </patternFill>
    </fill>
    <fill>
      <patternFill patternType="solid">
        <fgColor theme="9" tint="0.79998168889431442"/>
        <bgColor theme="9" tint="0.79998168889431442"/>
      </patternFill>
    </fill>
    <fill>
      <patternFill patternType="solid">
        <fgColor theme="5" tint="0.59999389629810485"/>
        <bgColor theme="3" tint="0.39997558519241921"/>
      </patternFill>
    </fill>
    <fill>
      <patternFill patternType="solid">
        <fgColor theme="5"/>
        <bgColor theme="3" tint="0.39997558519241921"/>
      </patternFill>
    </fill>
    <fill>
      <patternFill patternType="solid">
        <fgColor rgb="FF82C8FA"/>
        <bgColor rgb="FF00005A"/>
      </patternFill>
    </fill>
    <fill>
      <patternFill patternType="solid">
        <fgColor rgb="FF002060"/>
        <bgColor theme="0" tint="-0.14999847407452621"/>
      </patternFill>
    </fill>
    <fill>
      <patternFill patternType="solid">
        <fgColor rgb="FF002060"/>
        <bgColor rgb="FF92D050"/>
      </patternFill>
    </fill>
    <fill>
      <patternFill patternType="solid">
        <fgColor theme="0"/>
        <bgColor theme="7" tint="0.79998168889431442"/>
      </patternFill>
    </fill>
    <fill>
      <patternFill patternType="solid">
        <fgColor theme="1"/>
        <bgColor theme="1"/>
      </patternFill>
    </fill>
    <fill>
      <patternFill patternType="solid">
        <fgColor rgb="FF92D050"/>
        <bgColor theme="9"/>
      </patternFill>
    </fill>
    <fill>
      <patternFill patternType="solid">
        <fgColor rgb="FFE7E6E6"/>
        <bgColor rgb="FFE7E6E6"/>
      </patternFill>
    </fill>
    <fill>
      <patternFill patternType="solid">
        <fgColor indexed="23"/>
        <bgColor indexed="23"/>
      </patternFill>
    </fill>
    <fill>
      <patternFill patternType="solid">
        <fgColor rgb="FFFFC000"/>
        <bgColor rgb="FFFFC000"/>
      </patternFill>
    </fill>
    <fill>
      <patternFill patternType="solid">
        <fgColor rgb="FF00B050"/>
        <bgColor rgb="FF00B050"/>
      </patternFill>
    </fill>
    <fill>
      <patternFill patternType="solid">
        <fgColor rgb="FFFCE4D6"/>
        <bgColor rgb="FFFCE4D6"/>
      </patternFill>
    </fill>
    <fill>
      <patternFill patternType="solid">
        <fgColor theme="6" tint="0.59999389629810485"/>
        <bgColor theme="6" tint="0.59999389629810485"/>
      </patternFill>
    </fill>
    <fill>
      <patternFill patternType="solid">
        <fgColor theme="2"/>
        <bgColor theme="2"/>
      </patternFill>
    </fill>
    <fill>
      <patternFill patternType="solid">
        <fgColor theme="0"/>
        <bgColor theme="3" tint="0.39997558519241921"/>
      </patternFill>
    </fill>
    <fill>
      <patternFill patternType="solid">
        <fgColor theme="8" tint="0.79998168889431442"/>
        <bgColor theme="8" tint="0.79998168889431442"/>
      </patternFill>
    </fill>
    <fill>
      <patternFill patternType="solid">
        <fgColor rgb="FF00005A"/>
        <bgColor theme="0" tint="-0.14999847407452621"/>
      </patternFill>
    </fill>
    <fill>
      <patternFill patternType="solid">
        <fgColor theme="9"/>
        <bgColor rgb="FF00005A"/>
      </patternFill>
    </fill>
    <fill>
      <patternFill patternType="solid">
        <fgColor theme="3"/>
        <bgColor indexed="64"/>
      </patternFill>
    </fill>
    <fill>
      <patternFill patternType="solid">
        <fgColor rgb="FFFFFF00"/>
        <bgColor indexed="64"/>
      </patternFill>
    </fill>
    <fill>
      <patternFill patternType="solid">
        <fgColor theme="5"/>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6" tint="0.79998168889431442"/>
      </patternFill>
    </fill>
    <fill>
      <patternFill patternType="solid">
        <fgColor theme="7" tint="0.79998168889431442"/>
        <bgColor indexed="64"/>
      </patternFill>
    </fill>
    <fill>
      <patternFill patternType="solid">
        <fgColor theme="7"/>
        <bgColor rgb="FF00005A"/>
      </patternFill>
    </fill>
    <fill>
      <patternFill patternType="solid">
        <fgColor theme="4" tint="0.89999084444715716"/>
        <bgColor indexed="64"/>
      </patternFill>
    </fill>
    <fill>
      <patternFill patternType="solid">
        <fgColor theme="7" tint="0.79998168889431442"/>
        <bgColor rgb="FF00005A"/>
      </patternFill>
    </fill>
    <fill>
      <patternFill patternType="solid">
        <fgColor theme="4"/>
        <bgColor indexed="64"/>
      </patternFill>
    </fill>
    <fill>
      <patternFill patternType="solid">
        <fgColor theme="5"/>
        <bgColor theme="9" tint="0.79998168889431442"/>
      </patternFill>
    </fill>
    <fill>
      <patternFill patternType="solid">
        <fgColor theme="4"/>
        <bgColor rgb="FF002060"/>
      </patternFill>
    </fill>
    <fill>
      <patternFill patternType="solid">
        <fgColor theme="4"/>
        <bgColor theme="5" tint="0.39997558519241921"/>
      </patternFill>
    </fill>
    <fill>
      <patternFill patternType="solid">
        <fgColor theme="8" tint="0.39997558519241921"/>
        <bgColor theme="9" tint="0.79998168889431442"/>
      </patternFill>
    </fill>
    <fill>
      <patternFill patternType="solid">
        <fgColor theme="8" tint="0.39997558519241921"/>
        <bgColor theme="7" tint="0.79998168889431442"/>
      </patternFill>
    </fill>
    <fill>
      <patternFill patternType="solid">
        <fgColor theme="7" tint="0.39997558519241921"/>
        <bgColor theme="9" tint="0.79998168889431442"/>
      </patternFill>
    </fill>
    <fill>
      <patternFill patternType="solid">
        <fgColor theme="7" tint="0.39997558519241921"/>
        <bgColor theme="7" tint="0.59999389629810485"/>
      </patternFill>
    </fill>
    <fill>
      <patternFill patternType="solid">
        <fgColor theme="3"/>
        <bgColor theme="0" tint="-0.14999847407452621"/>
      </patternFill>
    </fill>
    <fill>
      <patternFill patternType="solid">
        <fgColor theme="3"/>
        <bgColor rgb="FF92D050"/>
      </patternFill>
    </fill>
    <fill>
      <patternFill patternType="solid">
        <fgColor theme="3"/>
        <bgColor theme="0"/>
      </patternFill>
    </fill>
    <fill>
      <patternFill patternType="solid">
        <fgColor theme="4"/>
        <bgColor rgb="FF92D050"/>
      </patternFill>
    </fill>
    <fill>
      <patternFill patternType="solid">
        <fgColor theme="4"/>
        <bgColor theme="0"/>
      </patternFill>
    </fill>
    <fill>
      <patternFill patternType="solid">
        <fgColor theme="5" tint="0.59999389629810485"/>
        <bgColor indexed="64"/>
      </patternFill>
    </fill>
    <fill>
      <patternFill patternType="solid">
        <fgColor theme="5" tint="0.59999389629810485"/>
        <bgColor theme="0" tint="-0.14999847407452621"/>
      </patternFill>
    </fill>
    <fill>
      <patternFill patternType="solid">
        <fgColor theme="5"/>
        <bgColor rgb="FF00005A"/>
      </patternFill>
    </fill>
    <fill>
      <patternFill patternType="solid">
        <fgColor theme="9" tint="0.79998168889431442"/>
        <bgColor rgb="FF00005A"/>
      </patternFill>
    </fill>
    <fill>
      <patternFill patternType="solid">
        <fgColor theme="7" tint="0.59999389629810485"/>
        <bgColor rgb="FF00005A"/>
      </patternFill>
    </fill>
    <fill>
      <patternFill patternType="solid">
        <fgColor theme="5" tint="0.79998168889431442"/>
        <bgColor indexed="64"/>
      </patternFill>
    </fill>
    <fill>
      <patternFill patternType="solid">
        <fgColor theme="6" tint="0.79998168889431442"/>
        <bgColor theme="5" tint="0.39997558519241921"/>
      </patternFill>
    </fill>
    <fill>
      <patternFill patternType="solid">
        <fgColor theme="6"/>
        <bgColor indexed="64"/>
      </patternFill>
    </fill>
    <fill>
      <patternFill patternType="solid">
        <fgColor theme="7" tint="0.39997558519241921"/>
        <bgColor indexed="64"/>
      </patternFill>
    </fill>
    <fill>
      <patternFill patternType="solid">
        <fgColor theme="6"/>
        <bgColor theme="3" tint="0.39997558519241921"/>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79998168889431442"/>
        <bgColor theme="0" tint="-0.14999847407452621"/>
      </patternFill>
    </fill>
    <fill>
      <patternFill patternType="solid">
        <fgColor theme="6" tint="0.79998168889431442"/>
        <bgColor rgb="FF92D050"/>
      </patternFill>
    </fill>
    <fill>
      <patternFill patternType="solid">
        <fgColor theme="6" tint="0.79998168889431442"/>
        <bgColor theme="3" tint="0.39997558519241921"/>
      </patternFill>
    </fill>
    <fill>
      <patternFill patternType="solid">
        <fgColor theme="5" tint="0.59999389629810485"/>
        <bgColor theme="5" tint="0.79998168889431442"/>
      </patternFill>
    </fill>
    <fill>
      <patternFill patternType="solid">
        <fgColor theme="4"/>
        <bgColor theme="0" tint="-0.14999847407452621"/>
      </patternFill>
    </fill>
    <fill>
      <patternFill patternType="solid">
        <fgColor theme="7" tint="0.59999389629810485"/>
        <bgColor theme="7" tint="0.79998168889431442"/>
      </patternFill>
    </fill>
    <fill>
      <patternFill patternType="solid">
        <fgColor theme="6" tint="0.79998168889431442"/>
        <bgColor theme="0"/>
      </patternFill>
    </fill>
    <fill>
      <patternFill patternType="solid">
        <fgColor theme="3"/>
        <bgColor theme="4" tint="0.79998168889431442"/>
      </patternFill>
    </fill>
    <fill>
      <patternFill patternType="solid">
        <fgColor rgb="FF92D050"/>
        <bgColor rgb="FFFFC000"/>
      </patternFill>
    </fill>
    <fill>
      <patternFill patternType="solid">
        <fgColor theme="5" tint="0.39997558519241921"/>
        <bgColor indexed="64"/>
      </patternFill>
    </fill>
    <fill>
      <patternFill patternType="solid">
        <fgColor theme="5" tint="0.39997558519241921"/>
        <bgColor theme="3" tint="0.39997558519241921"/>
      </patternFill>
    </fill>
    <fill>
      <patternFill patternType="solid">
        <fgColor theme="6" tint="0.59999389629810485"/>
        <bgColor indexed="64"/>
      </patternFill>
    </fill>
    <fill>
      <patternFill patternType="solid">
        <fgColor theme="6"/>
        <bgColor rgb="FF002060"/>
      </patternFill>
    </fill>
    <fill>
      <patternFill patternType="solid">
        <fgColor theme="6"/>
        <bgColor theme="5" tint="0.39997558519241921"/>
      </patternFill>
    </fill>
    <fill>
      <patternFill patternType="solid">
        <fgColor rgb="FF00B050"/>
        <bgColor indexed="64"/>
      </patternFill>
    </fill>
    <fill>
      <patternFill patternType="solid">
        <fgColor rgb="FF92D050"/>
        <bgColor indexed="64"/>
      </patternFill>
    </fill>
    <fill>
      <patternFill patternType="solid">
        <fgColor rgb="FFDFDB3C"/>
        <bgColor indexed="64"/>
      </patternFill>
    </fill>
  </fills>
  <borders count="220">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0"/>
      </left>
      <right style="thin">
        <color theme="0"/>
      </right>
      <top style="medium">
        <color auto="1"/>
      </top>
      <bottom style="medium">
        <color auto="1"/>
      </bottom>
      <diagonal/>
    </border>
    <border>
      <left style="thin">
        <color theme="0"/>
      </left>
      <right/>
      <top style="medium">
        <color auto="1"/>
      </top>
      <bottom style="medium">
        <color auto="1"/>
      </bottom>
      <diagonal/>
    </border>
    <border>
      <left style="thin">
        <color theme="0"/>
      </left>
      <right style="medium">
        <color auto="1"/>
      </right>
      <top style="medium">
        <color auto="1"/>
      </top>
      <bottom style="medium">
        <color auto="1"/>
      </bottom>
      <diagonal/>
    </border>
    <border>
      <left style="medium">
        <color theme="1"/>
      </left>
      <right style="thin">
        <color auto="1"/>
      </right>
      <top style="medium">
        <color theme="1"/>
      </top>
      <bottom style="thin">
        <color auto="1"/>
      </bottom>
      <diagonal/>
    </border>
    <border>
      <left style="medium">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style="medium">
        <color theme="1"/>
      </left>
      <right style="thin">
        <color auto="1"/>
      </right>
      <top style="thin">
        <color auto="1"/>
      </top>
      <bottom style="thin">
        <color auto="1"/>
      </bottom>
      <diagonal/>
    </border>
    <border>
      <left/>
      <right style="medium">
        <color theme="1"/>
      </right>
      <top style="thin">
        <color auto="1"/>
      </top>
      <bottom style="thin">
        <color auto="1"/>
      </bottom>
      <diagonal/>
    </border>
    <border>
      <left style="medium">
        <color theme="1"/>
      </left>
      <right style="thin">
        <color auto="1"/>
      </right>
      <top style="thin">
        <color auto="1"/>
      </top>
      <bottom style="medium">
        <color theme="1"/>
      </bottom>
      <diagonal/>
    </border>
    <border>
      <left style="medium">
        <color auto="1"/>
      </left>
      <right/>
      <top style="thin">
        <color auto="1"/>
      </top>
      <bottom style="medium">
        <color theme="1"/>
      </bottom>
      <diagonal/>
    </border>
    <border>
      <left/>
      <right/>
      <top style="thin">
        <color auto="1"/>
      </top>
      <bottom style="medium">
        <color theme="1"/>
      </bottom>
      <diagonal/>
    </border>
    <border>
      <left/>
      <right style="medium">
        <color theme="1"/>
      </right>
      <top style="thin">
        <color auto="1"/>
      </top>
      <bottom style="medium">
        <color theme="1"/>
      </bottom>
      <diagonal/>
    </border>
    <border>
      <left style="medium">
        <color theme="1"/>
      </left>
      <right style="thin">
        <color auto="1"/>
      </right>
      <top style="medium">
        <color theme="1"/>
      </top>
      <bottom/>
      <diagonal/>
    </border>
    <border>
      <left style="thin">
        <color auto="1"/>
      </left>
      <right style="thin">
        <color auto="1"/>
      </right>
      <top style="medium">
        <color theme="1"/>
      </top>
      <bottom/>
      <diagonal/>
    </border>
    <border>
      <left style="thin">
        <color auto="1"/>
      </left>
      <right style="medium">
        <color theme="1"/>
      </right>
      <top style="medium">
        <color theme="1"/>
      </top>
      <bottom/>
      <diagonal/>
    </border>
    <border>
      <left style="thin">
        <color auto="1"/>
      </left>
      <right style="thin">
        <color auto="1"/>
      </right>
      <top style="medium">
        <color theme="1"/>
      </top>
      <bottom style="thin">
        <color auto="1"/>
      </bottom>
      <diagonal/>
    </border>
    <border>
      <left style="thin">
        <color auto="1"/>
      </left>
      <right style="medium">
        <color theme="1"/>
      </right>
      <top style="medium">
        <color theme="1"/>
      </top>
      <bottom style="thin">
        <color auto="1"/>
      </bottom>
      <diagonal/>
    </border>
    <border>
      <left style="thin">
        <color auto="1"/>
      </left>
      <right style="medium">
        <color theme="1"/>
      </right>
      <top style="thin">
        <color auto="1"/>
      </top>
      <bottom style="thin">
        <color auto="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medium">
        <color theme="1"/>
      </left>
      <right/>
      <top style="medium">
        <color theme="1"/>
      </top>
      <bottom style="thin">
        <color auto="1"/>
      </bottom>
      <diagonal/>
    </border>
    <border>
      <left style="medium">
        <color theme="1"/>
      </left>
      <right/>
      <top style="thin">
        <color auto="1"/>
      </top>
      <bottom style="thin">
        <color auto="1"/>
      </bottom>
      <diagonal/>
    </border>
    <border>
      <left style="medium">
        <color theme="1"/>
      </left>
      <right/>
      <top style="thin">
        <color auto="1"/>
      </top>
      <bottom style="medium">
        <color theme="1"/>
      </bottom>
      <diagonal/>
    </border>
    <border>
      <left style="medium">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medium">
        <color theme="1"/>
      </right>
      <top/>
      <bottom style="thin">
        <color theme="1"/>
      </bottom>
      <diagonal/>
    </border>
    <border>
      <left style="medium">
        <color theme="1"/>
      </left>
      <right style="medium">
        <color theme="1"/>
      </right>
      <top style="medium">
        <color theme="1"/>
      </top>
      <bottom style="medium">
        <color theme="1"/>
      </bottom>
      <diagonal/>
    </border>
    <border>
      <left/>
      <right style="medium">
        <color theme="1"/>
      </right>
      <top/>
      <bottom style="medium">
        <color theme="1"/>
      </bottom>
      <diagonal/>
    </border>
    <border>
      <left style="medium">
        <color auto="1"/>
      </left>
      <right style="medium">
        <color theme="1"/>
      </right>
      <top style="medium">
        <color auto="1"/>
      </top>
      <bottom/>
      <diagonal/>
    </border>
    <border>
      <left style="medium">
        <color theme="1"/>
      </left>
      <right/>
      <top style="medium">
        <color auto="1"/>
      </top>
      <bottom/>
      <diagonal/>
    </border>
    <border>
      <left/>
      <right style="medium">
        <color theme="1"/>
      </right>
      <top style="medium">
        <color auto="1"/>
      </top>
      <bottom/>
      <diagonal/>
    </border>
    <border>
      <left/>
      <right style="medium">
        <color theme="1"/>
      </right>
      <top style="medium">
        <color theme="1"/>
      </top>
      <bottom style="medium">
        <color theme="1"/>
      </bottom>
      <diagonal/>
    </border>
    <border>
      <left style="medium">
        <color auto="1"/>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medium">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right style="thin">
        <color auto="1"/>
      </right>
      <top style="medium">
        <color auto="1"/>
      </top>
      <bottom style="thin">
        <color auto="1"/>
      </bottom>
      <diagonal/>
    </border>
    <border>
      <left/>
      <right style="medium">
        <color auto="1"/>
      </right>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right style="thick">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medium">
        <color auto="1"/>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right style="thin">
        <color auto="1"/>
      </right>
      <top style="medium">
        <color indexed="64"/>
      </top>
      <bottom style="medium">
        <color indexed="64"/>
      </bottom>
      <diagonal/>
    </border>
    <border>
      <left/>
      <right style="thin">
        <color auto="1"/>
      </right>
      <top style="medium">
        <color indexed="64"/>
      </top>
      <bottom/>
      <diagonal/>
    </border>
    <border>
      <left style="medium">
        <color theme="1"/>
      </left>
      <right style="medium">
        <color auto="1"/>
      </right>
      <top style="medium">
        <color theme="1"/>
      </top>
      <bottom style="medium">
        <color theme="1"/>
      </bottom>
      <diagonal/>
    </border>
    <border>
      <left/>
      <right style="thin">
        <color auto="1"/>
      </right>
      <top style="medium">
        <color theme="1"/>
      </top>
      <bottom style="medium">
        <color theme="1"/>
      </bottom>
      <diagonal/>
    </border>
    <border>
      <left style="thin">
        <color auto="1"/>
      </left>
      <right style="thin">
        <color auto="1"/>
      </right>
      <top style="medium">
        <color theme="1"/>
      </top>
      <bottom style="medium">
        <color theme="1"/>
      </bottom>
      <diagonal/>
    </border>
    <border>
      <left style="thin">
        <color auto="1"/>
      </left>
      <right/>
      <top style="medium">
        <color theme="1"/>
      </top>
      <bottom style="medium">
        <color theme="1"/>
      </bottom>
      <diagonal/>
    </border>
    <border>
      <left style="medium">
        <color auto="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style="medium">
        <color auto="1"/>
      </left>
      <right/>
      <top style="medium">
        <color theme="1"/>
      </top>
      <bottom style="medium">
        <color auto="1"/>
      </bottom>
      <diagonal/>
    </border>
    <border>
      <left/>
      <right/>
      <top style="medium">
        <color theme="1"/>
      </top>
      <bottom style="medium">
        <color auto="1"/>
      </bottom>
      <diagonal/>
    </border>
    <border>
      <left style="medium">
        <color theme="1"/>
      </left>
      <right/>
      <top style="medium">
        <color theme="1"/>
      </top>
      <bottom/>
      <diagonal/>
    </border>
    <border>
      <left style="medium">
        <color theme="1"/>
      </left>
      <right/>
      <top style="thin">
        <color theme="1"/>
      </top>
      <bottom style="thin">
        <color theme="1"/>
      </bottom>
      <diagonal/>
    </border>
    <border>
      <left style="medium">
        <color theme="1"/>
      </left>
      <right/>
      <top style="thin">
        <color theme="1"/>
      </top>
      <bottom/>
      <diagonal/>
    </border>
    <border>
      <left style="medium">
        <color theme="1"/>
      </left>
      <right style="medium">
        <color theme="1"/>
      </right>
      <top style="medium">
        <color theme="1"/>
      </top>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theme="1"/>
      </left>
      <right/>
      <top/>
      <bottom style="thin">
        <color theme="1"/>
      </bottom>
      <diagonal/>
    </border>
    <border>
      <left style="medium">
        <color theme="1"/>
      </left>
      <right style="medium">
        <color theme="1"/>
      </right>
      <top/>
      <bottom style="thin">
        <color theme="1"/>
      </bottom>
      <diagonal/>
    </border>
    <border>
      <left style="medium">
        <color theme="1"/>
      </left>
      <right/>
      <top style="thin">
        <color theme="1"/>
      </top>
      <bottom style="medium">
        <color theme="1"/>
      </bottom>
      <diagonal/>
    </border>
    <border>
      <left style="medium">
        <color theme="1"/>
      </left>
      <right/>
      <top style="medium">
        <color theme="1"/>
      </top>
      <bottom style="thin">
        <color theme="1"/>
      </bottom>
      <diagonal/>
    </border>
    <border>
      <left style="medium">
        <color theme="1"/>
      </left>
      <right style="medium">
        <color theme="1"/>
      </right>
      <top style="medium">
        <color theme="1"/>
      </top>
      <bottom style="thin">
        <color theme="1"/>
      </bottom>
      <diagonal/>
    </border>
    <border>
      <left style="thin">
        <color auto="1"/>
      </left>
      <right/>
      <top style="thin">
        <color auto="1"/>
      </top>
      <bottom style="medium">
        <color theme="1"/>
      </bottom>
      <diagonal/>
    </border>
    <border>
      <left style="thin">
        <color auto="1"/>
      </left>
      <right/>
      <top style="medium">
        <color theme="1"/>
      </top>
      <bottom style="thin">
        <color auto="1"/>
      </bottom>
      <diagonal/>
    </border>
    <border>
      <left style="medium">
        <color theme="1"/>
      </left>
      <right style="thin">
        <color auto="1"/>
      </right>
      <top style="medium">
        <color theme="1"/>
      </top>
      <bottom style="medium">
        <color theme="1"/>
      </bottom>
      <diagonal/>
    </border>
    <border>
      <left style="thin">
        <color auto="1"/>
      </left>
      <right style="medium">
        <color theme="1"/>
      </right>
      <top style="medium">
        <color theme="1"/>
      </top>
      <bottom style="medium">
        <color theme="1"/>
      </bottom>
      <diagonal/>
    </border>
    <border>
      <left/>
      <right/>
      <top style="medium">
        <color theme="1"/>
      </top>
      <bottom/>
      <diagonal/>
    </border>
    <border>
      <left/>
      <right/>
      <top/>
      <bottom style="medium">
        <color theme="1"/>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auto="1"/>
      </left>
      <right/>
      <top style="medium">
        <color theme="1"/>
      </top>
      <bottom/>
      <diagonal/>
    </border>
    <border>
      <left style="medium">
        <color theme="1"/>
      </left>
      <right/>
      <top/>
      <bottom/>
      <diagonal/>
    </border>
    <border>
      <left style="medium">
        <color theme="1"/>
      </left>
      <right/>
      <top/>
      <bottom style="medium">
        <color theme="1"/>
      </bottom>
      <diagonal/>
    </border>
    <border>
      <left/>
      <right style="medium">
        <color theme="1"/>
      </right>
      <top/>
      <bottom/>
      <diagonal/>
    </border>
    <border>
      <left style="thin">
        <color theme="1"/>
      </left>
      <right style="thin">
        <color theme="1"/>
      </right>
      <top style="medium">
        <color theme="1"/>
      </top>
      <bottom style="thin">
        <color theme="1"/>
      </bottom>
      <diagonal/>
    </border>
    <border>
      <left style="thin">
        <color theme="1"/>
      </left>
      <right style="thin">
        <color theme="1"/>
      </right>
      <top style="thin">
        <color theme="1"/>
      </top>
      <bottom style="medium">
        <color theme="1"/>
      </bottom>
      <diagonal/>
    </border>
    <border>
      <left style="thin">
        <color theme="1"/>
      </left>
      <right style="thin">
        <color theme="1"/>
      </right>
      <top style="medium">
        <color theme="1"/>
      </top>
      <bottom/>
      <diagonal/>
    </border>
    <border>
      <left style="medium">
        <color theme="1"/>
      </left>
      <right style="thin">
        <color theme="1"/>
      </right>
      <top style="medium">
        <color theme="1"/>
      </top>
      <bottom/>
      <diagonal/>
    </border>
    <border>
      <left/>
      <right style="medium">
        <color theme="1"/>
      </right>
      <top style="medium">
        <color theme="1"/>
      </top>
      <bottom style="thin">
        <color theme="1"/>
      </bottom>
      <diagonal/>
    </border>
    <border>
      <left/>
      <right style="medium">
        <color theme="1"/>
      </right>
      <top style="thin">
        <color theme="1"/>
      </top>
      <bottom style="thin">
        <color theme="1"/>
      </bottom>
      <diagonal/>
    </border>
    <border>
      <left/>
      <right style="medium">
        <color theme="1"/>
      </right>
      <top style="thin">
        <color theme="1"/>
      </top>
      <bottom style="medium">
        <color theme="1"/>
      </bottom>
      <diagonal/>
    </border>
    <border>
      <left style="thin">
        <color theme="1"/>
      </left>
      <right/>
      <top style="medium">
        <color theme="1"/>
      </top>
      <bottom style="thin">
        <color theme="1"/>
      </bottom>
      <diagonal/>
    </border>
    <border>
      <left style="thin">
        <color theme="1"/>
      </left>
      <right/>
      <top style="thin">
        <color theme="1"/>
      </top>
      <bottom style="medium">
        <color theme="1"/>
      </bottom>
      <diagonal/>
    </border>
    <border>
      <left style="thin">
        <color auto="1"/>
      </left>
      <right style="thin">
        <color theme="1"/>
      </right>
      <top style="medium">
        <color theme="1"/>
      </top>
      <bottom style="medium">
        <color theme="1"/>
      </bottom>
      <diagonal/>
    </border>
    <border>
      <left style="medium">
        <color theme="1"/>
      </left>
      <right style="medium">
        <color auto="1"/>
      </right>
      <top style="medium">
        <color auto="1"/>
      </top>
      <bottom/>
      <diagonal/>
    </border>
    <border>
      <left style="medium">
        <color theme="1"/>
      </left>
      <right style="medium">
        <color auto="1"/>
      </right>
      <top/>
      <bottom/>
      <diagonal/>
    </border>
    <border>
      <left style="medium">
        <color theme="1"/>
      </left>
      <right/>
      <top style="medium">
        <color auto="1"/>
      </top>
      <bottom style="medium">
        <color theme="1"/>
      </bottom>
      <diagonal/>
    </border>
    <border>
      <left/>
      <right style="medium">
        <color auto="1"/>
      </right>
      <top style="medium">
        <color auto="1"/>
      </top>
      <bottom style="medium">
        <color theme="1"/>
      </bottom>
      <diagonal/>
    </border>
    <border>
      <left style="medium">
        <color auto="1"/>
      </left>
      <right style="thin">
        <color auto="1"/>
      </right>
      <top/>
      <bottom style="medium">
        <color theme="1"/>
      </bottom>
      <diagonal/>
    </border>
    <border>
      <left style="thin">
        <color auto="1"/>
      </left>
      <right style="thin">
        <color auto="1"/>
      </right>
      <top/>
      <bottom style="medium">
        <color theme="1"/>
      </bottom>
      <diagonal/>
    </border>
    <border>
      <left style="medium">
        <color theme="1"/>
      </left>
      <right style="medium">
        <color auto="1"/>
      </right>
      <top/>
      <bottom style="medium">
        <color auto="1"/>
      </bottom>
      <diagonal/>
    </border>
    <border>
      <left style="medium">
        <color theme="1"/>
      </left>
      <right style="thin">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style="thin">
        <color theme="1"/>
      </top>
      <bottom/>
      <diagonal/>
    </border>
    <border>
      <left style="thin">
        <color theme="1"/>
      </left>
      <right style="medium">
        <color theme="1"/>
      </right>
      <top style="thin">
        <color theme="1"/>
      </top>
      <bottom/>
      <diagonal/>
    </border>
    <border>
      <left style="medium">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style="thin">
        <color auto="1"/>
      </right>
      <top/>
      <bottom style="medium">
        <color theme="1"/>
      </bottom>
      <diagonal/>
    </border>
    <border>
      <left/>
      <right/>
      <top style="medium">
        <color theme="1"/>
      </top>
      <bottom style="thin">
        <color theme="1"/>
      </bottom>
      <diagonal/>
    </border>
    <border>
      <left/>
      <right/>
      <top style="thin">
        <color theme="1"/>
      </top>
      <bottom style="medium">
        <color theme="1"/>
      </bottom>
      <diagonal/>
    </border>
    <border>
      <left style="medium">
        <color theme="1"/>
      </left>
      <right/>
      <top style="medium">
        <color theme="1"/>
      </top>
      <bottom style="medium">
        <color auto="1"/>
      </bottom>
      <diagonal/>
    </border>
    <border>
      <left/>
      <right style="medium">
        <color theme="1"/>
      </right>
      <top style="medium">
        <color theme="1"/>
      </top>
      <bottom style="medium">
        <color auto="1"/>
      </bottom>
      <diagonal/>
    </border>
    <border>
      <left style="medium">
        <color theme="1"/>
      </left>
      <right/>
      <top style="medium">
        <color auto="1"/>
      </top>
      <bottom style="medium">
        <color auto="1"/>
      </bottom>
      <diagonal/>
    </border>
    <border>
      <left/>
      <right style="medium">
        <color theme="1"/>
      </right>
      <top style="medium">
        <color auto="1"/>
      </top>
      <bottom style="medium">
        <color auto="1"/>
      </bottom>
      <diagonal/>
    </border>
    <border>
      <left style="thin">
        <color auto="1"/>
      </left>
      <right/>
      <top/>
      <bottom style="medium">
        <color theme="1"/>
      </bottom>
      <diagonal/>
    </border>
    <border>
      <left style="medium">
        <color auto="1"/>
      </left>
      <right style="thin">
        <color auto="1"/>
      </right>
      <top style="medium">
        <color auto="1"/>
      </top>
      <bottom style="medium">
        <color theme="1"/>
      </bottom>
      <diagonal/>
    </border>
    <border>
      <left style="thin">
        <color auto="1"/>
      </left>
      <right style="medium">
        <color auto="1"/>
      </right>
      <top style="medium">
        <color auto="1"/>
      </top>
      <bottom style="medium">
        <color theme="1"/>
      </bottom>
      <diagonal/>
    </border>
    <border>
      <left style="thin">
        <color auto="1"/>
      </left>
      <right style="medium">
        <color theme="1"/>
      </right>
      <top style="medium">
        <color auto="1"/>
      </top>
      <bottom style="medium">
        <color theme="1"/>
      </bottom>
      <diagonal/>
    </border>
    <border>
      <left style="medium">
        <color indexed="64"/>
      </left>
      <right style="medium">
        <color theme="1"/>
      </right>
      <top style="medium">
        <color indexed="64"/>
      </top>
      <bottom style="medium">
        <color theme="1"/>
      </bottom>
      <diagonal/>
    </border>
    <border>
      <left style="medium">
        <color theme="1"/>
      </left>
      <right style="thin">
        <color auto="1"/>
      </right>
      <top style="medium">
        <color indexed="64"/>
      </top>
      <bottom style="medium">
        <color theme="1"/>
      </bottom>
      <diagonal/>
    </border>
    <border>
      <left style="thin">
        <color auto="1"/>
      </left>
      <right style="thin">
        <color auto="1"/>
      </right>
      <top style="medium">
        <color indexed="64"/>
      </top>
      <bottom style="medium">
        <color theme="1"/>
      </bottom>
      <diagonal/>
    </border>
    <border>
      <left style="thin">
        <color auto="1"/>
      </left>
      <right style="medium">
        <color indexed="64"/>
      </right>
      <top style="medium">
        <color theme="1"/>
      </top>
      <bottom style="medium">
        <color theme="1"/>
      </bottom>
      <diagonal/>
    </border>
    <border>
      <left style="medium">
        <color indexed="64"/>
      </left>
      <right style="medium">
        <color theme="1"/>
      </right>
      <top style="medium">
        <color theme="1"/>
      </top>
      <bottom style="thin">
        <color auto="1"/>
      </bottom>
      <diagonal/>
    </border>
    <border>
      <left style="medium">
        <color indexed="64"/>
      </left>
      <right style="medium">
        <color theme="1"/>
      </right>
      <top/>
      <bottom style="thin">
        <color auto="1"/>
      </bottom>
      <diagonal/>
    </border>
    <border>
      <left style="medium">
        <color indexed="64"/>
      </left>
      <right style="medium">
        <color theme="1"/>
      </right>
      <top style="thin">
        <color auto="1"/>
      </top>
      <bottom style="thin">
        <color auto="1"/>
      </bottom>
      <diagonal/>
    </border>
    <border>
      <left style="medium">
        <color indexed="64"/>
      </left>
      <right style="medium">
        <color theme="1"/>
      </right>
      <top style="thin">
        <color auto="1"/>
      </top>
      <bottom style="medium">
        <color indexed="64"/>
      </bottom>
      <diagonal/>
    </border>
    <border>
      <left style="medium">
        <color theme="1"/>
      </left>
      <right/>
      <top/>
      <bottom style="thin">
        <color auto="1"/>
      </bottom>
      <diagonal/>
    </border>
    <border>
      <left/>
      <right style="thin">
        <color theme="1"/>
      </right>
      <top style="medium">
        <color theme="1"/>
      </top>
      <bottom style="medium">
        <color theme="1"/>
      </bottom>
      <diagonal/>
    </border>
    <border>
      <left style="medium">
        <color indexed="64"/>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thin">
        <color theme="1"/>
      </left>
      <right/>
      <top style="medium">
        <color theme="1"/>
      </top>
      <bottom style="medium">
        <color theme="1"/>
      </bottom>
      <diagonal/>
    </border>
    <border>
      <left style="thin">
        <color theme="1"/>
      </left>
      <right/>
      <top style="thin">
        <color theme="1"/>
      </top>
      <bottom/>
      <diagonal/>
    </border>
    <border>
      <left style="medium">
        <color auto="1"/>
      </left>
      <right style="thin">
        <color auto="1"/>
      </right>
      <top style="medium">
        <color theme="1"/>
      </top>
      <bottom/>
      <diagonal/>
    </border>
    <border>
      <left style="medium">
        <color theme="1"/>
      </left>
      <right style="medium">
        <color theme="1"/>
      </right>
      <top style="thin">
        <color theme="1"/>
      </top>
      <bottom/>
      <diagonal/>
    </border>
    <border>
      <left style="medium">
        <color indexed="64"/>
      </left>
      <right/>
      <top style="medium">
        <color indexed="64"/>
      </top>
      <bottom style="thin">
        <color theme="1"/>
      </bottom>
      <diagonal/>
    </border>
    <border>
      <left style="medium">
        <color theme="1"/>
      </left>
      <right style="medium">
        <color indexed="64"/>
      </right>
      <top style="medium">
        <color indexed="64"/>
      </top>
      <bottom style="thin">
        <color theme="1"/>
      </bottom>
      <diagonal/>
    </border>
    <border>
      <left style="medium">
        <color indexed="64"/>
      </left>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indexed="64"/>
      </left>
      <right/>
      <top style="thin">
        <color theme="1"/>
      </top>
      <bottom style="medium">
        <color indexed="64"/>
      </bottom>
      <diagonal/>
    </border>
    <border>
      <left style="medium">
        <color theme="1"/>
      </left>
      <right style="medium">
        <color indexed="64"/>
      </right>
      <top style="thin">
        <color theme="1"/>
      </top>
      <bottom style="medium">
        <color indexed="64"/>
      </bottom>
      <diagonal/>
    </border>
    <border>
      <left style="thin">
        <color theme="1"/>
      </left>
      <right style="medium">
        <color theme="1"/>
      </right>
      <top style="medium">
        <color theme="1"/>
      </top>
      <bottom/>
      <diagonal/>
    </border>
    <border>
      <left style="medium">
        <color indexed="64"/>
      </left>
      <right style="thin">
        <color theme="1"/>
      </right>
      <top/>
      <bottom style="medium">
        <color indexed="64"/>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style="medium">
        <color theme="1"/>
      </left>
      <right style="thin">
        <color theme="1"/>
      </right>
      <top/>
      <bottom/>
      <diagonal/>
    </border>
    <border>
      <left style="thin">
        <color theme="1"/>
      </left>
      <right style="thin">
        <color theme="1"/>
      </right>
      <top/>
      <bottom/>
      <diagonal/>
    </border>
    <border>
      <left style="thin">
        <color theme="1"/>
      </left>
      <right/>
      <top/>
      <bottom/>
      <diagonal/>
    </border>
    <border>
      <left/>
      <right style="thin">
        <color theme="1"/>
      </right>
      <top/>
      <bottom/>
      <diagonal/>
    </border>
  </borders>
  <cellStyleXfs count="13">
    <xf numFmtId="0" fontId="0" fillId="0" borderId="0"/>
    <xf numFmtId="0" fontId="21" fillId="0" borderId="0" applyNumberFormat="0" applyFill="0" applyBorder="0" applyProtection="0"/>
    <xf numFmtId="43" fontId="73" fillId="0" borderId="0" applyFont="0" applyFill="0" applyBorder="0" applyProtection="0"/>
    <xf numFmtId="43" fontId="73" fillId="0" borderId="0" applyFont="0" applyFill="0" applyBorder="0" applyProtection="0"/>
    <xf numFmtId="0" fontId="22" fillId="0" borderId="0"/>
    <xf numFmtId="0" fontId="23" fillId="0" borderId="0"/>
    <xf numFmtId="0" fontId="22" fillId="0" borderId="0"/>
    <xf numFmtId="0" fontId="73" fillId="0" borderId="0"/>
    <xf numFmtId="0" fontId="73" fillId="0" borderId="0"/>
    <xf numFmtId="0" fontId="73" fillId="0" borderId="0"/>
    <xf numFmtId="0" fontId="22" fillId="0" borderId="0"/>
    <xf numFmtId="0" fontId="22" fillId="0" borderId="0"/>
    <xf numFmtId="9" fontId="73" fillId="0" borderId="0" applyFont="0" applyFill="0" applyBorder="0" applyProtection="0"/>
  </cellStyleXfs>
  <cellXfs count="3214">
    <xf numFmtId="0" fontId="0" fillId="0" borderId="0" xfId="0"/>
    <xf numFmtId="0" fontId="0" fillId="0" borderId="0" xfId="0" applyAlignment="1">
      <alignment vertical="center"/>
    </xf>
    <xf numFmtId="0" fontId="30" fillId="0" borderId="0" xfId="0" applyFont="1"/>
    <xf numFmtId="0" fontId="33" fillId="0" borderId="0" xfId="0" applyFont="1" applyAlignment="1">
      <alignment vertical="center"/>
    </xf>
    <xf numFmtId="0" fontId="31" fillId="0" borderId="0" xfId="0" applyFont="1" applyAlignment="1">
      <alignment vertical="center"/>
    </xf>
    <xf numFmtId="0" fontId="30" fillId="0" borderId="7" xfId="0" applyFont="1" applyBorder="1"/>
    <xf numFmtId="0" fontId="0" fillId="0" borderId="7" xfId="0" applyBorder="1"/>
    <xf numFmtId="0" fontId="36" fillId="0" borderId="7" xfId="0" applyFont="1" applyBorder="1" applyAlignment="1">
      <alignment vertical="center"/>
    </xf>
    <xf numFmtId="164" fontId="36" fillId="0" borderId="7" xfId="2" applyNumberFormat="1" applyFont="1" applyBorder="1" applyAlignment="1">
      <alignment vertical="center"/>
    </xf>
    <xf numFmtId="0" fontId="37" fillId="0" borderId="7" xfId="0" applyFont="1" applyBorder="1" applyAlignment="1">
      <alignment vertical="center"/>
    </xf>
    <xf numFmtId="164" fontId="37" fillId="0" borderId="7" xfId="2" applyNumberFormat="1" applyFont="1" applyBorder="1" applyAlignment="1">
      <alignment vertical="center"/>
    </xf>
    <xf numFmtId="0" fontId="37" fillId="0" borderId="0" xfId="0" applyFont="1" applyAlignment="1">
      <alignment vertical="center"/>
    </xf>
    <xf numFmtId="0" fontId="0" fillId="0" borderId="23" xfId="0" applyBorder="1" applyAlignment="1">
      <alignment vertical="center"/>
    </xf>
    <xf numFmtId="0" fontId="0" fillId="0" borderId="7" xfId="0" applyBorder="1" applyAlignment="1">
      <alignment horizontal="left" vertical="center" wrapText="1"/>
    </xf>
    <xf numFmtId="0" fontId="40" fillId="0" borderId="7" xfId="0" applyFont="1" applyBorder="1" applyAlignment="1">
      <alignment horizontal="center" vertical="center"/>
    </xf>
    <xf numFmtId="0" fontId="0" fillId="10" borderId="28" xfId="0" applyFill="1" applyBorder="1" applyAlignment="1">
      <alignment vertical="center"/>
    </xf>
    <xf numFmtId="0" fontId="0" fillId="10" borderId="29" xfId="0" applyFill="1" applyBorder="1" applyAlignment="1">
      <alignment vertical="center"/>
    </xf>
    <xf numFmtId="0" fontId="0" fillId="10" borderId="0" xfId="0" applyFill="1" applyAlignment="1">
      <alignment vertical="center"/>
    </xf>
    <xf numFmtId="0" fontId="0" fillId="10" borderId="30" xfId="0" applyFill="1" applyBorder="1" applyAlignment="1">
      <alignment vertical="center"/>
    </xf>
    <xf numFmtId="0" fontId="0" fillId="10" borderId="33" xfId="0" applyFill="1" applyBorder="1" applyAlignment="1">
      <alignment vertical="center"/>
    </xf>
    <xf numFmtId="0" fontId="0" fillId="10" borderId="34" xfId="0" applyFill="1" applyBorder="1" applyAlignment="1">
      <alignment vertical="center"/>
    </xf>
    <xf numFmtId="0" fontId="0" fillId="10" borderId="35" xfId="0" applyFill="1" applyBorder="1" applyAlignment="1">
      <alignment vertical="center"/>
    </xf>
    <xf numFmtId="0" fontId="0" fillId="12" borderId="36" xfId="0" applyFill="1" applyBorder="1" applyAlignment="1">
      <alignment vertical="center" wrapText="1"/>
    </xf>
    <xf numFmtId="0" fontId="0" fillId="12" borderId="40" xfId="0" applyFill="1" applyBorder="1" applyAlignment="1">
      <alignment vertical="center" wrapText="1"/>
    </xf>
    <xf numFmtId="0" fontId="0" fillId="12" borderId="42" xfId="0" applyFill="1" applyBorder="1" applyAlignment="1">
      <alignment vertical="center" wrapText="1"/>
    </xf>
    <xf numFmtId="0" fontId="40" fillId="0" borderId="7" xfId="0" applyFont="1" applyBorder="1" applyAlignment="1">
      <alignment horizontal="center" vertical="center" wrapText="1"/>
    </xf>
    <xf numFmtId="0" fontId="43" fillId="0" borderId="0" xfId="0" applyFont="1" applyAlignment="1">
      <alignment vertical="center"/>
    </xf>
    <xf numFmtId="0" fontId="0" fillId="0" borderId="7" xfId="0" applyBorder="1" applyAlignment="1">
      <alignment vertical="center" wrapText="1"/>
    </xf>
    <xf numFmtId="0" fontId="0" fillId="0" borderId="7" xfId="0" applyBorder="1" applyAlignment="1">
      <alignment horizontal="center" vertical="center"/>
    </xf>
    <xf numFmtId="164" fontId="0" fillId="0" borderId="7" xfId="2" applyNumberFormat="1" applyFont="1" applyBorder="1" applyAlignment="1">
      <alignment horizontal="center" vertical="center"/>
    </xf>
    <xf numFmtId="0" fontId="0" fillId="0" borderId="0" xfId="0" quotePrefix="1" applyAlignment="1">
      <alignment vertical="center"/>
    </xf>
    <xf numFmtId="0" fontId="46" fillId="0" borderId="7" xfId="0" applyFont="1" applyBorder="1" applyAlignment="1">
      <alignment horizontal="center" vertical="center"/>
    </xf>
    <xf numFmtId="0" fontId="41" fillId="0" borderId="7" xfId="0" applyFont="1" applyBorder="1" applyAlignment="1">
      <alignment vertical="center"/>
    </xf>
    <xf numFmtId="164" fontId="0" fillId="0" borderId="7" xfId="2" applyNumberFormat="1" applyFont="1" applyBorder="1" applyAlignment="1">
      <alignment vertical="center"/>
    </xf>
    <xf numFmtId="0" fontId="0" fillId="0" borderId="0" xfId="0" applyAlignment="1">
      <alignment vertical="center" wrapText="1"/>
    </xf>
    <xf numFmtId="0" fontId="0" fillId="0" borderId="7" xfId="0" applyBorder="1" applyAlignment="1">
      <alignment horizontal="left" vertical="center"/>
    </xf>
    <xf numFmtId="0" fontId="0" fillId="0" borderId="7" xfId="0" applyBorder="1" applyAlignment="1">
      <alignment vertical="center"/>
    </xf>
    <xf numFmtId="0" fontId="0" fillId="0" borderId="7" xfId="0" applyBorder="1" applyAlignment="1">
      <alignment horizontal="left" vertical="top" wrapText="1"/>
    </xf>
    <xf numFmtId="0" fontId="0" fillId="0" borderId="23" xfId="0" applyBorder="1"/>
    <xf numFmtId="0" fontId="0" fillId="10" borderId="28" xfId="0" applyFill="1" applyBorder="1"/>
    <xf numFmtId="0" fontId="0" fillId="10" borderId="29" xfId="0" applyFill="1" applyBorder="1"/>
    <xf numFmtId="0" fontId="0" fillId="10" borderId="0" xfId="0" applyFill="1"/>
    <xf numFmtId="0" fontId="0" fillId="10" borderId="30" xfId="0" applyFill="1" applyBorder="1"/>
    <xf numFmtId="0" fontId="0" fillId="10" borderId="33" xfId="0" applyFill="1" applyBorder="1"/>
    <xf numFmtId="0" fontId="0" fillId="10" borderId="34" xfId="0" applyFill="1" applyBorder="1"/>
    <xf numFmtId="0" fontId="0" fillId="10" borderId="35" xfId="0" applyFill="1" applyBorder="1"/>
    <xf numFmtId="0" fontId="43" fillId="0" borderId="0" xfId="0" applyFont="1"/>
    <xf numFmtId="0" fontId="0" fillId="0" borderId="7" xfId="0" applyBorder="1" applyAlignment="1">
      <alignment wrapText="1"/>
    </xf>
    <xf numFmtId="0" fontId="0" fillId="0" borderId="0" xfId="0" applyAlignment="1">
      <alignment wrapText="1"/>
    </xf>
    <xf numFmtId="0" fontId="26" fillId="0" borderId="7" xfId="0" applyFont="1" applyBorder="1" applyAlignment="1">
      <alignment horizontal="left" vertical="center"/>
    </xf>
    <xf numFmtId="0" fontId="47" fillId="0" borderId="7" xfId="0" applyFont="1" applyBorder="1" applyAlignment="1">
      <alignment vertical="center"/>
    </xf>
    <xf numFmtId="164" fontId="40" fillId="0" borderId="7" xfId="0" applyNumberFormat="1" applyFont="1" applyBorder="1" applyAlignment="1">
      <alignment vertical="center"/>
    </xf>
    <xf numFmtId="0" fontId="40" fillId="0" borderId="0" xfId="0" applyFont="1"/>
    <xf numFmtId="0" fontId="0" fillId="0" borderId="0" xfId="0" quotePrefix="1"/>
    <xf numFmtId="0" fontId="40" fillId="0" borderId="0" xfId="0" quotePrefix="1" applyFont="1"/>
    <xf numFmtId="0" fontId="30" fillId="0" borderId="0" xfId="0" applyFont="1" applyAlignment="1">
      <alignment vertical="center"/>
    </xf>
    <xf numFmtId="0" fontId="32" fillId="6" borderId="21" xfId="0" applyFont="1" applyFill="1" applyBorder="1" applyAlignment="1">
      <alignment horizontal="center" vertical="center"/>
    </xf>
    <xf numFmtId="0" fontId="30" fillId="0" borderId="23" xfId="0" applyFont="1" applyBorder="1" applyAlignment="1">
      <alignment vertical="center"/>
    </xf>
    <xf numFmtId="0" fontId="30" fillId="0" borderId="7" xfId="0" applyFont="1" applyBorder="1" applyAlignment="1">
      <alignment horizontal="left" vertical="center" wrapText="1"/>
    </xf>
    <xf numFmtId="0" fontId="32" fillId="6" borderId="24" xfId="0" applyFont="1" applyFill="1" applyBorder="1" applyAlignment="1">
      <alignment horizontal="center" vertical="center"/>
    </xf>
    <xf numFmtId="0" fontId="36" fillId="0" borderId="7" xfId="0" applyFont="1" applyBorder="1" applyAlignment="1">
      <alignment horizontal="center" vertical="center"/>
    </xf>
    <xf numFmtId="0" fontId="32" fillId="6" borderId="9" xfId="0" applyFont="1" applyFill="1" applyBorder="1" applyAlignment="1">
      <alignment horizontal="center" vertical="center"/>
    </xf>
    <xf numFmtId="0" fontId="30" fillId="10" borderId="28" xfId="0" applyFont="1" applyFill="1" applyBorder="1" applyAlignment="1">
      <alignment vertical="center"/>
    </xf>
    <xf numFmtId="0" fontId="30" fillId="10" borderId="29" xfId="0" applyFont="1" applyFill="1" applyBorder="1" applyAlignment="1">
      <alignment vertical="center"/>
    </xf>
    <xf numFmtId="0" fontId="30" fillId="10" borderId="0" xfId="0" applyFont="1" applyFill="1" applyAlignment="1">
      <alignment vertical="center"/>
    </xf>
    <xf numFmtId="0" fontId="30" fillId="10" borderId="30" xfId="0" applyFont="1" applyFill="1" applyBorder="1" applyAlignment="1">
      <alignment vertical="center"/>
    </xf>
    <xf numFmtId="0" fontId="30" fillId="10" borderId="33" xfId="0" applyFont="1" applyFill="1" applyBorder="1" applyAlignment="1">
      <alignment vertical="center"/>
    </xf>
    <xf numFmtId="0" fontId="30" fillId="10" borderId="34" xfId="0" applyFont="1" applyFill="1" applyBorder="1" applyAlignment="1">
      <alignment vertical="center"/>
    </xf>
    <xf numFmtId="0" fontId="30" fillId="10" borderId="35" xfId="0" applyFont="1" applyFill="1" applyBorder="1" applyAlignment="1">
      <alignment vertical="center"/>
    </xf>
    <xf numFmtId="0" fontId="30" fillId="12" borderId="36" xfId="0" applyFont="1" applyFill="1" applyBorder="1" applyAlignment="1">
      <alignment vertical="center" wrapText="1"/>
    </xf>
    <xf numFmtId="0" fontId="30" fillId="12" borderId="40" xfId="0" applyFont="1" applyFill="1" applyBorder="1" applyAlignment="1">
      <alignment vertical="center" wrapText="1"/>
    </xf>
    <xf numFmtId="0" fontId="30" fillId="12" borderId="42" xfId="0" applyFont="1" applyFill="1" applyBorder="1" applyAlignment="1">
      <alignment vertical="center" wrapText="1"/>
    </xf>
    <xf numFmtId="0" fontId="50" fillId="0" borderId="0" xfId="0" applyFont="1" applyAlignment="1">
      <alignment vertical="center"/>
    </xf>
    <xf numFmtId="0" fontId="36" fillId="0" borderId="7" xfId="0" applyFont="1" applyBorder="1" applyAlignment="1">
      <alignment vertical="center" wrapText="1"/>
    </xf>
    <xf numFmtId="0" fontId="36" fillId="0" borderId="7" xfId="0" applyFont="1" applyBorder="1" applyAlignment="1">
      <alignment horizontal="center" vertical="center" wrapText="1"/>
    </xf>
    <xf numFmtId="0" fontId="52" fillId="0" borderId="0" xfId="0" applyFont="1" applyAlignment="1">
      <alignment vertical="center"/>
    </xf>
    <xf numFmtId="0" fontId="30" fillId="0" borderId="7" xfId="0" applyFont="1" applyBorder="1" applyAlignment="1">
      <alignment vertical="center" wrapText="1"/>
    </xf>
    <xf numFmtId="0" fontId="30" fillId="0" borderId="7" xfId="0" applyFont="1" applyBorder="1" applyAlignment="1">
      <alignment horizontal="center" vertical="center"/>
    </xf>
    <xf numFmtId="164" fontId="30" fillId="0" borderId="7" xfId="2" applyNumberFormat="1" applyFont="1" applyBorder="1" applyAlignment="1">
      <alignment horizontal="center" vertical="center"/>
    </xf>
    <xf numFmtId="0" fontId="47" fillId="0" borderId="7" xfId="0" applyFont="1" applyBorder="1" applyAlignment="1">
      <alignment horizontal="center" vertical="center" wrapText="1"/>
    </xf>
    <xf numFmtId="0" fontId="47" fillId="0" borderId="7" xfId="0" applyFont="1" applyBorder="1" applyAlignment="1">
      <alignment horizontal="center" vertical="top" wrapText="1"/>
    </xf>
    <xf numFmtId="0" fontId="30" fillId="0" borderId="7" xfId="0" applyFont="1" applyBorder="1" applyAlignment="1">
      <alignment vertical="center"/>
    </xf>
    <xf numFmtId="9" fontId="53" fillId="0" borderId="7" xfId="12" applyFont="1" applyBorder="1" applyAlignment="1">
      <alignment horizontal="center" vertical="center"/>
    </xf>
    <xf numFmtId="9" fontId="53" fillId="0" borderId="7" xfId="0" applyNumberFormat="1" applyFont="1" applyBorder="1" applyAlignment="1">
      <alignment horizontal="center" vertical="center"/>
    </xf>
    <xf numFmtId="164" fontId="53" fillId="0" borderId="7" xfId="2" applyNumberFormat="1" applyFont="1" applyBorder="1" applyAlignment="1">
      <alignment horizontal="center" vertical="center"/>
    </xf>
    <xf numFmtId="0" fontId="54" fillId="0" borderId="0" xfId="0" applyFont="1" applyAlignment="1">
      <alignment vertical="center"/>
    </xf>
    <xf numFmtId="0" fontId="30" fillId="0" borderId="0" xfId="0" quotePrefix="1" applyFont="1" applyAlignment="1">
      <alignment vertical="center"/>
    </xf>
    <xf numFmtId="0" fontId="53" fillId="0" borderId="7" xfId="0" applyFont="1" applyBorder="1" applyAlignment="1">
      <alignment vertical="center"/>
    </xf>
    <xf numFmtId="0" fontId="53" fillId="0" borderId="7" xfId="0" applyFont="1" applyBorder="1" applyAlignment="1">
      <alignment horizontal="center" vertical="center"/>
    </xf>
    <xf numFmtId="0" fontId="30" fillId="0" borderId="7" xfId="0" applyFont="1" applyBorder="1" applyAlignment="1">
      <alignment horizontal="left" vertical="center"/>
    </xf>
    <xf numFmtId="43" fontId="30" fillId="0" borderId="7" xfId="2" applyFont="1" applyBorder="1" applyAlignment="1">
      <alignment vertical="center"/>
    </xf>
    <xf numFmtId="164" fontId="30" fillId="0" borderId="7" xfId="2" applyNumberFormat="1" applyFont="1" applyBorder="1" applyAlignment="1">
      <alignment vertical="center"/>
    </xf>
    <xf numFmtId="0" fontId="51" fillId="0" borderId="7" xfId="0" applyFont="1" applyBorder="1" applyAlignment="1">
      <alignment vertical="center" wrapText="1"/>
    </xf>
    <xf numFmtId="0" fontId="56" fillId="0" borderId="0" xfId="0" applyFont="1" applyAlignment="1">
      <alignment vertical="center" wrapText="1"/>
    </xf>
    <xf numFmtId="0" fontId="37" fillId="0" borderId="7" xfId="0" quotePrefix="1" applyFont="1" applyBorder="1" applyAlignment="1">
      <alignment horizontal="left" vertical="top" wrapText="1"/>
    </xf>
    <xf numFmtId="164" fontId="53" fillId="0" borderId="0" xfId="2" applyNumberFormat="1" applyFont="1" applyAlignment="1">
      <alignment vertical="center"/>
    </xf>
    <xf numFmtId="9" fontId="53" fillId="0" borderId="47" xfId="12" applyFont="1" applyBorder="1" applyAlignment="1">
      <alignment horizontal="center" vertical="center"/>
    </xf>
    <xf numFmtId="9" fontId="53" fillId="0" borderId="47" xfId="0" applyNumberFormat="1" applyFont="1" applyBorder="1" applyAlignment="1">
      <alignment horizontal="center" vertical="center"/>
    </xf>
    <xf numFmtId="164" fontId="47" fillId="0" borderId="7" xfId="2" applyNumberFormat="1" applyFont="1" applyBorder="1" applyAlignment="1">
      <alignment vertical="center"/>
    </xf>
    <xf numFmtId="9" fontId="47" fillId="0" borderId="7" xfId="0" applyNumberFormat="1" applyFont="1" applyBorder="1" applyAlignment="1">
      <alignment horizontal="center" vertical="center"/>
    </xf>
    <xf numFmtId="164" fontId="47" fillId="0" borderId="7" xfId="2" applyNumberFormat="1" applyFont="1" applyBorder="1" applyAlignment="1">
      <alignment horizontal="center" vertical="center"/>
    </xf>
    <xf numFmtId="10" fontId="30" fillId="0" borderId="0" xfId="0" applyNumberFormat="1" applyFont="1" applyAlignment="1">
      <alignment vertical="center"/>
    </xf>
    <xf numFmtId="0" fontId="51" fillId="0" borderId="0" xfId="0" applyFont="1" applyAlignment="1">
      <alignment vertical="center"/>
    </xf>
    <xf numFmtId="0" fontId="36" fillId="14" borderId="18" xfId="0" quotePrefix="1" applyFont="1" applyFill="1" applyBorder="1" applyAlignment="1">
      <alignment vertical="center" wrapText="1"/>
    </xf>
    <xf numFmtId="9" fontId="36" fillId="0" borderId="19" xfId="12" applyFont="1" applyBorder="1" applyAlignment="1">
      <alignment vertical="center"/>
    </xf>
    <xf numFmtId="0" fontId="30" fillId="0" borderId="20" xfId="0" applyFont="1" applyBorder="1" applyAlignment="1">
      <alignment vertical="center"/>
    </xf>
    <xf numFmtId="0" fontId="36" fillId="14" borderId="18" xfId="0" quotePrefix="1" applyFont="1" applyFill="1" applyBorder="1" applyAlignment="1">
      <alignment vertical="top" wrapText="1"/>
    </xf>
    <xf numFmtId="0" fontId="36" fillId="14" borderId="9" xfId="0" quotePrefix="1" applyFont="1" applyFill="1" applyBorder="1" applyAlignment="1">
      <alignment vertical="center" wrapText="1"/>
    </xf>
    <xf numFmtId="2" fontId="36" fillId="0" borderId="10" xfId="0" applyNumberFormat="1" applyFont="1" applyBorder="1" applyAlignment="1">
      <alignment vertical="center"/>
    </xf>
    <xf numFmtId="0" fontId="30" fillId="0" borderId="11" xfId="0" applyFont="1" applyBorder="1" applyAlignment="1">
      <alignment vertical="center"/>
    </xf>
    <xf numFmtId="0" fontId="47" fillId="0" borderId="7" xfId="0" applyFont="1" applyBorder="1" applyAlignment="1">
      <alignment horizontal="center" vertical="center"/>
    </xf>
    <xf numFmtId="164" fontId="53" fillId="0" borderId="7" xfId="2" applyNumberFormat="1" applyFont="1" applyBorder="1" applyAlignment="1">
      <alignment vertical="center"/>
    </xf>
    <xf numFmtId="0" fontId="30" fillId="0" borderId="0" xfId="0" applyFont="1" applyAlignment="1">
      <alignment vertical="center" wrapText="1"/>
    </xf>
    <xf numFmtId="164" fontId="30" fillId="0" borderId="7" xfId="2" applyNumberFormat="1" applyFont="1" applyBorder="1" applyAlignment="1">
      <alignment horizontal="right" vertical="center"/>
    </xf>
    <xf numFmtId="0" fontId="36" fillId="14" borderId="1" xfId="0" quotePrefix="1" applyFont="1" applyFill="1" applyBorder="1" applyAlignment="1">
      <alignment vertical="center" wrapText="1"/>
    </xf>
    <xf numFmtId="2" fontId="36" fillId="0" borderId="2" xfId="0" applyNumberFormat="1" applyFont="1" applyBorder="1" applyAlignment="1">
      <alignment vertical="center"/>
    </xf>
    <xf numFmtId="0" fontId="30" fillId="0" borderId="3" xfId="0" applyFont="1" applyBorder="1" applyAlignment="1">
      <alignment vertical="center"/>
    </xf>
    <xf numFmtId="2" fontId="36" fillId="0" borderId="0" xfId="0" applyNumberFormat="1" applyFont="1" applyAlignment="1">
      <alignment vertical="center"/>
    </xf>
    <xf numFmtId="0" fontId="36" fillId="0" borderId="0" xfId="0" quotePrefix="1" applyFont="1" applyAlignment="1">
      <alignment vertical="center"/>
    </xf>
    <xf numFmtId="164" fontId="36" fillId="0" borderId="19" xfId="2" applyNumberFormat="1" applyFont="1" applyBorder="1" applyAlignment="1">
      <alignment vertical="center"/>
    </xf>
    <xf numFmtId="0" fontId="36" fillId="14" borderId="50" xfId="0" applyFont="1" applyFill="1" applyBorder="1" applyAlignment="1">
      <alignment horizontal="left" vertical="center" wrapText="1"/>
    </xf>
    <xf numFmtId="164" fontId="36" fillId="0" borderId="10" xfId="0" applyNumberFormat="1" applyFont="1" applyBorder="1" applyAlignment="1">
      <alignment vertical="center"/>
    </xf>
    <xf numFmtId="0" fontId="36" fillId="14" borderId="48" xfId="0" applyFont="1" applyFill="1" applyBorder="1" applyAlignment="1">
      <alignment horizontal="left" vertical="center" wrapText="1"/>
    </xf>
    <xf numFmtId="0" fontId="36" fillId="0" borderId="46" xfId="0" applyFont="1" applyBorder="1" applyAlignment="1">
      <alignment vertical="center"/>
    </xf>
    <xf numFmtId="164" fontId="36" fillId="0" borderId="19" xfId="0" applyNumberFormat="1" applyFont="1" applyBorder="1" applyAlignment="1">
      <alignment vertical="center"/>
    </xf>
    <xf numFmtId="164" fontId="36" fillId="0" borderId="31" xfId="0" applyNumberFormat="1" applyFont="1" applyBorder="1" applyAlignment="1">
      <alignment vertical="center"/>
    </xf>
    <xf numFmtId="0" fontId="57" fillId="0" borderId="0" xfId="5" applyFont="1" applyAlignment="1">
      <alignment vertical="center"/>
    </xf>
    <xf numFmtId="0" fontId="60" fillId="6" borderId="24" xfId="5" applyFont="1" applyFill="1" applyBorder="1" applyAlignment="1">
      <alignment horizontal="center" vertical="center"/>
    </xf>
    <xf numFmtId="1" fontId="57" fillId="0" borderId="7" xfId="5" applyNumberFormat="1" applyFont="1" applyBorder="1" applyAlignment="1">
      <alignment vertical="center"/>
    </xf>
    <xf numFmtId="0" fontId="57" fillId="0" borderId="25" xfId="5" applyFont="1" applyBorder="1" applyAlignment="1">
      <alignment vertical="center"/>
    </xf>
    <xf numFmtId="0" fontId="60" fillId="6" borderId="9" xfId="5" applyFont="1" applyFill="1" applyBorder="1" applyAlignment="1">
      <alignment horizontal="center" vertical="center"/>
    </xf>
    <xf numFmtId="9" fontId="49" fillId="0" borderId="10" xfId="5" applyNumberFormat="1" applyFont="1" applyBorder="1" applyAlignment="1">
      <alignment vertical="center"/>
    </xf>
    <xf numFmtId="0" fontId="49" fillId="0" borderId="11" xfId="5" applyFont="1" applyBorder="1" applyAlignment="1">
      <alignment vertical="center"/>
    </xf>
    <xf numFmtId="0" fontId="61" fillId="0" borderId="0" xfId="8" applyFont="1" applyAlignment="1">
      <alignment vertical="center"/>
    </xf>
    <xf numFmtId="0" fontId="62" fillId="0" borderId="0" xfId="0" applyFont="1" applyAlignment="1">
      <alignment vertical="center"/>
    </xf>
    <xf numFmtId="0" fontId="63" fillId="0" borderId="0" xfId="8" applyFont="1" applyAlignment="1">
      <alignment vertical="center"/>
    </xf>
    <xf numFmtId="0" fontId="30" fillId="0" borderId="0" xfId="8" applyFont="1" applyAlignment="1">
      <alignment vertical="center" wrapText="1"/>
    </xf>
    <xf numFmtId="0" fontId="30" fillId="0" borderId="0" xfId="8" applyFont="1" applyAlignment="1">
      <alignment horizontal="center" vertical="center" wrapText="1"/>
    </xf>
    <xf numFmtId="0" fontId="30" fillId="0" borderId="0" xfId="8" applyFont="1" applyAlignment="1">
      <alignment vertical="center"/>
    </xf>
    <xf numFmtId="0" fontId="64" fillId="0" borderId="0" xfId="1" applyFont="1" applyAlignment="1" applyProtection="1">
      <alignment vertical="center"/>
    </xf>
    <xf numFmtId="0" fontId="49" fillId="19" borderId="4" xfId="5" applyFont="1" applyFill="1" applyBorder="1" applyAlignment="1">
      <alignment vertical="center" wrapText="1"/>
    </xf>
    <xf numFmtId="0" fontId="65" fillId="19" borderId="59" xfId="5" applyFont="1" applyFill="1" applyBorder="1" applyAlignment="1">
      <alignment horizontal="center" vertical="center"/>
    </xf>
    <xf numFmtId="0" fontId="62" fillId="0" borderId="0" xfId="0" applyFont="1"/>
    <xf numFmtId="10" fontId="57" fillId="0" borderId="0" xfId="5" applyNumberFormat="1" applyFont="1" applyAlignment="1">
      <alignment vertical="center"/>
    </xf>
    <xf numFmtId="0" fontId="67" fillId="0" borderId="0" xfId="0" applyFont="1" applyAlignment="1">
      <alignment vertical="center"/>
    </xf>
    <xf numFmtId="0" fontId="68" fillId="0" borderId="0" xfId="0" applyFont="1" applyAlignment="1">
      <alignment vertical="center"/>
    </xf>
    <xf numFmtId="0" fontId="49" fillId="12" borderId="65" xfId="4" applyFont="1" applyFill="1" applyBorder="1" applyAlignment="1">
      <alignment vertical="center" wrapText="1"/>
    </xf>
    <xf numFmtId="0" fontId="49" fillId="12" borderId="69" xfId="4" applyFont="1" applyFill="1" applyBorder="1" applyAlignment="1">
      <alignment vertical="center" wrapText="1"/>
    </xf>
    <xf numFmtId="0" fontId="49" fillId="12" borderId="71" xfId="4" applyFont="1" applyFill="1" applyBorder="1" applyAlignment="1">
      <alignment vertical="center" wrapText="1"/>
    </xf>
    <xf numFmtId="0" fontId="69" fillId="0" borderId="0" xfId="0" applyFont="1"/>
    <xf numFmtId="0" fontId="62" fillId="0" borderId="0" xfId="4" applyFont="1" applyAlignment="1">
      <alignment vertical="center"/>
    </xf>
    <xf numFmtId="0" fontId="49" fillId="0" borderId="0" xfId="11" applyFont="1"/>
    <xf numFmtId="0" fontId="62" fillId="0" borderId="0" xfId="11" applyFont="1"/>
    <xf numFmtId="0" fontId="57" fillId="0" borderId="0" xfId="0" applyFont="1"/>
    <xf numFmtId="0" fontId="57" fillId="0" borderId="0" xfId="0" applyFont="1" applyAlignment="1">
      <alignment horizontal="center"/>
    </xf>
    <xf numFmtId="0" fontId="49" fillId="0" borderId="0" xfId="0" applyFont="1"/>
    <xf numFmtId="0" fontId="70" fillId="17" borderId="75" xfId="0" applyFont="1" applyFill="1" applyBorder="1" applyAlignment="1">
      <alignment horizontal="center" vertical="center"/>
    </xf>
    <xf numFmtId="0" fontId="70" fillId="17" borderId="76" xfId="0" applyFont="1" applyFill="1" applyBorder="1" applyAlignment="1">
      <alignment horizontal="center" vertical="center"/>
    </xf>
    <xf numFmtId="0" fontId="70" fillId="17" borderId="77" xfId="0" applyFont="1" applyFill="1" applyBorder="1" applyAlignment="1">
      <alignment horizontal="center" vertical="center"/>
    </xf>
    <xf numFmtId="171" fontId="62" fillId="2" borderId="65" xfId="0" applyNumberFormat="1" applyFont="1" applyFill="1" applyBorder="1" applyAlignment="1">
      <alignment wrapText="1"/>
    </xf>
    <xf numFmtId="1" fontId="62" fillId="24" borderId="78" xfId="0" applyNumberFormat="1" applyFont="1" applyFill="1" applyBorder="1"/>
    <xf numFmtId="1" fontId="62" fillId="24" borderId="79" xfId="0" applyNumberFormat="1" applyFont="1" applyFill="1" applyBorder="1"/>
    <xf numFmtId="171" fontId="62" fillId="2" borderId="69" xfId="0" applyNumberFormat="1" applyFont="1" applyFill="1" applyBorder="1" applyAlignment="1">
      <alignment wrapText="1"/>
    </xf>
    <xf numFmtId="1" fontId="62" fillId="24" borderId="7" xfId="0" applyNumberFormat="1" applyFont="1" applyFill="1" applyBorder="1"/>
    <xf numFmtId="1" fontId="62" fillId="24" borderId="80" xfId="0" applyNumberFormat="1" applyFont="1" applyFill="1" applyBorder="1"/>
    <xf numFmtId="171" fontId="62" fillId="2" borderId="71" xfId="0" applyNumberFormat="1" applyFont="1" applyFill="1" applyBorder="1" applyAlignment="1">
      <alignment wrapText="1"/>
    </xf>
    <xf numFmtId="1" fontId="62" fillId="24" borderId="81" xfId="0" applyNumberFormat="1" applyFont="1" applyFill="1" applyBorder="1"/>
    <xf numFmtId="1" fontId="62" fillId="24" borderId="82" xfId="0" applyNumberFormat="1" applyFont="1" applyFill="1" applyBorder="1"/>
    <xf numFmtId="0" fontId="62" fillId="0" borderId="0" xfId="0" applyFont="1" applyAlignment="1">
      <alignment horizontal="left" vertical="top"/>
    </xf>
    <xf numFmtId="0" fontId="49" fillId="0" borderId="0" xfId="11" applyFont="1" applyAlignment="1">
      <alignment vertical="center"/>
    </xf>
    <xf numFmtId="171" fontId="62" fillId="2" borderId="83" xfId="0" applyNumberFormat="1" applyFont="1" applyFill="1" applyBorder="1" applyAlignment="1">
      <alignment wrapText="1"/>
    </xf>
    <xf numFmtId="1" fontId="62" fillId="24" borderId="65" xfId="0" applyNumberFormat="1" applyFont="1" applyFill="1" applyBorder="1" applyAlignment="1">
      <alignment horizontal="center" vertical="center"/>
    </xf>
    <xf numFmtId="9" fontId="62" fillId="24" borderId="79" xfId="12" applyFont="1" applyFill="1" applyBorder="1" applyAlignment="1">
      <alignment horizontal="center" vertical="center"/>
    </xf>
    <xf numFmtId="171" fontId="62" fillId="2" borderId="84" xfId="0" applyNumberFormat="1" applyFont="1" applyFill="1" applyBorder="1" applyAlignment="1">
      <alignment wrapText="1"/>
    </xf>
    <xf numFmtId="1" fontId="62" fillId="24" borderId="69" xfId="0" applyNumberFormat="1" applyFont="1" applyFill="1" applyBorder="1" applyAlignment="1">
      <alignment horizontal="center" vertical="center"/>
    </xf>
    <xf numFmtId="9" fontId="62" fillId="24" borderId="80" xfId="12" applyFont="1" applyFill="1" applyBorder="1" applyAlignment="1">
      <alignment horizontal="center" vertical="center"/>
    </xf>
    <xf numFmtId="171" fontId="62" fillId="2" borderId="85" xfId="0" applyNumberFormat="1" applyFont="1" applyFill="1" applyBorder="1" applyAlignment="1">
      <alignment wrapText="1"/>
    </xf>
    <xf numFmtId="1" fontId="62" fillId="24" borderId="71" xfId="0" applyNumberFormat="1" applyFont="1" applyFill="1" applyBorder="1" applyAlignment="1">
      <alignment horizontal="center" vertical="center"/>
    </xf>
    <xf numFmtId="9" fontId="62" fillId="24" borderId="82" xfId="12" applyFont="1" applyFill="1" applyBorder="1" applyAlignment="1">
      <alignment horizontal="center" vertical="center"/>
    </xf>
    <xf numFmtId="171" fontId="62" fillId="2" borderId="86" xfId="0" applyNumberFormat="1" applyFont="1" applyFill="1" applyBorder="1" applyAlignment="1">
      <alignment wrapText="1"/>
    </xf>
    <xf numFmtId="9" fontId="62" fillId="24" borderId="87" xfId="12" applyFont="1" applyFill="1" applyBorder="1" applyAlignment="1">
      <alignment horizontal="center" vertical="center"/>
    </xf>
    <xf numFmtId="171" fontId="62" fillId="2" borderId="88" xfId="0" applyNumberFormat="1" applyFont="1" applyFill="1" applyBorder="1" applyAlignment="1">
      <alignment wrapText="1"/>
    </xf>
    <xf numFmtId="9" fontId="62" fillId="24" borderId="89" xfId="12" applyFont="1" applyFill="1" applyBorder="1" applyAlignment="1">
      <alignment horizontal="center" vertical="center"/>
    </xf>
    <xf numFmtId="171" fontId="62" fillId="2" borderId="90" xfId="0" applyNumberFormat="1" applyFont="1" applyFill="1" applyBorder="1" applyAlignment="1">
      <alignment wrapText="1"/>
    </xf>
    <xf numFmtId="9" fontId="57" fillId="0" borderId="91" xfId="5" applyNumberFormat="1" applyFont="1" applyBorder="1" applyAlignment="1">
      <alignment horizontal="center" vertical="center"/>
    </xf>
    <xf numFmtId="43" fontId="62" fillId="24" borderId="87" xfId="2" applyFont="1" applyFill="1" applyBorder="1" applyAlignment="1">
      <alignment horizontal="center" vertical="center"/>
    </xf>
    <xf numFmtId="43" fontId="62" fillId="24" borderId="89" xfId="2" applyFont="1" applyFill="1" applyBorder="1" applyAlignment="1">
      <alignment horizontal="center" vertical="center"/>
    </xf>
    <xf numFmtId="43" fontId="62" fillId="24" borderId="91" xfId="2" applyFont="1" applyFill="1" applyBorder="1" applyAlignment="1">
      <alignment horizontal="center" vertical="center"/>
    </xf>
    <xf numFmtId="0" fontId="70" fillId="17" borderId="58" xfId="0" applyFont="1" applyFill="1" applyBorder="1" applyAlignment="1">
      <alignment horizontal="center" vertical="center"/>
    </xf>
    <xf numFmtId="9" fontId="62" fillId="24" borderId="92" xfId="12" applyFont="1" applyFill="1" applyBorder="1" applyAlignment="1">
      <alignment horizontal="center" vertical="center"/>
    </xf>
    <xf numFmtId="9" fontId="62" fillId="24" borderId="91" xfId="12" applyFont="1" applyFill="1" applyBorder="1" applyAlignment="1">
      <alignment horizontal="center" vertical="center"/>
    </xf>
    <xf numFmtId="0" fontId="70" fillId="17" borderId="93" xfId="0" applyFont="1" applyFill="1" applyBorder="1" applyAlignment="1">
      <alignment horizontal="center" vertical="center"/>
    </xf>
    <xf numFmtId="164" fontId="57" fillId="0" borderId="94" xfId="2" applyNumberFormat="1" applyFont="1" applyBorder="1"/>
    <xf numFmtId="0" fontId="66" fillId="0" borderId="0" xfId="5" applyFont="1" applyAlignment="1">
      <alignment vertical="center"/>
    </xf>
    <xf numFmtId="0" fontId="49" fillId="0" borderId="0" xfId="0" applyFont="1" applyAlignment="1">
      <alignment horizontal="left" vertical="top"/>
    </xf>
    <xf numFmtId="37" fontId="62" fillId="24" borderId="92" xfId="2" applyNumberFormat="1" applyFont="1" applyFill="1" applyBorder="1" applyAlignment="1">
      <alignment horizontal="center" vertical="center"/>
    </xf>
    <xf numFmtId="37" fontId="62" fillId="24" borderId="89" xfId="2" applyNumberFormat="1" applyFont="1" applyFill="1" applyBorder="1" applyAlignment="1">
      <alignment horizontal="center" vertical="center"/>
    </xf>
    <xf numFmtId="37" fontId="62" fillId="24" borderId="91" xfId="2" applyNumberFormat="1" applyFont="1" applyFill="1" applyBorder="1" applyAlignment="1">
      <alignment horizontal="center" vertical="center"/>
    </xf>
    <xf numFmtId="0" fontId="69" fillId="0" borderId="0" xfId="0" applyFont="1" applyAlignment="1">
      <alignment vertical="center"/>
    </xf>
    <xf numFmtId="0" fontId="59" fillId="17" borderId="95" xfId="5" applyFont="1" applyFill="1" applyBorder="1" applyAlignment="1">
      <alignment horizontal="center" vertical="center"/>
    </xf>
    <xf numFmtId="171" fontId="49" fillId="2" borderId="18" xfId="0" applyNumberFormat="1" applyFont="1" applyFill="1" applyBorder="1" applyAlignment="1">
      <alignment horizontal="center" vertical="center" wrapText="1"/>
    </xf>
    <xf numFmtId="0" fontId="57" fillId="0" borderId="20" xfId="5" quotePrefix="1" applyFont="1" applyBorder="1" applyAlignment="1">
      <alignment vertical="center" wrapText="1"/>
    </xf>
    <xf numFmtId="171" fontId="49" fillId="2" borderId="24" xfId="0" applyNumberFormat="1" applyFont="1" applyFill="1" applyBorder="1" applyAlignment="1">
      <alignment horizontal="center" vertical="center" wrapText="1"/>
    </xf>
    <xf numFmtId="0" fontId="57" fillId="0" borderId="25" xfId="5" applyFont="1" applyBorder="1" applyAlignment="1">
      <alignment vertical="center" wrapText="1"/>
    </xf>
    <xf numFmtId="171" fontId="49" fillId="2" borderId="9" xfId="0" applyNumberFormat="1" applyFont="1" applyFill="1" applyBorder="1" applyAlignment="1">
      <alignment horizontal="center" vertical="center" wrapText="1"/>
    </xf>
    <xf numFmtId="0" fontId="57" fillId="25" borderId="11" xfId="5" applyFont="1" applyFill="1" applyBorder="1" applyAlignment="1">
      <alignment vertical="center"/>
    </xf>
    <xf numFmtId="37" fontId="62" fillId="24" borderId="87" xfId="2" applyNumberFormat="1" applyFont="1" applyFill="1" applyBorder="1" applyAlignment="1">
      <alignment horizontal="center" vertical="center"/>
    </xf>
    <xf numFmtId="171" fontId="62" fillId="2" borderId="18" xfId="0" applyNumberFormat="1" applyFont="1" applyFill="1" applyBorder="1" applyAlignment="1">
      <alignment wrapText="1"/>
    </xf>
    <xf numFmtId="9" fontId="62" fillId="24" borderId="20" xfId="12" applyFont="1" applyFill="1" applyBorder="1" applyAlignment="1">
      <alignment horizontal="center" vertical="center"/>
    </xf>
    <xf numFmtId="171" fontId="62" fillId="2" borderId="24" xfId="0" applyNumberFormat="1" applyFont="1" applyFill="1" applyBorder="1" applyAlignment="1">
      <alignment wrapText="1"/>
    </xf>
    <xf numFmtId="9" fontId="62" fillId="24" borderId="25" xfId="12" applyFont="1" applyFill="1" applyBorder="1" applyAlignment="1">
      <alignment horizontal="center" vertical="center"/>
    </xf>
    <xf numFmtId="171" fontId="62" fillId="2" borderId="9" xfId="0" applyNumberFormat="1" applyFont="1" applyFill="1" applyBorder="1" applyAlignment="1">
      <alignment wrapText="1"/>
    </xf>
    <xf numFmtId="9" fontId="62" fillId="24" borderId="11" xfId="12" applyFont="1" applyFill="1" applyBorder="1" applyAlignment="1">
      <alignment horizontal="center" vertical="center"/>
    </xf>
    <xf numFmtId="164" fontId="57" fillId="0" borderId="98" xfId="2" applyNumberFormat="1" applyFont="1" applyBorder="1"/>
    <xf numFmtId="9" fontId="57" fillId="0" borderId="98" xfId="12" applyFont="1" applyBorder="1" applyAlignment="1">
      <alignment horizontal="center" vertical="center"/>
    </xf>
    <xf numFmtId="1" fontId="0" fillId="0" borderId="0" xfId="0" applyNumberFormat="1" applyAlignment="1">
      <alignment vertical="center"/>
    </xf>
    <xf numFmtId="2" fontId="30" fillId="0" borderId="7" xfId="0" applyNumberFormat="1" applyFont="1" applyBorder="1" applyAlignment="1">
      <alignment horizontal="center" vertical="center"/>
    </xf>
    <xf numFmtId="2" fontId="30" fillId="0" borderId="12" xfId="0" applyNumberFormat="1" applyFont="1" applyBorder="1" applyAlignment="1">
      <alignment horizontal="center" vertical="center"/>
    </xf>
    <xf numFmtId="0" fontId="30" fillId="0" borderId="7" xfId="0" applyFont="1" applyBorder="1" applyAlignment="1">
      <alignment horizontal="center" vertical="center" wrapText="1"/>
    </xf>
    <xf numFmtId="0" fontId="53" fillId="0" borderId="0" xfId="0" applyFont="1" applyAlignment="1">
      <alignment vertical="center"/>
    </xf>
    <xf numFmtId="9" fontId="30" fillId="0" borderId="0" xfId="12" applyFont="1"/>
    <xf numFmtId="1" fontId="0" fillId="0" borderId="7" xfId="0" applyNumberFormat="1" applyBorder="1" applyAlignment="1">
      <alignment horizontal="center" vertical="center"/>
    </xf>
    <xf numFmtId="0" fontId="40" fillId="0" borderId="7" xfId="0" applyFont="1" applyBorder="1" applyAlignment="1">
      <alignment vertical="center"/>
    </xf>
    <xf numFmtId="43" fontId="0" fillId="0" borderId="7" xfId="0" applyNumberFormat="1" applyBorder="1" applyAlignment="1">
      <alignment vertical="center"/>
    </xf>
    <xf numFmtId="0" fontId="0" fillId="0" borderId="0" xfId="0" applyAlignment="1">
      <alignment horizontal="left" vertical="center" wrapText="1"/>
    </xf>
    <xf numFmtId="0" fontId="0" fillId="0" borderId="0" xfId="0" applyAlignment="1">
      <alignment horizontal="left" vertical="top" wrapText="1"/>
    </xf>
    <xf numFmtId="164" fontId="0" fillId="0" borderId="0" xfId="2" applyNumberFormat="1" applyFont="1" applyAlignment="1">
      <alignment horizontal="center" vertical="center"/>
    </xf>
    <xf numFmtId="164" fontId="0" fillId="0" borderId="0" xfId="2" applyNumberFormat="1" applyFont="1" applyAlignment="1">
      <alignment horizontal="center"/>
    </xf>
    <xf numFmtId="1" fontId="0" fillId="0" borderId="7" xfId="0" applyNumberFormat="1" applyBorder="1"/>
    <xf numFmtId="0" fontId="39" fillId="6" borderId="99" xfId="0" applyFont="1" applyFill="1" applyBorder="1" applyAlignment="1">
      <alignment horizontal="center"/>
    </xf>
    <xf numFmtId="0" fontId="39" fillId="6" borderId="40" xfId="0" applyFont="1" applyFill="1" applyBorder="1" applyAlignment="1">
      <alignment horizontal="center"/>
    </xf>
    <xf numFmtId="0" fontId="39" fillId="6" borderId="42" xfId="0" applyFont="1" applyFill="1" applyBorder="1" applyAlignment="1">
      <alignment horizontal="center"/>
    </xf>
    <xf numFmtId="0" fontId="40" fillId="0" borderId="0" xfId="0" applyFont="1" applyAlignment="1">
      <alignment vertical="center"/>
    </xf>
    <xf numFmtId="0" fontId="0" fillId="0" borderId="0" xfId="0" quotePrefix="1" applyAlignment="1">
      <alignment horizontal="left" vertical="center"/>
    </xf>
    <xf numFmtId="1" fontId="0" fillId="0" borderId="7" xfId="2" applyNumberFormat="1" applyFont="1" applyBorder="1" applyAlignment="1">
      <alignment horizontal="center" vertical="center" wrapText="1"/>
    </xf>
    <xf numFmtId="0" fontId="72" fillId="0" borderId="0" xfId="0" applyFont="1" applyAlignment="1">
      <alignment horizontal="left" vertical="top"/>
    </xf>
    <xf numFmtId="0" fontId="40" fillId="0" borderId="7" xfId="0" applyFont="1" applyBorder="1" applyAlignment="1">
      <alignment horizontal="center"/>
    </xf>
    <xf numFmtId="0" fontId="27" fillId="0" borderId="7" xfId="0" applyFont="1" applyBorder="1" applyAlignment="1">
      <alignment vertical="center"/>
    </xf>
    <xf numFmtId="165" fontId="0" fillId="0" borderId="7" xfId="0" applyNumberFormat="1" applyBorder="1"/>
    <xf numFmtId="0" fontId="27" fillId="0" borderId="7" xfId="0" applyFont="1" applyBorder="1" applyAlignment="1">
      <alignment horizontal="left" vertical="center" wrapText="1"/>
    </xf>
    <xf numFmtId="1" fontId="27" fillId="0" borderId="7" xfId="0" applyNumberFormat="1" applyFont="1" applyBorder="1" applyAlignment="1">
      <alignment horizontal="center" vertical="center" wrapText="1"/>
    </xf>
    <xf numFmtId="1" fontId="24" fillId="0" borderId="7" xfId="0" applyNumberFormat="1" applyFont="1" applyBorder="1" applyAlignment="1">
      <alignment horizontal="center" vertical="center"/>
    </xf>
    <xf numFmtId="174" fontId="24" fillId="0" borderId="7" xfId="0" applyNumberFormat="1" applyFont="1" applyBorder="1" applyAlignment="1">
      <alignment vertical="center"/>
    </xf>
    <xf numFmtId="0" fontId="27" fillId="0" borderId="47" xfId="0" applyFont="1" applyBorder="1" applyAlignment="1">
      <alignment horizontal="left" vertical="center"/>
    </xf>
    <xf numFmtId="1" fontId="27" fillId="0" borderId="47" xfId="0" applyNumberFormat="1" applyFont="1" applyBorder="1" applyAlignment="1">
      <alignment horizontal="center" vertical="center" wrapText="1"/>
    </xf>
    <xf numFmtId="0" fontId="24" fillId="0" borderId="7" xfId="0" applyFont="1" applyBorder="1" applyAlignment="1">
      <alignment horizontal="center" vertical="center"/>
    </xf>
    <xf numFmtId="0" fontId="0" fillId="0" borderId="52" xfId="0" applyBorder="1" applyAlignment="1">
      <alignment vertical="center" wrapText="1"/>
    </xf>
    <xf numFmtId="0" fontId="29" fillId="0" borderId="7" xfId="0" applyFont="1" applyBorder="1" applyAlignment="1">
      <alignment horizontal="center" vertical="center" wrapText="1"/>
    </xf>
    <xf numFmtId="0" fontId="24" fillId="0" borderId="7" xfId="0" applyFont="1" applyBorder="1" applyAlignment="1">
      <alignment vertical="center" wrapText="1"/>
    </xf>
    <xf numFmtId="43" fontId="27" fillId="0" borderId="7" xfId="2" applyFont="1" applyBorder="1" applyAlignment="1">
      <alignment vertical="center" wrapText="1"/>
    </xf>
    <xf numFmtId="0" fontId="28" fillId="0" borderId="0" xfId="0" applyFont="1" applyAlignment="1">
      <alignment horizontal="left" vertical="center"/>
    </xf>
    <xf numFmtId="0" fontId="29" fillId="0" borderId="12" xfId="0" applyFont="1" applyBorder="1" applyAlignment="1">
      <alignment vertical="center"/>
    </xf>
    <xf numFmtId="0" fontId="41" fillId="0" borderId="7" xfId="0" applyFont="1" applyBorder="1" applyAlignment="1">
      <alignment horizontal="left" vertical="center"/>
    </xf>
    <xf numFmtId="0" fontId="41" fillId="0" borderId="7" xfId="0" applyFont="1" applyBorder="1" applyAlignment="1">
      <alignment horizontal="left" vertical="center" wrapText="1"/>
    </xf>
    <xf numFmtId="0" fontId="24" fillId="0" borderId="7" xfId="0" applyFont="1" applyBorder="1" applyAlignment="1">
      <alignment horizontal="left" vertical="center" wrapText="1"/>
    </xf>
    <xf numFmtId="0" fontId="24" fillId="0" borderId="7" xfId="0" quotePrefix="1" applyFont="1" applyBorder="1" applyAlignment="1">
      <alignment vertical="top" wrapText="1"/>
    </xf>
    <xf numFmtId="0" fontId="26" fillId="0" borderId="7" xfId="0" applyFont="1" applyBorder="1" applyAlignment="1">
      <alignment horizontal="left" vertical="center" wrapText="1"/>
    </xf>
    <xf numFmtId="0" fontId="0" fillId="0" borderId="7" xfId="0" applyBorder="1" applyAlignment="1">
      <alignment horizontal="right" vertical="center"/>
    </xf>
    <xf numFmtId="0" fontId="0" fillId="0" borderId="109" xfId="0" applyBorder="1"/>
    <xf numFmtId="0" fontId="24" fillId="0" borderId="7" xfId="0" applyFont="1" applyBorder="1" applyAlignment="1">
      <alignment horizontal="left" vertical="center"/>
    </xf>
    <xf numFmtId="0" fontId="41" fillId="0" borderId="0" xfId="0" quotePrefix="1" applyFont="1"/>
    <xf numFmtId="1" fontId="0" fillId="0" borderId="7" xfId="0" applyNumberFormat="1" applyBorder="1" applyAlignment="1">
      <alignment horizontal="left" vertical="center"/>
    </xf>
    <xf numFmtId="0" fontId="44" fillId="0" borderId="7" xfId="0" quotePrefix="1" applyFont="1" applyBorder="1" applyAlignment="1">
      <alignment vertical="center" wrapText="1"/>
    </xf>
    <xf numFmtId="165" fontId="40" fillId="0" borderId="7" xfId="0" applyNumberFormat="1" applyFont="1" applyBorder="1" applyAlignment="1">
      <alignment horizontal="center" vertical="center"/>
    </xf>
    <xf numFmtId="0" fontId="39" fillId="6" borderId="40" xfId="0" applyFont="1" applyFill="1" applyBorder="1" applyAlignment="1">
      <alignment horizontal="center" vertical="center"/>
    </xf>
    <xf numFmtId="0" fontId="39" fillId="6" borderId="42" xfId="0" applyFont="1" applyFill="1" applyBorder="1" applyAlignment="1">
      <alignment horizontal="center" vertical="center"/>
    </xf>
    <xf numFmtId="0" fontId="25" fillId="0" borderId="7" xfId="0" applyFont="1" applyBorder="1" applyAlignment="1">
      <alignment horizontal="center" vertical="center"/>
    </xf>
    <xf numFmtId="2" fontId="30" fillId="0" borderId="0" xfId="0" applyNumberFormat="1" applyFont="1" applyAlignment="1">
      <alignment horizontal="center" vertical="center"/>
    </xf>
    <xf numFmtId="171" fontId="30" fillId="0" borderId="7" xfId="0" applyNumberFormat="1" applyFont="1" applyBorder="1" applyAlignment="1">
      <alignment horizontal="center" vertical="center"/>
    </xf>
    <xf numFmtId="164" fontId="0" fillId="0" borderId="0" xfId="2" applyNumberFormat="1" applyFont="1" applyAlignment="1">
      <alignment vertical="center"/>
    </xf>
    <xf numFmtId="164" fontId="0" fillId="0" borderId="0" xfId="0" applyNumberFormat="1" applyAlignment="1">
      <alignment vertical="center"/>
    </xf>
    <xf numFmtId="0" fontId="32" fillId="3" borderId="18" xfId="0" applyFont="1" applyFill="1" applyBorder="1" applyAlignment="1">
      <alignment horizontal="center" vertical="center"/>
    </xf>
    <xf numFmtId="0" fontId="32" fillId="3" borderId="19" xfId="0" applyFont="1" applyFill="1" applyBorder="1" applyAlignment="1">
      <alignment horizontal="center" vertical="center"/>
    </xf>
    <xf numFmtId="0" fontId="32" fillId="3" borderId="20" xfId="0" applyFont="1" applyFill="1" applyBorder="1" applyAlignment="1">
      <alignment horizontal="center" vertical="center"/>
    </xf>
    <xf numFmtId="0" fontId="30" fillId="0" borderId="24" xfId="0" applyFont="1" applyBorder="1" applyAlignment="1">
      <alignment vertical="center"/>
    </xf>
    <xf numFmtId="0" fontId="30" fillId="0" borderId="25" xfId="0" applyFont="1" applyBorder="1" applyAlignment="1">
      <alignment horizontal="center" vertical="center" wrapText="1"/>
    </xf>
    <xf numFmtId="0" fontId="30" fillId="0" borderId="25" xfId="0" applyFont="1" applyBorder="1" applyAlignment="1">
      <alignment vertical="center"/>
    </xf>
    <xf numFmtId="2" fontId="30" fillId="0" borderId="24" xfId="0" applyNumberFormat="1" applyFont="1" applyBorder="1" applyAlignment="1">
      <alignment horizontal="left" vertical="center" wrapText="1"/>
    </xf>
    <xf numFmtId="0" fontId="30" fillId="0" borderId="9" xfId="0" applyFont="1" applyBorder="1" applyAlignment="1">
      <alignment vertical="center"/>
    </xf>
    <xf numFmtId="171" fontId="30" fillId="0" borderId="10" xfId="0" applyNumberFormat="1" applyFont="1" applyBorder="1" applyAlignment="1">
      <alignment horizontal="center" vertical="center"/>
    </xf>
    <xf numFmtId="0" fontId="30" fillId="0" borderId="10" xfId="0" applyFont="1" applyBorder="1" applyAlignment="1">
      <alignment vertical="center"/>
    </xf>
    <xf numFmtId="0" fontId="40" fillId="0" borderId="0" xfId="0" applyFont="1" applyAlignment="1">
      <alignment horizontal="center" vertical="center" wrapText="1"/>
    </xf>
    <xf numFmtId="0" fontId="45" fillId="0" borderId="0" xfId="0" applyFont="1" applyAlignment="1">
      <alignment vertical="center" wrapText="1"/>
    </xf>
    <xf numFmtId="173" fontId="40" fillId="0" borderId="0" xfId="12" applyNumberFormat="1" applyFont="1" applyAlignment="1">
      <alignment vertical="center"/>
    </xf>
    <xf numFmtId="0" fontId="29" fillId="0" borderId="0" xfId="0" applyFont="1" applyAlignment="1">
      <alignment vertical="center"/>
    </xf>
    <xf numFmtId="9" fontId="40" fillId="0" borderId="17" xfId="12" applyFont="1" applyBorder="1"/>
    <xf numFmtId="164" fontId="30" fillId="0" borderId="0" xfId="0" applyNumberFormat="1" applyFont="1"/>
    <xf numFmtId="43" fontId="30" fillId="0" borderId="0" xfId="2" applyFont="1"/>
    <xf numFmtId="0" fontId="66" fillId="27" borderId="7" xfId="5" applyFont="1" applyFill="1" applyBorder="1" applyAlignment="1">
      <alignment horizontal="center" vertical="center"/>
    </xf>
    <xf numFmtId="0" fontId="36" fillId="27" borderId="7" xfId="0" applyFont="1" applyFill="1" applyBorder="1" applyAlignment="1">
      <alignment horizontal="center" vertical="center"/>
    </xf>
    <xf numFmtId="0" fontId="57" fillId="27" borderId="7" xfId="5" applyFont="1" applyFill="1" applyBorder="1" applyAlignment="1">
      <alignment vertical="center"/>
    </xf>
    <xf numFmtId="0" fontId="62" fillId="0" borderId="7" xfId="5" applyFont="1" applyBorder="1" applyAlignment="1">
      <alignment horizontal="center" vertical="center"/>
    </xf>
    <xf numFmtId="0" fontId="30" fillId="0" borderId="7" xfId="0" quotePrefix="1" applyFont="1" applyBorder="1" applyAlignment="1">
      <alignment vertical="top" wrapText="1"/>
    </xf>
    <xf numFmtId="0" fontId="30" fillId="0" borderId="7" xfId="0" applyFont="1" applyBorder="1" applyAlignment="1">
      <alignment vertical="top"/>
    </xf>
    <xf numFmtId="0" fontId="57" fillId="27" borderId="7" xfId="5" applyFont="1" applyFill="1" applyBorder="1" applyAlignment="1">
      <alignment horizontal="left" vertical="center"/>
    </xf>
    <xf numFmtId="0" fontId="66" fillId="0" borderId="7" xfId="5" applyFont="1" applyBorder="1" applyAlignment="1">
      <alignment vertical="center"/>
    </xf>
    <xf numFmtId="0" fontId="66" fillId="0" borderId="7" xfId="5" applyFont="1" applyBorder="1" applyAlignment="1">
      <alignment horizontal="center" vertical="center"/>
    </xf>
    <xf numFmtId="9" fontId="40" fillId="0" borderId="0" xfId="12" applyFont="1" applyAlignment="1">
      <alignment vertical="center"/>
    </xf>
    <xf numFmtId="0" fontId="37" fillId="0" borderId="7" xfId="0" applyFont="1" applyBorder="1" applyAlignment="1">
      <alignment horizontal="left" vertical="center" wrapText="1"/>
    </xf>
    <xf numFmtId="43" fontId="40" fillId="0" borderId="7" xfId="0" applyNumberFormat="1" applyFont="1" applyBorder="1" applyAlignment="1">
      <alignment horizontal="center" vertical="center"/>
    </xf>
    <xf numFmtId="0" fontId="30" fillId="0" borderId="57" xfId="0" applyFont="1" applyBorder="1" applyAlignment="1">
      <alignment horizontal="left" vertical="center" wrapText="1"/>
    </xf>
    <xf numFmtId="0" fontId="30" fillId="0" borderId="17" xfId="0" applyFont="1" applyBorder="1" applyAlignment="1">
      <alignment horizontal="left" vertical="center" wrapText="1"/>
    </xf>
    <xf numFmtId="0" fontId="36" fillId="14" borderId="54" xfId="0" applyFont="1" applyFill="1" applyBorder="1" applyAlignment="1">
      <alignment horizontal="left" vertical="center" wrapText="1"/>
    </xf>
    <xf numFmtId="0" fontId="30" fillId="0" borderId="55" xfId="0" applyFont="1" applyBorder="1" applyAlignment="1">
      <alignment horizontal="left" vertical="center" wrapText="1"/>
    </xf>
    <xf numFmtId="0" fontId="30" fillId="0" borderId="39" xfId="0" applyFont="1" applyBorder="1" applyAlignment="1">
      <alignment horizontal="left" vertical="center" wrapText="1"/>
    </xf>
    <xf numFmtId="0" fontId="30" fillId="0" borderId="56" xfId="0" applyFont="1" applyBorder="1" applyAlignment="1">
      <alignment horizontal="left" vertical="center" wrapText="1"/>
    </xf>
    <xf numFmtId="0" fontId="30" fillId="0" borderId="45" xfId="0" applyFont="1" applyBorder="1" applyAlignment="1">
      <alignment horizontal="left" vertical="center" wrapText="1"/>
    </xf>
    <xf numFmtId="164" fontId="40" fillId="0" borderId="7" xfId="2" applyNumberFormat="1" applyFont="1" applyFill="1" applyBorder="1" applyAlignment="1">
      <alignment vertical="center"/>
    </xf>
    <xf numFmtId="0" fontId="20" fillId="0" borderId="0" xfId="0" applyFont="1" applyAlignment="1">
      <alignment vertical="center"/>
    </xf>
    <xf numFmtId="0" fontId="20" fillId="0" borderId="7" xfId="0" applyFont="1" applyBorder="1" applyAlignment="1">
      <alignment vertical="center"/>
    </xf>
    <xf numFmtId="164" fontId="30" fillId="0" borderId="7" xfId="2" applyNumberFormat="1" applyFont="1" applyBorder="1" applyAlignment="1">
      <alignment vertical="center" wrapText="1"/>
    </xf>
    <xf numFmtId="0" fontId="37" fillId="0" borderId="7" xfId="0" applyFont="1" applyBorder="1" applyAlignment="1">
      <alignment vertical="center" wrapText="1"/>
    </xf>
    <xf numFmtId="164" fontId="37" fillId="0" borderId="7" xfId="2" applyNumberFormat="1" applyFont="1" applyBorder="1" applyAlignment="1">
      <alignment vertical="center" wrapText="1"/>
    </xf>
    <xf numFmtId="0" fontId="30" fillId="0" borderId="12" xfId="0" applyFont="1" applyBorder="1" applyAlignment="1">
      <alignment horizontal="left" vertical="center" wrapText="1"/>
    </xf>
    <xf numFmtId="164" fontId="30" fillId="0" borderId="7" xfId="0" applyNumberFormat="1" applyFont="1" applyBorder="1" applyAlignment="1">
      <alignment vertical="center"/>
    </xf>
    <xf numFmtId="0" fontId="43" fillId="0" borderId="1" xfId="0" applyFont="1" applyBorder="1" applyAlignment="1">
      <alignment vertical="center" wrapText="1"/>
    </xf>
    <xf numFmtId="164" fontId="43" fillId="0" borderId="2" xfId="2" applyNumberFormat="1" applyFont="1" applyFill="1" applyBorder="1" applyAlignment="1">
      <alignment vertical="center"/>
    </xf>
    <xf numFmtId="0" fontId="43" fillId="0" borderId="3" xfId="0" applyFont="1" applyBorder="1" applyAlignment="1">
      <alignment vertical="center"/>
    </xf>
    <xf numFmtId="0" fontId="75" fillId="0" borderId="0" xfId="0" applyFont="1" applyAlignment="1">
      <alignment vertical="center"/>
    </xf>
    <xf numFmtId="0" fontId="51" fillId="43" borderId="7" xfId="0" applyFont="1" applyFill="1" applyBorder="1" applyAlignment="1">
      <alignment horizontal="center" vertical="center"/>
    </xf>
    <xf numFmtId="0" fontId="32" fillId="6" borderId="99" xfId="0" applyFont="1" applyFill="1" applyBorder="1" applyAlignment="1">
      <alignment horizontal="center" vertical="center"/>
    </xf>
    <xf numFmtId="0" fontId="32" fillId="6" borderId="42" xfId="0"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horizontal="left" vertical="center" wrapText="1"/>
    </xf>
    <xf numFmtId="0" fontId="76" fillId="0" borderId="0" xfId="0" applyFont="1" applyAlignment="1">
      <alignment vertical="center"/>
    </xf>
    <xf numFmtId="0" fontId="77" fillId="0" borderId="0" xfId="0" applyFont="1" applyAlignment="1">
      <alignment vertical="center"/>
    </xf>
    <xf numFmtId="0" fontId="78" fillId="0" borderId="0" xfId="0" applyFont="1" applyAlignment="1">
      <alignment vertical="center"/>
    </xf>
    <xf numFmtId="0" fontId="78" fillId="0" borderId="0" xfId="0" applyFont="1" applyAlignment="1">
      <alignment horizontal="left" vertical="center"/>
    </xf>
    <xf numFmtId="0" fontId="36" fillId="0" borderId="0" xfId="0" applyFont="1" applyAlignment="1">
      <alignment vertical="center"/>
    </xf>
    <xf numFmtId="1" fontId="30" fillId="0" borderId="7" xfId="0" applyNumberFormat="1" applyFont="1" applyBorder="1" applyAlignment="1">
      <alignment horizontal="center" vertical="center"/>
    </xf>
    <xf numFmtId="1" fontId="30" fillId="0" borderId="7" xfId="2" applyNumberFormat="1" applyFont="1" applyBorder="1" applyAlignment="1">
      <alignment horizontal="center" vertical="center"/>
    </xf>
    <xf numFmtId="0" fontId="37" fillId="0" borderId="7" xfId="0" applyFont="1" applyBorder="1" applyAlignment="1">
      <alignment horizontal="right" vertical="center"/>
    </xf>
    <xf numFmtId="1" fontId="37" fillId="0" borderId="7" xfId="2" applyNumberFormat="1" applyFont="1" applyBorder="1" applyAlignment="1">
      <alignment horizontal="center" vertical="center"/>
    </xf>
    <xf numFmtId="0" fontId="37" fillId="0" borderId="7" xfId="0" applyFont="1" applyBorder="1" applyAlignment="1">
      <alignment horizontal="right" vertical="center" wrapText="1"/>
    </xf>
    <xf numFmtId="0" fontId="36" fillId="43" borderId="7" xfId="0" applyFont="1" applyFill="1" applyBorder="1" applyAlignment="1">
      <alignment horizontal="center" vertical="center"/>
    </xf>
    <xf numFmtId="2" fontId="36" fillId="0" borderId="7" xfId="0" applyNumberFormat="1" applyFont="1" applyBorder="1" applyAlignment="1">
      <alignment horizontal="center" vertical="center"/>
    </xf>
    <xf numFmtId="0" fontId="36" fillId="0" borderId="7" xfId="0" applyFont="1" applyBorder="1" applyAlignment="1">
      <alignment horizontal="left" vertical="center" wrapText="1"/>
    </xf>
    <xf numFmtId="0" fontId="36" fillId="0" borderId="0" xfId="0" applyFont="1" applyAlignment="1">
      <alignment horizontal="center" vertical="center"/>
    </xf>
    <xf numFmtId="43" fontId="36" fillId="0" borderId="0" xfId="2" applyFont="1" applyAlignment="1">
      <alignment vertical="center"/>
    </xf>
    <xf numFmtId="0" fontId="79" fillId="0" borderId="0" xfId="0" applyFont="1" applyAlignment="1">
      <alignment horizontal="left" vertical="center"/>
    </xf>
    <xf numFmtId="0" fontId="80" fillId="0" borderId="0" xfId="0" applyFont="1" applyAlignment="1">
      <alignment vertical="center"/>
    </xf>
    <xf numFmtId="0" fontId="81" fillId="0" borderId="0" xfId="0" applyFont="1" applyAlignment="1">
      <alignment vertical="center"/>
    </xf>
    <xf numFmtId="0" fontId="36" fillId="42" borderId="7" xfId="0" applyFont="1" applyFill="1" applyBorder="1" applyAlignment="1">
      <alignment horizontal="center" vertical="center"/>
    </xf>
    <xf numFmtId="0" fontId="82" fillId="0" borderId="0" xfId="0" applyFont="1" applyAlignment="1">
      <alignment vertical="center"/>
    </xf>
    <xf numFmtId="164" fontId="30" fillId="0" borderId="7" xfId="0" applyNumberFormat="1" applyFont="1" applyBorder="1" applyAlignment="1">
      <alignment horizontal="right" vertical="center"/>
    </xf>
    <xf numFmtId="0" fontId="30" fillId="0" borderId="7" xfId="0" quotePrefix="1" applyFont="1" applyBorder="1" applyAlignment="1">
      <alignment horizontal="left" vertical="top" wrapText="1"/>
    </xf>
    <xf numFmtId="164" fontId="30" fillId="0" borderId="0" xfId="0" applyNumberFormat="1" applyFont="1" applyAlignment="1">
      <alignment vertical="center"/>
    </xf>
    <xf numFmtId="0" fontId="30" fillId="0" borderId="7" xfId="0" applyFont="1" applyBorder="1" applyAlignment="1">
      <alignment horizontal="right" vertical="center"/>
    </xf>
    <xf numFmtId="0" fontId="83" fillId="0" borderId="0" xfId="0" applyFont="1" applyAlignment="1">
      <alignment vertical="center"/>
    </xf>
    <xf numFmtId="166" fontId="36" fillId="0" borderId="7" xfId="0" applyNumberFormat="1" applyFont="1" applyBorder="1" applyAlignment="1">
      <alignment vertical="center"/>
    </xf>
    <xf numFmtId="164" fontId="36" fillId="0" borderId="0" xfId="2" applyNumberFormat="1" applyFont="1" applyAlignment="1">
      <alignment horizontal="center" vertical="center"/>
    </xf>
    <xf numFmtId="0" fontId="36" fillId="45" borderId="7" xfId="0" applyFont="1" applyFill="1" applyBorder="1" applyAlignment="1">
      <alignment horizontal="center" vertical="center"/>
    </xf>
    <xf numFmtId="164" fontId="36" fillId="0" borderId="7" xfId="0" applyNumberFormat="1" applyFont="1" applyBorder="1" applyAlignment="1">
      <alignment vertical="center"/>
    </xf>
    <xf numFmtId="3" fontId="30" fillId="0" borderId="0" xfId="0" applyNumberFormat="1" applyFont="1" applyAlignment="1">
      <alignment vertical="center"/>
    </xf>
    <xf numFmtId="168" fontId="30" fillId="0" borderId="0" xfId="0" applyNumberFormat="1" applyFont="1" applyAlignment="1">
      <alignment vertical="center"/>
    </xf>
    <xf numFmtId="1" fontId="30" fillId="0" borderId="7" xfId="0" applyNumberFormat="1" applyFont="1" applyBorder="1" applyAlignment="1">
      <alignment horizontal="right" vertical="center"/>
    </xf>
    <xf numFmtId="166" fontId="30" fillId="0" borderId="7" xfId="0" applyNumberFormat="1" applyFont="1" applyBorder="1" applyAlignment="1">
      <alignment vertical="center"/>
    </xf>
    <xf numFmtId="0" fontId="84" fillId="0" borderId="7" xfId="0" applyFont="1" applyBorder="1" applyAlignment="1">
      <alignment vertical="center"/>
    </xf>
    <xf numFmtId="0" fontId="85" fillId="0" borderId="7" xfId="0" applyFont="1" applyBorder="1" applyAlignment="1">
      <alignment vertical="center"/>
    </xf>
    <xf numFmtId="0" fontId="84" fillId="0" borderId="7" xfId="0" applyFont="1" applyBorder="1" applyAlignment="1">
      <alignment vertical="center" wrapText="1"/>
    </xf>
    <xf numFmtId="172" fontId="85" fillId="0" borderId="7" xfId="0" applyNumberFormat="1" applyFont="1" applyBorder="1" applyAlignment="1">
      <alignment vertical="center"/>
    </xf>
    <xf numFmtId="0" fontId="85" fillId="0" borderId="7" xfId="0" applyFont="1" applyBorder="1" applyAlignment="1">
      <alignment vertical="center" wrapText="1"/>
    </xf>
    <xf numFmtId="2" fontId="30" fillId="0" borderId="0" xfId="0" applyNumberFormat="1" applyFont="1" applyAlignment="1">
      <alignment vertical="center"/>
    </xf>
    <xf numFmtId="2" fontId="30" fillId="0" borderId="7" xfId="0" applyNumberFormat="1" applyFont="1" applyBorder="1" applyAlignment="1">
      <alignment vertical="center"/>
    </xf>
    <xf numFmtId="0" fontId="86" fillId="0" borderId="0" xfId="0" applyFont="1" applyAlignment="1">
      <alignment vertical="center"/>
    </xf>
    <xf numFmtId="0" fontId="30" fillId="0" borderId="0" xfId="0" applyFont="1" applyAlignment="1">
      <alignment horizontal="center" vertical="center" wrapText="1"/>
    </xf>
    <xf numFmtId="1" fontId="30" fillId="0" borderId="12" xfId="2" applyNumberFormat="1" applyFont="1" applyBorder="1" applyAlignment="1">
      <alignment horizontal="center" vertical="center"/>
    </xf>
    <xf numFmtId="0" fontId="30" fillId="0" borderId="0" xfId="0" quotePrefix="1" applyFont="1" applyAlignment="1">
      <alignment horizontal="center" vertical="center"/>
    </xf>
    <xf numFmtId="9" fontId="30" fillId="0" borderId="12" xfId="12" applyFont="1" applyBorder="1" applyAlignment="1">
      <alignment horizontal="center" vertical="center"/>
    </xf>
    <xf numFmtId="9" fontId="30" fillId="0" borderId="7" xfId="12" applyFont="1" applyBorder="1" applyAlignment="1">
      <alignment horizontal="center" vertical="center"/>
    </xf>
    <xf numFmtId="0" fontId="36" fillId="0" borderId="41" xfId="0" applyFont="1" applyBorder="1" applyAlignment="1">
      <alignment vertical="center"/>
    </xf>
    <xf numFmtId="0" fontId="36" fillId="0" borderId="52" xfId="0" applyFont="1" applyBorder="1" applyAlignment="1">
      <alignment vertical="center"/>
    </xf>
    <xf numFmtId="43" fontId="30" fillId="0" borderId="0" xfId="2" applyFont="1" applyBorder="1" applyAlignment="1">
      <alignment horizontal="center" vertical="center"/>
    </xf>
    <xf numFmtId="43" fontId="36" fillId="0" borderId="0" xfId="2" applyFont="1" applyBorder="1" applyAlignment="1">
      <alignment horizontal="center" vertical="center"/>
    </xf>
    <xf numFmtId="0" fontId="30" fillId="0" borderId="0" xfId="0" applyFont="1" applyAlignment="1">
      <alignment wrapText="1"/>
    </xf>
    <xf numFmtId="0" fontId="36" fillId="0" borderId="0" xfId="0" applyFont="1" applyAlignment="1">
      <alignment horizontal="center" vertical="center" wrapText="1"/>
    </xf>
    <xf numFmtId="0" fontId="36" fillId="0" borderId="0" xfId="0" applyFont="1" applyAlignment="1">
      <alignment wrapText="1"/>
    </xf>
    <xf numFmtId="9" fontId="36" fillId="0" borderId="0" xfId="0" applyNumberFormat="1" applyFont="1" applyAlignment="1">
      <alignment vertical="center" wrapText="1"/>
    </xf>
    <xf numFmtId="43" fontId="36" fillId="0" borderId="0" xfId="0" applyNumberFormat="1" applyFont="1" applyAlignment="1">
      <alignment vertical="center" wrapText="1"/>
    </xf>
    <xf numFmtId="0" fontId="87" fillId="0" borderId="0" xfId="0" applyFont="1" applyAlignment="1">
      <alignment horizontal="left" vertical="center"/>
    </xf>
    <xf numFmtId="9" fontId="36" fillId="0" borderId="7" xfId="12" applyFont="1" applyBorder="1" applyAlignment="1">
      <alignment horizontal="center"/>
    </xf>
    <xf numFmtId="0" fontId="36" fillId="0" borderId="7" xfId="0" applyFont="1" applyBorder="1" applyAlignment="1">
      <alignment horizontal="center"/>
    </xf>
    <xf numFmtId="0" fontId="36" fillId="0" borderId="7" xfId="0" applyFont="1" applyBorder="1" applyAlignment="1">
      <alignment horizontal="center" wrapText="1"/>
    </xf>
    <xf numFmtId="164" fontId="30" fillId="41" borderId="7" xfId="2" applyNumberFormat="1" applyFont="1" applyFill="1" applyBorder="1"/>
    <xf numFmtId="43" fontId="30" fillId="41" borderId="7" xfId="2" applyFont="1" applyFill="1" applyBorder="1"/>
    <xf numFmtId="9" fontId="36" fillId="0" borderId="7" xfId="12" applyFont="1" applyBorder="1" applyAlignment="1">
      <alignment horizontal="center" vertical="center"/>
    </xf>
    <xf numFmtId="164" fontId="36" fillId="41" borderId="7" xfId="2" applyNumberFormat="1" applyFont="1" applyFill="1" applyBorder="1" applyAlignment="1">
      <alignment vertical="center"/>
    </xf>
    <xf numFmtId="43" fontId="36" fillId="41" borderId="7" xfId="12" applyNumberFormat="1" applyFont="1" applyFill="1" applyBorder="1" applyAlignment="1">
      <alignment vertical="center"/>
    </xf>
    <xf numFmtId="0" fontId="30" fillId="0" borderId="47" xfId="0" applyFont="1" applyBorder="1" applyAlignment="1">
      <alignment horizontal="center" vertical="center"/>
    </xf>
    <xf numFmtId="0" fontId="30" fillId="0" borderId="7" xfId="0" quotePrefix="1" applyFont="1" applyBorder="1" applyAlignment="1">
      <alignment horizontal="center" vertical="center"/>
    </xf>
    <xf numFmtId="43" fontId="30" fillId="0" borderId="7" xfId="2" applyFont="1" applyBorder="1" applyAlignment="1">
      <alignment horizontal="center" vertical="center"/>
    </xf>
    <xf numFmtId="43" fontId="36" fillId="0" borderId="7" xfId="2" applyFont="1" applyBorder="1" applyAlignment="1">
      <alignment horizontal="center" vertical="center"/>
    </xf>
    <xf numFmtId="0" fontId="30" fillId="0" borderId="7" xfId="0" applyFont="1" applyBorder="1" applyAlignment="1">
      <alignment wrapText="1"/>
    </xf>
    <xf numFmtId="9" fontId="30" fillId="0" borderId="7" xfId="0" applyNumberFormat="1" applyFont="1" applyBorder="1" applyAlignment="1">
      <alignment vertical="center" wrapText="1"/>
    </xf>
    <xf numFmtId="43" fontId="30" fillId="0" borderId="7" xfId="0" applyNumberFormat="1" applyFont="1" applyBorder="1" applyAlignment="1">
      <alignment vertical="center" wrapText="1"/>
    </xf>
    <xf numFmtId="9" fontId="30" fillId="0" borderId="7" xfId="0" applyNumberFormat="1" applyFont="1" applyBorder="1" applyAlignment="1">
      <alignment wrapText="1"/>
    </xf>
    <xf numFmtId="168" fontId="30" fillId="0" borderId="7" xfId="0" applyNumberFormat="1" applyFont="1" applyBorder="1" applyAlignment="1">
      <alignment horizontal="center" vertical="center" wrapText="1"/>
    </xf>
    <xf numFmtId="0" fontId="36" fillId="0" borderId="7" xfId="0" applyFont="1" applyBorder="1" applyAlignment="1">
      <alignment wrapText="1"/>
    </xf>
    <xf numFmtId="9" fontId="36" fillId="0" borderId="7" xfId="0" applyNumberFormat="1" applyFont="1" applyBorder="1" applyAlignment="1">
      <alignment vertical="center" wrapText="1"/>
    </xf>
    <xf numFmtId="43" fontId="36" fillId="0" borderId="7" xfId="0" applyNumberFormat="1" applyFont="1" applyBorder="1" applyAlignment="1">
      <alignment vertical="center" wrapText="1"/>
    </xf>
    <xf numFmtId="0" fontId="85" fillId="0" borderId="0" xfId="0" applyFont="1" applyAlignment="1">
      <alignment vertical="center"/>
    </xf>
    <xf numFmtId="173" fontId="30" fillId="0" borderId="7" xfId="12" applyNumberFormat="1" applyFont="1" applyBorder="1" applyAlignment="1">
      <alignment vertical="center"/>
    </xf>
    <xf numFmtId="0" fontId="88" fillId="27" borderId="58" xfId="5" applyFont="1" applyFill="1" applyBorder="1" applyAlignment="1">
      <alignment horizontal="center" vertical="center"/>
    </xf>
    <xf numFmtId="0" fontId="88" fillId="27" borderId="37" xfId="5" applyFont="1" applyFill="1" applyBorder="1" applyAlignment="1">
      <alignment vertical="center"/>
    </xf>
    <xf numFmtId="0" fontId="57" fillId="0" borderId="36" xfId="5" applyFont="1" applyBorder="1" applyAlignment="1">
      <alignment horizontal="center" vertical="center"/>
    </xf>
    <xf numFmtId="0" fontId="30" fillId="0" borderId="102" xfId="0" applyFont="1" applyBorder="1" applyAlignment="1">
      <alignment vertical="center"/>
    </xf>
    <xf numFmtId="0" fontId="88" fillId="27" borderId="6" xfId="5" applyFont="1" applyFill="1" applyBorder="1" applyAlignment="1">
      <alignment vertical="center"/>
    </xf>
    <xf numFmtId="0" fontId="57" fillId="0" borderId="40" xfId="5" applyFont="1" applyBorder="1" applyAlignment="1">
      <alignment horizontal="center" vertical="center"/>
    </xf>
    <xf numFmtId="173" fontId="36" fillId="0" borderId="0" xfId="0" applyNumberFormat="1" applyFont="1" applyAlignment="1">
      <alignment horizontal="center" vertical="center"/>
    </xf>
    <xf numFmtId="0" fontId="30" fillId="0" borderId="0" xfId="0" applyFont="1" applyAlignment="1">
      <alignment horizontal="left" vertical="center"/>
    </xf>
    <xf numFmtId="9" fontId="36" fillId="0" borderId="0" xfId="0" applyNumberFormat="1" applyFont="1" applyAlignment="1">
      <alignment horizontal="center" vertical="center"/>
    </xf>
    <xf numFmtId="9" fontId="36" fillId="0" borderId="0" xfId="0" applyNumberFormat="1" applyFont="1" applyAlignment="1">
      <alignment horizontal="left" vertical="center"/>
    </xf>
    <xf numFmtId="0" fontId="49" fillId="27" borderId="6" xfId="5" applyFont="1" applyFill="1" applyBorder="1" applyAlignment="1">
      <alignment vertical="center"/>
    </xf>
    <xf numFmtId="0" fontId="62" fillId="0" borderId="40" xfId="5" applyFont="1" applyBorder="1" applyAlignment="1">
      <alignment horizontal="center" vertical="center"/>
    </xf>
    <xf numFmtId="0" fontId="36" fillId="0" borderId="102" xfId="0" applyFont="1" applyBorder="1" applyAlignment="1">
      <alignment vertical="center"/>
    </xf>
    <xf numFmtId="0" fontId="36" fillId="0" borderId="103" xfId="0" applyFont="1" applyBorder="1" applyAlignment="1">
      <alignment vertical="center" wrapText="1"/>
    </xf>
    <xf numFmtId="9" fontId="30" fillId="0" borderId="7" xfId="12" applyFont="1" applyBorder="1" applyAlignment="1">
      <alignment vertical="center"/>
    </xf>
    <xf numFmtId="0" fontId="88" fillId="27" borderId="100" xfId="5" applyFont="1" applyFill="1" applyBorder="1" applyAlignment="1">
      <alignment vertical="center"/>
    </xf>
    <xf numFmtId="0" fontId="57" fillId="0" borderId="104" xfId="5" applyFont="1" applyBorder="1" applyAlignment="1">
      <alignment horizontal="center" vertical="center"/>
    </xf>
    <xf numFmtId="0" fontId="88" fillId="28" borderId="15" xfId="5" applyFont="1" applyFill="1" applyBorder="1" applyAlignment="1">
      <alignment vertical="center"/>
    </xf>
    <xf numFmtId="0" fontId="88" fillId="28" borderId="58" xfId="5" applyFont="1" applyFill="1" applyBorder="1" applyAlignment="1">
      <alignment horizontal="center" vertical="center"/>
    </xf>
    <xf numFmtId="9" fontId="36" fillId="0" borderId="0" xfId="12" applyFont="1" applyAlignment="1">
      <alignment vertical="center"/>
    </xf>
    <xf numFmtId="0" fontId="88" fillId="0" borderId="0" xfId="5" quotePrefix="1" applyFont="1" applyAlignment="1">
      <alignment vertical="center"/>
    </xf>
    <xf numFmtId="0" fontId="88" fillId="27" borderId="59" xfId="5" applyFont="1" applyFill="1" applyBorder="1" applyAlignment="1">
      <alignment horizontal="center" vertical="center"/>
    </xf>
    <xf numFmtId="0" fontId="62" fillId="0" borderId="36" xfId="5" applyFont="1" applyBorder="1" applyAlignment="1">
      <alignment horizontal="center" vertical="center"/>
    </xf>
    <xf numFmtId="0" fontId="88" fillId="27" borderId="6" xfId="5" applyFont="1" applyFill="1" applyBorder="1" applyAlignment="1">
      <alignment horizontal="left" vertical="center"/>
    </xf>
    <xf numFmtId="0" fontId="62" fillId="0" borderId="104" xfId="5" applyFont="1" applyBorder="1" applyAlignment="1">
      <alignment horizontal="center" vertical="center"/>
    </xf>
    <xf numFmtId="0" fontId="49" fillId="28" borderId="58" xfId="5" applyFont="1" applyFill="1" applyBorder="1" applyAlignment="1">
      <alignment horizontal="center" vertical="center"/>
    </xf>
    <xf numFmtId="1" fontId="30" fillId="0" borderId="7" xfId="0" applyNumberFormat="1" applyFont="1" applyBorder="1" applyAlignment="1">
      <alignment vertical="center"/>
    </xf>
    <xf numFmtId="9" fontId="37" fillId="0" borderId="7" xfId="0" applyNumberFormat="1" applyFont="1" applyBorder="1" applyAlignment="1">
      <alignment horizontal="right" vertical="center"/>
    </xf>
    <xf numFmtId="0" fontId="89" fillId="0" borderId="0" xfId="0" applyFont="1" applyAlignment="1">
      <alignment vertical="center"/>
    </xf>
    <xf numFmtId="0" fontId="84" fillId="0" borderId="7" xfId="0" applyFont="1" applyBorder="1" applyAlignment="1">
      <alignment horizontal="center" vertical="center" wrapText="1"/>
    </xf>
    <xf numFmtId="0" fontId="84" fillId="0" borderId="7" xfId="0" applyFont="1" applyBorder="1" applyAlignment="1">
      <alignment horizontal="center" vertical="center"/>
    </xf>
    <xf numFmtId="0" fontId="90" fillId="0" borderId="0" xfId="0" quotePrefix="1" applyFont="1" applyAlignment="1">
      <alignment vertical="center"/>
    </xf>
    <xf numFmtId="164" fontId="0" fillId="0" borderId="51" xfId="2" applyNumberFormat="1" applyFont="1" applyBorder="1"/>
    <xf numFmtId="164" fontId="0" fillId="0" borderId="0" xfId="2" applyNumberFormat="1" applyFont="1" applyBorder="1" applyAlignment="1">
      <alignment horizontal="center" vertical="center"/>
    </xf>
    <xf numFmtId="0" fontId="43" fillId="0" borderId="0" xfId="0" applyFont="1" applyAlignment="1">
      <alignment vertical="center" wrapText="1"/>
    </xf>
    <xf numFmtId="164" fontId="43" fillId="0" borderId="0" xfId="2" applyNumberFormat="1" applyFont="1" applyFill="1" applyBorder="1" applyAlignment="1">
      <alignment vertical="center"/>
    </xf>
    <xf numFmtId="2" fontId="40" fillId="0" borderId="0" xfId="0" applyNumberFormat="1" applyFont="1" applyAlignment="1">
      <alignment horizontal="center" vertical="center"/>
    </xf>
    <xf numFmtId="0" fontId="39" fillId="6" borderId="36" xfId="0" applyFont="1" applyFill="1" applyBorder="1" applyAlignment="1">
      <alignment horizontal="center" vertical="center"/>
    </xf>
    <xf numFmtId="0" fontId="45" fillId="0" borderId="7" xfId="0" applyFont="1" applyBorder="1" applyAlignment="1">
      <alignment vertical="center" wrapText="1"/>
    </xf>
    <xf numFmtId="0" fontId="30" fillId="0" borderId="109" xfId="0" applyFont="1" applyBorder="1" applyAlignment="1">
      <alignment vertical="center"/>
    </xf>
    <xf numFmtId="0" fontId="32" fillId="6" borderId="40" xfId="0" applyFont="1" applyFill="1" applyBorder="1" applyAlignment="1">
      <alignment horizontal="center" vertical="center"/>
    </xf>
    <xf numFmtId="9" fontId="30" fillId="0" borderId="0" xfId="12" applyFont="1" applyAlignment="1">
      <alignment vertical="center"/>
    </xf>
    <xf numFmtId="0" fontId="30" fillId="0" borderId="105" xfId="0" applyFont="1" applyBorder="1" applyAlignment="1">
      <alignment vertical="center"/>
    </xf>
    <xf numFmtId="164" fontId="30" fillId="0" borderId="102" xfId="2" applyNumberFormat="1" applyFont="1" applyBorder="1" applyAlignment="1">
      <alignment vertical="center"/>
    </xf>
    <xf numFmtId="0" fontId="30" fillId="0" borderId="102" xfId="2" applyNumberFormat="1" applyFont="1" applyBorder="1" applyAlignment="1">
      <alignment horizontal="center" vertical="center"/>
    </xf>
    <xf numFmtId="0" fontId="30" fillId="0" borderId="103" xfId="0" applyFont="1" applyBorder="1" applyAlignment="1">
      <alignment vertical="center"/>
    </xf>
    <xf numFmtId="0" fontId="30" fillId="0" borderId="106" xfId="0" applyFont="1" applyBorder="1" applyAlignment="1">
      <alignment vertical="center"/>
    </xf>
    <xf numFmtId="1" fontId="30" fillId="0" borderId="0" xfId="0" applyNumberFormat="1" applyFont="1" applyAlignment="1">
      <alignment vertical="center"/>
    </xf>
    <xf numFmtId="0" fontId="30" fillId="0" borderId="107" xfId="0" applyFont="1" applyBorder="1" applyAlignment="1">
      <alignment vertical="center"/>
    </xf>
    <xf numFmtId="0" fontId="30" fillId="0" borderId="13" xfId="0" applyFont="1" applyBorder="1" applyAlignment="1">
      <alignment vertical="center"/>
    </xf>
    <xf numFmtId="164" fontId="30" fillId="0" borderId="14" xfId="2" applyNumberFormat="1" applyFont="1" applyBorder="1" applyAlignment="1">
      <alignment vertical="center"/>
    </xf>
    <xf numFmtId="0" fontId="30" fillId="0" borderId="14" xfId="0" applyFont="1" applyBorder="1" applyAlignment="1">
      <alignment vertical="center"/>
    </xf>
    <xf numFmtId="0" fontId="30" fillId="0" borderId="51" xfId="0" applyFont="1" applyBorder="1" applyAlignment="1">
      <alignment vertical="center"/>
    </xf>
    <xf numFmtId="0" fontId="36" fillId="33" borderId="7" xfId="0" applyFont="1" applyFill="1" applyBorder="1" applyAlignment="1">
      <alignment horizontal="center" vertical="center" wrapText="1"/>
    </xf>
    <xf numFmtId="9" fontId="30" fillId="0" borderId="7" xfId="0" applyNumberFormat="1" applyFont="1" applyBorder="1" applyAlignment="1">
      <alignment horizontal="center" vertical="center"/>
    </xf>
    <xf numFmtId="164" fontId="30" fillId="0" borderId="7" xfId="0" applyNumberFormat="1" applyFont="1" applyBorder="1" applyAlignment="1">
      <alignment horizontal="center" vertical="center"/>
    </xf>
    <xf numFmtId="171" fontId="53" fillId="0" borderId="7" xfId="0" applyNumberFormat="1" applyFont="1" applyBorder="1" applyAlignment="1">
      <alignment horizontal="center" vertical="center"/>
    </xf>
    <xf numFmtId="175" fontId="30" fillId="0" borderId="7" xfId="0" applyNumberFormat="1" applyFont="1" applyBorder="1" applyAlignment="1">
      <alignment horizontal="center" vertical="center"/>
    </xf>
    <xf numFmtId="43" fontId="30" fillId="0" borderId="0" xfId="2" applyFont="1" applyAlignment="1">
      <alignment vertical="center"/>
    </xf>
    <xf numFmtId="2" fontId="53" fillId="0" borderId="7" xfId="0" applyNumberFormat="1" applyFont="1" applyBorder="1" applyAlignment="1">
      <alignment horizontal="center" vertical="center" wrapText="1"/>
    </xf>
    <xf numFmtId="166" fontId="30" fillId="0" borderId="0" xfId="2" applyNumberFormat="1" applyFont="1" applyAlignment="1">
      <alignment vertical="center"/>
    </xf>
    <xf numFmtId="165" fontId="30" fillId="0" borderId="0" xfId="0" applyNumberFormat="1" applyFont="1" applyAlignment="1">
      <alignment vertical="center"/>
    </xf>
    <xf numFmtId="0" fontId="47" fillId="0" borderId="0" xfId="0" applyFont="1" applyAlignment="1">
      <alignment vertical="center"/>
    </xf>
    <xf numFmtId="2" fontId="30" fillId="0" borderId="7" xfId="0" applyNumberFormat="1" applyFont="1" applyBorder="1" applyAlignment="1">
      <alignment horizontal="right" vertical="center" wrapText="1"/>
    </xf>
    <xf numFmtId="2" fontId="53" fillId="0" borderId="7" xfId="0" applyNumberFormat="1" applyFont="1" applyBorder="1" applyAlignment="1">
      <alignment horizontal="right" vertical="center" wrapText="1"/>
    </xf>
    <xf numFmtId="2" fontId="53" fillId="0" borderId="7" xfId="0" applyNumberFormat="1" applyFont="1" applyBorder="1" applyAlignment="1">
      <alignment horizontal="right" vertical="center"/>
    </xf>
    <xf numFmtId="9" fontId="30" fillId="0" borderId="10" xfId="0" applyNumberFormat="1" applyFont="1" applyBorder="1" applyAlignment="1">
      <alignment vertical="center"/>
    </xf>
    <xf numFmtId="9" fontId="30" fillId="0" borderId="11" xfId="0" applyNumberFormat="1" applyFont="1" applyBorder="1" applyAlignment="1">
      <alignment vertical="center"/>
    </xf>
    <xf numFmtId="0" fontId="30" fillId="0" borderId="19" xfId="0" applyFont="1" applyBorder="1" applyAlignment="1">
      <alignment vertical="center"/>
    </xf>
    <xf numFmtId="2" fontId="30" fillId="0" borderId="25" xfId="0" applyNumberFormat="1" applyFont="1" applyBorder="1" applyAlignment="1">
      <alignment vertical="center"/>
    </xf>
    <xf numFmtId="2" fontId="30" fillId="0" borderId="10" xfId="0" applyNumberFormat="1" applyFont="1" applyBorder="1" applyAlignment="1">
      <alignment vertical="center"/>
    </xf>
    <xf numFmtId="0" fontId="87" fillId="0" borderId="0" xfId="0" applyFont="1" applyAlignment="1">
      <alignment vertical="center"/>
    </xf>
    <xf numFmtId="0" fontId="36" fillId="0" borderId="0" xfId="0" applyFont="1" applyAlignment="1">
      <alignment horizontal="left" vertical="center"/>
    </xf>
    <xf numFmtId="0" fontId="51" fillId="0" borderId="7" xfId="0" applyFont="1" applyBorder="1" applyAlignment="1">
      <alignment horizontal="center" vertical="center"/>
    </xf>
    <xf numFmtId="2" fontId="30" fillId="0" borderId="7" xfId="2" applyNumberFormat="1" applyFont="1" applyBorder="1" applyAlignment="1">
      <alignment horizontal="center" vertical="center"/>
    </xf>
    <xf numFmtId="1" fontId="36" fillId="0" borderId="0" xfId="0" applyNumberFormat="1" applyFont="1" applyAlignment="1">
      <alignment horizontal="center" vertical="center"/>
    </xf>
    <xf numFmtId="9" fontId="30" fillId="0" borderId="0" xfId="0" applyNumberFormat="1" applyFont="1" applyAlignment="1">
      <alignment vertical="center"/>
    </xf>
    <xf numFmtId="9" fontId="36" fillId="0" borderId="7" xfId="0" applyNumberFormat="1" applyFont="1" applyBorder="1" applyAlignment="1">
      <alignment horizontal="center" vertical="center"/>
    </xf>
    <xf numFmtId="0" fontId="37" fillId="0" borderId="0" xfId="0" applyFont="1" applyAlignment="1">
      <alignment horizontal="left" vertical="center"/>
    </xf>
    <xf numFmtId="0" fontId="30" fillId="0" borderId="117" xfId="0" applyFont="1" applyBorder="1" applyAlignment="1">
      <alignment vertical="center"/>
    </xf>
    <xf numFmtId="9" fontId="36" fillId="0" borderId="7" xfId="12" applyFont="1" applyBorder="1" applyAlignment="1">
      <alignment vertical="center"/>
    </xf>
    <xf numFmtId="164" fontId="30" fillId="0" borderId="0" xfId="2" applyNumberFormat="1" applyFont="1" applyAlignment="1">
      <alignment vertical="center"/>
    </xf>
    <xf numFmtId="164" fontId="0" fillId="0" borderId="14" xfId="2" applyNumberFormat="1" applyFont="1" applyBorder="1"/>
    <xf numFmtId="0" fontId="57" fillId="0" borderId="0" xfId="4" applyFont="1" applyAlignment="1">
      <alignment horizontal="left" vertical="center" wrapText="1"/>
    </xf>
    <xf numFmtId="0" fontId="30" fillId="0" borderId="110" xfId="0" applyFont="1" applyBorder="1" applyAlignment="1">
      <alignment vertical="center"/>
    </xf>
    <xf numFmtId="0" fontId="30" fillId="0" borderId="47" xfId="0" applyFont="1" applyBorder="1" applyAlignment="1">
      <alignment vertical="center"/>
    </xf>
    <xf numFmtId="1" fontId="30" fillId="0" borderId="25" xfId="0" applyNumberFormat="1" applyFont="1" applyBorder="1" applyAlignment="1">
      <alignment vertical="center"/>
    </xf>
    <xf numFmtId="1" fontId="30" fillId="0" borderId="111" xfId="0" applyNumberFormat="1" applyFont="1" applyBorder="1" applyAlignment="1">
      <alignment vertical="center"/>
    </xf>
    <xf numFmtId="1" fontId="30" fillId="0" borderId="25" xfId="0" quotePrefix="1" applyNumberFormat="1" applyFont="1" applyBorder="1" applyAlignment="1">
      <alignment vertical="top" wrapText="1"/>
    </xf>
    <xf numFmtId="1" fontId="30" fillId="0" borderId="25" xfId="0" applyNumberFormat="1" applyFont="1" applyBorder="1" applyAlignment="1">
      <alignment vertical="top"/>
    </xf>
    <xf numFmtId="9" fontId="53" fillId="0" borderId="0" xfId="12" applyFont="1" applyAlignment="1">
      <alignment vertical="center"/>
    </xf>
    <xf numFmtId="0" fontId="53" fillId="0" borderId="0" xfId="0" quotePrefix="1" applyFont="1" applyAlignment="1">
      <alignment vertical="center"/>
    </xf>
    <xf numFmtId="0" fontId="37" fillId="0" borderId="7" xfId="0" quotePrefix="1" applyFont="1" applyBorder="1" applyAlignment="1">
      <alignment horizontal="left" vertical="center" wrapText="1"/>
    </xf>
    <xf numFmtId="0" fontId="37" fillId="0" borderId="7" xfId="0" quotePrefix="1" applyFont="1" applyBorder="1" applyAlignment="1">
      <alignment vertical="center" wrapText="1"/>
    </xf>
    <xf numFmtId="0" fontId="40" fillId="0" borderId="0" xfId="2" applyNumberFormat="1" applyFont="1" applyBorder="1" applyAlignment="1">
      <alignment horizontal="center" vertical="center"/>
    </xf>
    <xf numFmtId="176" fontId="40" fillId="0" borderId="0" xfId="0" applyNumberFormat="1" applyFont="1" applyAlignment="1">
      <alignment horizontal="center" vertical="center"/>
    </xf>
    <xf numFmtId="173" fontId="30" fillId="0" borderId="0" xfId="12" applyNumberFormat="1" applyFont="1" applyFill="1" applyBorder="1" applyAlignment="1">
      <alignment vertical="center"/>
    </xf>
    <xf numFmtId="164" fontId="30" fillId="0" borderId="18" xfId="2" applyNumberFormat="1" applyFont="1" applyFill="1" applyBorder="1" applyAlignment="1">
      <alignment vertical="center"/>
    </xf>
    <xf numFmtId="164" fontId="30" fillId="0" borderId="19" xfId="2" applyNumberFormat="1" applyFont="1" applyFill="1" applyBorder="1" applyAlignment="1">
      <alignment vertical="center"/>
    </xf>
    <xf numFmtId="164" fontId="30" fillId="0" borderId="24" xfId="2" applyNumberFormat="1" applyFont="1" applyFill="1" applyBorder="1" applyAlignment="1">
      <alignment vertical="center"/>
    </xf>
    <xf numFmtId="164" fontId="30" fillId="0" borderId="7" xfId="2" applyNumberFormat="1" applyFont="1" applyFill="1" applyBorder="1" applyAlignment="1">
      <alignment vertical="center"/>
    </xf>
    <xf numFmtId="0" fontId="30" fillId="0" borderId="7" xfId="2" applyNumberFormat="1" applyFont="1" applyFill="1" applyBorder="1" applyAlignment="1">
      <alignment vertical="center"/>
    </xf>
    <xf numFmtId="9" fontId="30" fillId="0" borderId="7" xfId="12" applyFont="1" applyFill="1" applyBorder="1" applyAlignment="1">
      <alignment vertical="center"/>
    </xf>
    <xf numFmtId="9" fontId="30" fillId="0" borderId="47" xfId="12" applyFont="1" applyFill="1" applyBorder="1" applyAlignment="1">
      <alignment vertical="center"/>
    </xf>
    <xf numFmtId="9" fontId="30" fillId="0" borderId="47" xfId="0" applyNumberFormat="1" applyFont="1" applyBorder="1" applyAlignment="1">
      <alignment vertical="center" wrapText="1"/>
    </xf>
    <xf numFmtId="0" fontId="30" fillId="0" borderId="19" xfId="2" applyNumberFormat="1" applyFont="1" applyFill="1" applyBorder="1" applyAlignment="1">
      <alignment vertical="center"/>
    </xf>
    <xf numFmtId="9" fontId="30" fillId="0" borderId="19" xfId="0" applyNumberFormat="1" applyFont="1" applyBorder="1" applyAlignment="1">
      <alignment vertical="center" wrapText="1"/>
    </xf>
    <xf numFmtId="9" fontId="30" fillId="0" borderId="10" xfId="12" applyFont="1" applyFill="1" applyBorder="1" applyAlignment="1">
      <alignment vertical="center"/>
    </xf>
    <xf numFmtId="9" fontId="30" fillId="0" borderId="10" xfId="0" applyNumberFormat="1" applyFont="1" applyBorder="1" applyAlignment="1">
      <alignment vertical="center" wrapText="1"/>
    </xf>
    <xf numFmtId="173" fontId="30" fillId="0" borderId="7" xfId="12" applyNumberFormat="1" applyFont="1" applyFill="1" applyBorder="1" applyAlignment="1">
      <alignment vertical="center"/>
    </xf>
    <xf numFmtId="0" fontId="30" fillId="0" borderId="19" xfId="0" applyFont="1" applyBorder="1" applyAlignment="1">
      <alignment vertical="center" wrapText="1"/>
    </xf>
    <xf numFmtId="0" fontId="30" fillId="0" borderId="7" xfId="12" applyNumberFormat="1" applyFont="1" applyFill="1" applyBorder="1" applyAlignment="1">
      <alignment vertical="center"/>
    </xf>
    <xf numFmtId="0" fontId="30" fillId="0" borderId="47" xfId="12" applyNumberFormat="1" applyFont="1" applyFill="1" applyBorder="1" applyAlignment="1">
      <alignment vertical="center"/>
    </xf>
    <xf numFmtId="0" fontId="30" fillId="0" borderId="24" xfId="0" applyFont="1" applyBorder="1" applyAlignment="1">
      <alignment vertical="center" wrapText="1"/>
    </xf>
    <xf numFmtId="1" fontId="30" fillId="0" borderId="7" xfId="0" applyNumberFormat="1" applyFont="1" applyBorder="1" applyAlignment="1">
      <alignment vertical="center" wrapText="1"/>
    </xf>
    <xf numFmtId="1" fontId="30" fillId="0" borderId="47" xfId="0" applyNumberFormat="1" applyFont="1" applyBorder="1" applyAlignment="1">
      <alignment vertical="center" wrapText="1"/>
    </xf>
    <xf numFmtId="0" fontId="30" fillId="0" borderId="18" xfId="0" applyFont="1" applyBorder="1" applyAlignment="1">
      <alignment vertical="center"/>
    </xf>
    <xf numFmtId="0" fontId="30" fillId="0" borderId="108" xfId="0" applyFont="1" applyBorder="1" applyAlignment="1">
      <alignment vertical="center"/>
    </xf>
    <xf numFmtId="0" fontId="30" fillId="0" borderId="52" xfId="0" applyFont="1" applyBorder="1" applyAlignment="1">
      <alignment vertical="center"/>
    </xf>
    <xf numFmtId="0" fontId="30" fillId="0" borderId="53" xfId="0" applyFont="1" applyBorder="1" applyAlignment="1">
      <alignment vertical="center"/>
    </xf>
    <xf numFmtId="1" fontId="30" fillId="0" borderId="10" xfId="0" applyNumberFormat="1" applyFont="1" applyBorder="1" applyAlignment="1">
      <alignment vertical="center" wrapText="1"/>
    </xf>
    <xf numFmtId="0" fontId="30" fillId="0" borderId="10" xfId="12" applyNumberFormat="1" applyFont="1" applyFill="1" applyBorder="1" applyAlignment="1">
      <alignment vertical="center"/>
    </xf>
    <xf numFmtId="0" fontId="30" fillId="0" borderId="21" xfId="0" applyFont="1" applyBorder="1" applyAlignment="1">
      <alignment vertical="center"/>
    </xf>
    <xf numFmtId="164" fontId="36" fillId="0" borderId="0" xfId="0" applyNumberFormat="1" applyFont="1" applyAlignment="1">
      <alignment vertical="center"/>
    </xf>
    <xf numFmtId="0" fontId="95" fillId="0" borderId="1" xfId="0" applyFont="1" applyBorder="1" applyAlignment="1">
      <alignment vertical="center" wrapText="1"/>
    </xf>
    <xf numFmtId="164" fontId="95" fillId="0" borderId="122" xfId="0" applyNumberFormat="1" applyFont="1" applyBorder="1" applyAlignment="1">
      <alignment vertical="center"/>
    </xf>
    <xf numFmtId="0" fontId="95" fillId="0" borderId="17" xfId="0" applyFont="1" applyBorder="1" applyAlignment="1">
      <alignment vertical="center"/>
    </xf>
    <xf numFmtId="164" fontId="40" fillId="0" borderId="0" xfId="0" applyNumberFormat="1" applyFont="1" applyAlignment="1">
      <alignment vertical="center"/>
    </xf>
    <xf numFmtId="0" fontId="51" fillId="0" borderId="7" xfId="0" applyFont="1" applyBorder="1" applyAlignment="1">
      <alignment horizontal="center" vertical="center" wrapText="1"/>
    </xf>
    <xf numFmtId="0" fontId="52" fillId="0" borderId="0" xfId="0" applyFont="1" applyAlignment="1">
      <alignment horizontal="left" vertical="center"/>
    </xf>
    <xf numFmtId="0" fontId="30" fillId="0" borderId="0" xfId="0" quotePrefix="1" applyFont="1" applyAlignment="1">
      <alignment horizontal="left" vertical="center" wrapText="1"/>
    </xf>
    <xf numFmtId="0" fontId="48" fillId="0" borderId="0" xfId="0" applyFont="1" applyAlignment="1">
      <alignment horizontal="left" vertical="center"/>
    </xf>
    <xf numFmtId="0" fontId="89" fillId="0" borderId="0" xfId="0" applyFont="1" applyAlignment="1">
      <alignment horizontal="left" vertical="center"/>
    </xf>
    <xf numFmtId="0" fontId="95" fillId="0" borderId="0" xfId="0" applyFont="1" applyAlignment="1">
      <alignment vertical="center" wrapText="1"/>
    </xf>
    <xf numFmtId="164" fontId="95" fillId="0" borderId="0" xfId="0" applyNumberFormat="1" applyFont="1" applyAlignment="1">
      <alignment vertical="center"/>
    </xf>
    <xf numFmtId="0" fontId="95" fillId="0" borderId="0" xfId="0" applyFont="1" applyAlignment="1">
      <alignment vertical="center"/>
    </xf>
    <xf numFmtId="0" fontId="59" fillId="17" borderId="29" xfId="5" applyFont="1" applyFill="1" applyBorder="1" applyAlignment="1">
      <alignment horizontal="center" vertical="center"/>
    </xf>
    <xf numFmtId="9" fontId="30" fillId="0" borderId="0" xfId="0" applyNumberFormat="1" applyFont="1"/>
    <xf numFmtId="0" fontId="98" fillId="3" borderId="59" xfId="0" applyFont="1" applyFill="1" applyBorder="1" applyAlignment="1">
      <alignment horizontal="center" vertical="center" wrapText="1"/>
    </xf>
    <xf numFmtId="166" fontId="30" fillId="0" borderId="7" xfId="2" applyNumberFormat="1" applyFont="1" applyBorder="1" applyAlignment="1">
      <alignment vertical="center"/>
    </xf>
    <xf numFmtId="0" fontId="57" fillId="0" borderId="0" xfId="5" applyFont="1" applyAlignment="1">
      <alignment horizontal="center" vertical="center"/>
    </xf>
    <xf numFmtId="0" fontId="57" fillId="0" borderId="0" xfId="5" applyFont="1" applyAlignment="1">
      <alignment horizontal="left" vertical="center" wrapText="1"/>
    </xf>
    <xf numFmtId="0" fontId="30" fillId="0" borderId="7" xfId="0" applyFont="1" applyBorder="1" applyAlignment="1">
      <alignment vertical="top" wrapText="1"/>
    </xf>
    <xf numFmtId="0" fontId="36" fillId="0" borderId="0" xfId="0" applyFont="1" applyAlignment="1">
      <alignment horizontal="left" vertical="center" wrapText="1"/>
    </xf>
    <xf numFmtId="43" fontId="30" fillId="0" borderId="0" xfId="2" applyFont="1" applyBorder="1" applyAlignment="1">
      <alignment horizontal="right" vertical="center"/>
    </xf>
    <xf numFmtId="9" fontId="57" fillId="0" borderId="0" xfId="12" applyFont="1"/>
    <xf numFmtId="0" fontId="91" fillId="0" borderId="0" xfId="0" applyFont="1" applyAlignment="1">
      <alignment vertical="center"/>
    </xf>
    <xf numFmtId="2" fontId="30" fillId="0" borderId="0" xfId="2" applyNumberFormat="1" applyFont="1" applyBorder="1" applyAlignment="1">
      <alignment horizontal="center" vertical="center"/>
    </xf>
    <xf numFmtId="0" fontId="36" fillId="43" borderId="7" xfId="0" applyFont="1" applyFill="1" applyBorder="1" applyAlignment="1">
      <alignment horizontal="left" vertical="center" wrapText="1"/>
    </xf>
    <xf numFmtId="0" fontId="53" fillId="0" borderId="0" xfId="5" applyFont="1" applyAlignment="1">
      <alignment vertical="center"/>
    </xf>
    <xf numFmtId="0" fontId="30" fillId="0" borderId="10" xfId="0" applyFont="1" applyBorder="1" applyAlignment="1">
      <alignment horizontal="left" vertical="center" wrapText="1"/>
    </xf>
    <xf numFmtId="0" fontId="30" fillId="0" borderId="11" xfId="0" applyFont="1" applyBorder="1" applyAlignment="1">
      <alignment horizontal="left" vertical="center" wrapText="1"/>
    </xf>
    <xf numFmtId="0" fontId="30" fillId="0" borderId="19" xfId="0" applyFont="1" applyBorder="1" applyAlignment="1">
      <alignment horizontal="left" vertical="center" wrapText="1"/>
    </xf>
    <xf numFmtId="0" fontId="30" fillId="0" borderId="20" xfId="0" applyFont="1" applyBorder="1" applyAlignment="1">
      <alignment horizontal="left" vertical="center" wrapText="1"/>
    </xf>
    <xf numFmtId="166" fontId="37" fillId="0" borderId="0" xfId="0" applyNumberFormat="1" applyFont="1" applyAlignment="1">
      <alignment vertical="center"/>
    </xf>
    <xf numFmtId="43" fontId="30" fillId="0" borderId="7" xfId="2" applyFont="1" applyFill="1" applyBorder="1" applyAlignment="1">
      <alignment horizontal="right" vertical="center"/>
    </xf>
    <xf numFmtId="0" fontId="36" fillId="0" borderId="0" xfId="0" applyFont="1"/>
    <xf numFmtId="164" fontId="36" fillId="0" borderId="0" xfId="2" applyNumberFormat="1" applyFont="1" applyBorder="1"/>
    <xf numFmtId="43" fontId="36" fillId="0" borderId="0" xfId="2" applyFont="1" applyBorder="1"/>
    <xf numFmtId="43" fontId="37" fillId="0" borderId="7" xfId="0" applyNumberFormat="1" applyFont="1" applyBorder="1" applyAlignment="1">
      <alignment horizontal="center" vertical="center"/>
    </xf>
    <xf numFmtId="164" fontId="36" fillId="0" borderId="7" xfId="2" applyNumberFormat="1" applyFont="1" applyFill="1" applyBorder="1" applyAlignment="1">
      <alignment vertical="center"/>
    </xf>
    <xf numFmtId="43" fontId="51" fillId="0" borderId="7" xfId="2" applyFont="1" applyFill="1" applyBorder="1" applyAlignment="1">
      <alignment vertical="center"/>
    </xf>
    <xf numFmtId="9" fontId="30" fillId="0" borderId="7" xfId="12" applyFont="1" applyBorder="1" applyAlignment="1">
      <alignment horizontal="left" vertical="center"/>
    </xf>
    <xf numFmtId="9" fontId="36" fillId="0" borderId="7" xfId="12" applyFont="1" applyBorder="1" applyAlignment="1">
      <alignment horizontal="left" vertical="center"/>
    </xf>
    <xf numFmtId="2" fontId="36" fillId="0" borderId="12" xfId="0" applyNumberFormat="1" applyFont="1" applyBorder="1" applyAlignment="1">
      <alignment horizontal="center" vertical="center"/>
    </xf>
    <xf numFmtId="0" fontId="101" fillId="0" borderId="7" xfId="0" applyFont="1" applyBorder="1" applyAlignment="1">
      <alignment vertical="center"/>
    </xf>
    <xf numFmtId="0" fontId="102" fillId="0" borderId="7" xfId="0" applyFont="1" applyBorder="1" applyAlignment="1">
      <alignment vertical="center"/>
    </xf>
    <xf numFmtId="43" fontId="30" fillId="0" borderId="7" xfId="2" applyFont="1" applyFill="1" applyBorder="1" applyAlignment="1">
      <alignment vertical="center"/>
    </xf>
    <xf numFmtId="43" fontId="36" fillId="0" borderId="7" xfId="2" applyFont="1" applyFill="1" applyBorder="1" applyAlignment="1">
      <alignment vertical="center"/>
    </xf>
    <xf numFmtId="164" fontId="57" fillId="0" borderId="0" xfId="2" applyNumberFormat="1" applyFont="1" applyAlignment="1">
      <alignment vertical="center"/>
    </xf>
    <xf numFmtId="43" fontId="37" fillId="0" borderId="7" xfId="2" applyFont="1" applyBorder="1" applyAlignment="1">
      <alignment vertical="center"/>
    </xf>
    <xf numFmtId="164" fontId="51" fillId="0" borderId="7" xfId="2" applyNumberFormat="1" applyFont="1" applyBorder="1" applyAlignment="1">
      <alignment vertical="center"/>
    </xf>
    <xf numFmtId="43" fontId="37" fillId="0" borderId="7" xfId="2" applyFont="1" applyFill="1" applyBorder="1" applyAlignment="1">
      <alignment vertical="center"/>
    </xf>
    <xf numFmtId="0" fontId="36" fillId="0" borderId="7" xfId="0" applyFont="1" applyBorder="1" applyAlignment="1">
      <alignment horizontal="left" vertical="center"/>
    </xf>
    <xf numFmtId="9" fontId="57" fillId="0" borderId="0" xfId="12" applyFont="1" applyAlignment="1">
      <alignment vertical="center"/>
    </xf>
    <xf numFmtId="164" fontId="57" fillId="0" borderId="0" xfId="5" applyNumberFormat="1" applyFont="1" applyAlignment="1">
      <alignment vertical="center"/>
    </xf>
    <xf numFmtId="0" fontId="49" fillId="19" borderId="58" xfId="5" applyFont="1" applyFill="1" applyBorder="1" applyAlignment="1">
      <alignment vertical="center" wrapText="1"/>
    </xf>
    <xf numFmtId="0" fontId="65" fillId="19" borderId="58" xfId="5" applyFont="1" applyFill="1" applyBorder="1" applyAlignment="1">
      <alignment horizontal="center" vertical="center"/>
    </xf>
    <xf numFmtId="164" fontId="30" fillId="0" borderId="39" xfId="2" applyNumberFormat="1" applyFont="1" applyFill="1" applyBorder="1" applyAlignment="1">
      <alignment vertical="center"/>
    </xf>
    <xf numFmtId="164" fontId="30" fillId="0" borderId="36" xfId="2" applyNumberFormat="1" applyFont="1" applyFill="1" applyBorder="1" applyAlignment="1">
      <alignment vertical="center"/>
    </xf>
    <xf numFmtId="164" fontId="30" fillId="0" borderId="104" xfId="2" applyNumberFormat="1" applyFont="1" applyFill="1" applyBorder="1" applyAlignment="1">
      <alignment vertical="center"/>
    </xf>
    <xf numFmtId="164" fontId="30" fillId="0" borderId="101" xfId="2" applyNumberFormat="1" applyFont="1" applyFill="1" applyBorder="1" applyAlignment="1">
      <alignment vertical="center"/>
    </xf>
    <xf numFmtId="0" fontId="30" fillId="0" borderId="37" xfId="5" applyFont="1" applyBorder="1" applyAlignment="1">
      <alignment vertical="center" wrapText="1"/>
    </xf>
    <xf numFmtId="0" fontId="30" fillId="0" borderId="100" xfId="5" applyFont="1" applyBorder="1" applyAlignment="1">
      <alignment vertical="center" wrapText="1"/>
    </xf>
    <xf numFmtId="0" fontId="30" fillId="0" borderId="37" xfId="5" applyFont="1" applyBorder="1" applyAlignment="1">
      <alignment horizontal="left" vertical="center" wrapText="1"/>
    </xf>
    <xf numFmtId="0" fontId="30" fillId="0" borderId="6" xfId="5" applyFont="1" applyBorder="1" applyAlignment="1">
      <alignment horizontal="left" vertical="center" wrapText="1"/>
    </xf>
    <xf numFmtId="0" fontId="30" fillId="0" borderId="6" xfId="5" applyFont="1" applyBorder="1" applyAlignment="1">
      <alignment vertical="center" wrapText="1"/>
    </xf>
    <xf numFmtId="0" fontId="30" fillId="0" borderId="43" xfId="5" applyFont="1" applyBorder="1" applyAlignment="1">
      <alignment vertical="center" wrapText="1"/>
    </xf>
    <xf numFmtId="0" fontId="85" fillId="0" borderId="114" xfId="5" applyFont="1" applyBorder="1" applyAlignment="1">
      <alignment horizontal="left" vertical="center" wrapText="1"/>
    </xf>
    <xf numFmtId="0" fontId="85" fillId="0" borderId="6" xfId="5" applyFont="1" applyBorder="1" applyAlignment="1">
      <alignment horizontal="left" vertical="center" wrapText="1"/>
    </xf>
    <xf numFmtId="0" fontId="85" fillId="0" borderId="43" xfId="5" applyFont="1" applyBorder="1" applyAlignment="1">
      <alignment horizontal="left" vertical="center" wrapText="1"/>
    </xf>
    <xf numFmtId="43" fontId="57" fillId="0" borderId="0" xfId="2" applyFont="1"/>
    <xf numFmtId="9" fontId="37" fillId="0" borderId="36" xfId="12" applyFont="1" applyFill="1" applyBorder="1" applyAlignment="1">
      <alignment horizontal="right" vertical="center"/>
    </xf>
    <xf numFmtId="9" fontId="37" fillId="0" borderId="39" xfId="12" applyFont="1" applyFill="1" applyBorder="1" applyAlignment="1">
      <alignment horizontal="right" vertical="center"/>
    </xf>
    <xf numFmtId="9" fontId="37" fillId="0" borderId="40" xfId="12" applyFont="1" applyFill="1" applyBorder="1" applyAlignment="1">
      <alignment horizontal="right" vertical="center"/>
    </xf>
    <xf numFmtId="9" fontId="37" fillId="0" borderId="8" xfId="12" applyFont="1" applyFill="1" applyBorder="1" applyAlignment="1">
      <alignment horizontal="right" vertical="center"/>
    </xf>
    <xf numFmtId="164" fontId="53" fillId="0" borderId="8" xfId="2" applyNumberFormat="1" applyFont="1" applyFill="1" applyBorder="1" applyAlignment="1">
      <alignment horizontal="right" vertical="center"/>
    </xf>
    <xf numFmtId="164" fontId="30" fillId="0" borderId="40" xfId="2" applyNumberFormat="1" applyFont="1" applyFill="1" applyBorder="1" applyAlignment="1">
      <alignment horizontal="right" vertical="center"/>
    </xf>
    <xf numFmtId="9" fontId="30" fillId="0" borderId="8" xfId="12" applyFont="1" applyFill="1" applyBorder="1" applyAlignment="1">
      <alignment horizontal="right" vertical="center"/>
    </xf>
    <xf numFmtId="9" fontId="37" fillId="0" borderId="42" xfId="12" applyFont="1" applyFill="1" applyBorder="1" applyAlignment="1">
      <alignment horizontal="right" vertical="center"/>
    </xf>
    <xf numFmtId="9" fontId="30" fillId="0" borderId="45" xfId="12" applyFont="1" applyFill="1" applyBorder="1" applyAlignment="1">
      <alignment horizontal="right" vertical="center"/>
    </xf>
    <xf numFmtId="43" fontId="85" fillId="0" borderId="99" xfId="2" applyFont="1" applyBorder="1" applyAlignment="1">
      <alignment horizontal="right" vertical="center"/>
    </xf>
    <xf numFmtId="43" fontId="30" fillId="0" borderId="109" xfId="2" applyFont="1" applyFill="1" applyBorder="1" applyAlignment="1">
      <alignment horizontal="right" vertical="center"/>
    </xf>
    <xf numFmtId="43" fontId="30" fillId="0" borderId="8" xfId="2" applyFont="1" applyFill="1" applyBorder="1" applyAlignment="1">
      <alignment horizontal="right" vertical="center"/>
    </xf>
    <xf numFmtId="43" fontId="85" fillId="0" borderId="40" xfId="5" applyNumberFormat="1" applyFont="1" applyBorder="1" applyAlignment="1">
      <alignment horizontal="right" vertical="center" wrapText="1"/>
    </xf>
    <xf numFmtId="43" fontId="85" fillId="0" borderId="42" xfId="5" applyNumberFormat="1" applyFont="1" applyBorder="1" applyAlignment="1">
      <alignment horizontal="right" vertical="center" wrapText="1"/>
    </xf>
    <xf numFmtId="43" fontId="30" fillId="0" borderId="45" xfId="2" applyFont="1" applyFill="1" applyBorder="1" applyAlignment="1">
      <alignment horizontal="right" vertical="center"/>
    </xf>
    <xf numFmtId="164" fontId="57" fillId="0" borderId="7" xfId="2" applyNumberFormat="1" applyFont="1" applyBorder="1" applyAlignment="1">
      <alignment vertical="center"/>
    </xf>
    <xf numFmtId="9" fontId="30" fillId="0" borderId="104" xfId="12" applyFont="1" applyFill="1" applyBorder="1" applyAlignment="1">
      <alignment horizontal="right" vertical="center"/>
    </xf>
    <xf numFmtId="164" fontId="53" fillId="0" borderId="101" xfId="2" applyNumberFormat="1" applyFont="1" applyFill="1" applyBorder="1" applyAlignment="1">
      <alignment horizontal="right" vertical="center"/>
    </xf>
    <xf numFmtId="0" fontId="103" fillId="50" borderId="15" xfId="8" applyFont="1" applyFill="1" applyBorder="1" applyAlignment="1">
      <alignment horizontal="center" vertical="center" wrapText="1"/>
    </xf>
    <xf numFmtId="0" fontId="103" fillId="51" borderId="61" xfId="5" applyFont="1" applyFill="1" applyBorder="1" applyAlignment="1">
      <alignment vertical="center" wrapText="1"/>
    </xf>
    <xf numFmtId="164" fontId="103" fillId="51" borderId="61" xfId="2" applyNumberFormat="1" applyFont="1" applyFill="1" applyBorder="1" applyAlignment="1">
      <alignment vertical="center"/>
    </xf>
    <xf numFmtId="43" fontId="85" fillId="0" borderId="40" xfId="5" applyNumberFormat="1" applyFont="1" applyBorder="1" applyAlignment="1">
      <alignment horizontal="right" vertical="center"/>
    </xf>
    <xf numFmtId="0" fontId="30" fillId="0" borderId="46" xfId="0" applyFont="1" applyBorder="1" applyAlignment="1">
      <alignment horizontal="left" vertical="center" wrapText="1"/>
    </xf>
    <xf numFmtId="0" fontId="51" fillId="0" borderId="47" xfId="0" applyFont="1" applyBorder="1" applyAlignment="1">
      <alignment horizontal="center" vertical="center"/>
    </xf>
    <xf numFmtId="165" fontId="36" fillId="0" borderId="0" xfId="2" applyNumberFormat="1" applyFont="1" applyBorder="1" applyAlignment="1">
      <alignment horizontal="center" vertical="center"/>
    </xf>
    <xf numFmtId="0" fontId="37" fillId="0" borderId="47" xfId="0" applyFont="1" applyBorder="1" applyAlignment="1">
      <alignment horizontal="left" vertical="center"/>
    </xf>
    <xf numFmtId="164" fontId="30" fillId="0" borderId="7" xfId="0" applyNumberFormat="1" applyFont="1" applyBorder="1" applyAlignment="1">
      <alignment horizontal="left" vertical="center"/>
    </xf>
    <xf numFmtId="0" fontId="105" fillId="0" borderId="0" xfId="0" applyFont="1" applyAlignment="1">
      <alignment vertical="center"/>
    </xf>
    <xf numFmtId="43" fontId="57" fillId="0" borderId="0" xfId="2" applyFont="1" applyAlignment="1">
      <alignment vertical="center"/>
    </xf>
    <xf numFmtId="0" fontId="98" fillId="3" borderId="58" xfId="0" applyFont="1" applyFill="1" applyBorder="1" applyAlignment="1">
      <alignment horizontal="center" vertical="center" wrapText="1"/>
    </xf>
    <xf numFmtId="0" fontId="106" fillId="48" borderId="17" xfId="5" applyFont="1" applyFill="1" applyBorder="1" applyAlignment="1">
      <alignment horizontal="center" vertical="center"/>
    </xf>
    <xf numFmtId="164" fontId="30" fillId="0" borderId="19" xfId="2" applyNumberFormat="1" applyFont="1" applyBorder="1" applyAlignment="1">
      <alignment vertical="center"/>
    </xf>
    <xf numFmtId="0" fontId="53" fillId="0" borderId="20" xfId="5" applyFont="1" applyBorder="1" applyAlignment="1">
      <alignment vertical="center"/>
    </xf>
    <xf numFmtId="164" fontId="30" fillId="0" borderId="10" xfId="2" applyNumberFormat="1" applyFont="1" applyBorder="1" applyAlignment="1">
      <alignment vertical="center"/>
    </xf>
    <xf numFmtId="0" fontId="94" fillId="3" borderId="58" xfId="0" applyFont="1" applyFill="1" applyBorder="1" applyAlignment="1">
      <alignment horizontal="left" vertical="center" wrapText="1"/>
    </xf>
    <xf numFmtId="0" fontId="51" fillId="40" borderId="24" xfId="0" applyFont="1" applyFill="1" applyBorder="1" applyAlignment="1">
      <alignment vertical="center" wrapText="1"/>
    </xf>
    <xf numFmtId="0" fontId="30" fillId="0" borderId="0" xfId="0" applyFont="1" applyAlignment="1">
      <alignment horizontal="center"/>
    </xf>
    <xf numFmtId="0" fontId="98" fillId="3" borderId="59" xfId="0" applyFont="1" applyFill="1" applyBorder="1" applyAlignment="1">
      <alignment horizontal="left" vertical="center" wrapText="1"/>
    </xf>
    <xf numFmtId="0" fontId="94" fillId="3" borderId="59" xfId="0" applyFont="1" applyFill="1" applyBorder="1" applyAlignment="1">
      <alignment horizontal="left" vertical="center" wrapText="1"/>
    </xf>
    <xf numFmtId="170" fontId="30" fillId="0" borderId="7" xfId="2" applyNumberFormat="1" applyFont="1" applyBorder="1" applyAlignment="1">
      <alignment vertical="center"/>
    </xf>
    <xf numFmtId="170" fontId="30" fillId="0" borderId="7" xfId="2" applyNumberFormat="1" applyFont="1" applyFill="1" applyBorder="1" applyAlignment="1">
      <alignment vertical="center"/>
    </xf>
    <xf numFmtId="170" fontId="30" fillId="0" borderId="10" xfId="2" applyNumberFormat="1" applyFont="1" applyBorder="1" applyAlignment="1">
      <alignment vertical="center"/>
    </xf>
    <xf numFmtId="9" fontId="30" fillId="0" borderId="11" xfId="12" applyFont="1" applyBorder="1" applyAlignment="1">
      <alignment vertical="center"/>
    </xf>
    <xf numFmtId="0" fontId="107" fillId="0" borderId="16" xfId="7" applyFont="1" applyBorder="1" applyAlignment="1">
      <alignment horizontal="center" vertical="center"/>
    </xf>
    <xf numFmtId="0" fontId="94" fillId="48" borderId="15" xfId="7" applyFont="1" applyFill="1" applyBorder="1" applyAlignment="1">
      <alignment horizontal="center" vertical="center" wrapText="1"/>
    </xf>
    <xf numFmtId="0" fontId="107" fillId="0" borderId="16" xfId="7" applyFont="1" applyBorder="1" applyAlignment="1">
      <alignment horizontal="center" vertical="center" wrapText="1"/>
    </xf>
    <xf numFmtId="0" fontId="36" fillId="53" borderId="58" xfId="7" applyFont="1" applyFill="1" applyBorder="1" applyAlignment="1">
      <alignment horizontal="center" vertical="center" wrapText="1"/>
    </xf>
    <xf numFmtId="0" fontId="36" fillId="55" borderId="58" xfId="8" applyFont="1" applyFill="1" applyBorder="1" applyAlignment="1">
      <alignment horizontal="center" vertical="center" wrapText="1"/>
    </xf>
    <xf numFmtId="0" fontId="36" fillId="49" borderId="58" xfId="7" applyFont="1" applyFill="1" applyBorder="1" applyAlignment="1">
      <alignment horizontal="center" vertical="center" wrapText="1"/>
    </xf>
    <xf numFmtId="0" fontId="109" fillId="0" borderId="0" xfId="0" applyFont="1"/>
    <xf numFmtId="0" fontId="51" fillId="0" borderId="0" xfId="0" applyFont="1"/>
    <xf numFmtId="0" fontId="30" fillId="0" borderId="7" xfId="0" applyFont="1" applyBorder="1" applyAlignment="1">
      <alignment horizontal="center"/>
    </xf>
    <xf numFmtId="0" fontId="37" fillId="0" borderId="0" xfId="0" applyFont="1"/>
    <xf numFmtId="0" fontId="30" fillId="0" borderId="0" xfId="0" applyFont="1" applyAlignment="1">
      <alignment vertical="top" wrapText="1"/>
    </xf>
    <xf numFmtId="0" fontId="110" fillId="0" borderId="0" xfId="0" applyFont="1"/>
    <xf numFmtId="0" fontId="47" fillId="0" borderId="0" xfId="0" applyFont="1"/>
    <xf numFmtId="0" fontId="53" fillId="0" borderId="0" xfId="0" applyFont="1"/>
    <xf numFmtId="0" fontId="53" fillId="0" borderId="7" xfId="0" applyFont="1" applyBorder="1"/>
    <xf numFmtId="9" fontId="53" fillId="0" borderId="7" xfId="0" applyNumberFormat="1" applyFont="1" applyBorder="1" applyAlignment="1">
      <alignment horizontal="center"/>
    </xf>
    <xf numFmtId="0" fontId="47" fillId="0" borderId="7" xfId="0" applyFont="1" applyBorder="1"/>
    <xf numFmtId="9" fontId="47" fillId="0" borderId="7" xfId="0" applyNumberFormat="1" applyFont="1" applyBorder="1" applyAlignment="1">
      <alignment horizontal="center"/>
    </xf>
    <xf numFmtId="9" fontId="36" fillId="0" borderId="0" xfId="12" applyFont="1" applyAlignment="1">
      <alignment horizontal="center"/>
    </xf>
    <xf numFmtId="0" fontId="30" fillId="0" borderId="0" xfId="0" quotePrefix="1" applyFont="1"/>
    <xf numFmtId="0" fontId="57" fillId="0" borderId="37" xfId="5" applyFont="1" applyBorder="1" applyAlignment="1">
      <alignment vertical="center" wrapText="1"/>
    </xf>
    <xf numFmtId="0" fontId="57" fillId="0" borderId="6" xfId="5" applyFont="1" applyBorder="1" applyAlignment="1">
      <alignment vertical="center" wrapText="1"/>
    </xf>
    <xf numFmtId="0" fontId="57" fillId="0" borderId="43" xfId="5" applyFont="1" applyBorder="1" applyAlignment="1">
      <alignment vertical="center" wrapText="1"/>
    </xf>
    <xf numFmtId="0" fontId="57" fillId="0" borderId="15" xfId="5" applyFont="1" applyBorder="1" applyAlignment="1">
      <alignment vertical="center" wrapText="1"/>
    </xf>
    <xf numFmtId="0" fontId="32" fillId="17" borderId="15" xfId="8" applyFont="1" applyFill="1" applyBorder="1" applyAlignment="1">
      <alignment horizontal="center" vertical="center" wrapText="1"/>
    </xf>
    <xf numFmtId="0" fontId="32" fillId="22" borderId="62" xfId="5" applyFont="1" applyFill="1" applyBorder="1" applyAlignment="1">
      <alignment vertical="center" wrapText="1"/>
    </xf>
    <xf numFmtId="164" fontId="32" fillId="23" borderId="63" xfId="2" applyNumberFormat="1" applyFont="1" applyFill="1" applyBorder="1" applyAlignment="1">
      <alignment vertical="center"/>
    </xf>
    <xf numFmtId="164" fontId="32" fillId="23" borderId="64" xfId="2" applyNumberFormat="1" applyFont="1" applyFill="1" applyBorder="1" applyAlignment="1">
      <alignment vertical="center"/>
    </xf>
    <xf numFmtId="0" fontId="36" fillId="18" borderId="58" xfId="8" applyFont="1" applyFill="1" applyBorder="1" applyAlignment="1">
      <alignment horizontal="center" vertical="center" wrapText="1"/>
    </xf>
    <xf numFmtId="0" fontId="60" fillId="6" borderId="36" xfId="5" applyFont="1" applyFill="1" applyBorder="1" applyAlignment="1">
      <alignment horizontal="center" vertical="center"/>
    </xf>
    <xf numFmtId="0" fontId="60" fillId="6" borderId="40" xfId="5" applyFont="1" applyFill="1" applyBorder="1" applyAlignment="1">
      <alignment horizontal="center" vertical="center"/>
    </xf>
    <xf numFmtId="1" fontId="57" fillId="0" borderId="52" xfId="5" applyNumberFormat="1" applyFont="1" applyBorder="1" applyAlignment="1">
      <alignment vertical="center"/>
    </xf>
    <xf numFmtId="0" fontId="57" fillId="0" borderId="12" xfId="5" applyFont="1" applyBorder="1" applyAlignment="1">
      <alignment vertical="center"/>
    </xf>
    <xf numFmtId="1" fontId="57" fillId="0" borderId="24" xfId="5" applyNumberFormat="1" applyFont="1" applyBorder="1" applyAlignment="1">
      <alignment vertical="center"/>
    </xf>
    <xf numFmtId="0" fontId="60" fillId="6" borderId="42" xfId="5" applyFont="1" applyFill="1" applyBorder="1" applyAlignment="1">
      <alignment horizontal="center" vertical="center"/>
    </xf>
    <xf numFmtId="0" fontId="30" fillId="0" borderId="12" xfId="0" applyFont="1" applyBorder="1" applyAlignment="1">
      <alignment vertical="center"/>
    </xf>
    <xf numFmtId="9" fontId="30" fillId="0" borderId="7" xfId="0" applyNumberFormat="1" applyFont="1" applyBorder="1" applyAlignment="1">
      <alignment vertical="center"/>
    </xf>
    <xf numFmtId="9" fontId="30" fillId="0" borderId="25" xfId="0" applyNumberFormat="1" applyFont="1" applyBorder="1" applyAlignment="1">
      <alignment vertical="center"/>
    </xf>
    <xf numFmtId="2" fontId="30" fillId="0" borderId="11" xfId="0" applyNumberFormat="1" applyFont="1" applyBorder="1" applyAlignment="1">
      <alignment vertical="center"/>
    </xf>
    <xf numFmtId="0" fontId="30" fillId="2" borderId="0" xfId="0" applyFont="1" applyFill="1" applyAlignment="1">
      <alignment vertical="center"/>
    </xf>
    <xf numFmtId="0" fontId="112" fillId="0" borderId="0" xfId="5" applyFont="1" applyAlignment="1">
      <alignment horizontal="left" vertical="center" indent="2"/>
    </xf>
    <xf numFmtId="0" fontId="65" fillId="0" borderId="0" xfId="0" applyFont="1" applyAlignment="1">
      <alignment horizontal="left" vertical="center" indent="4"/>
    </xf>
    <xf numFmtId="0" fontId="91" fillId="0" borderId="0" xfId="5" applyFont="1" applyAlignment="1">
      <alignment vertical="center"/>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23" xfId="0" applyFont="1" applyBorder="1" applyAlignment="1">
      <alignment horizontal="center" vertical="center" wrapText="1"/>
    </xf>
    <xf numFmtId="9" fontId="30" fillId="0" borderId="25" xfId="12" applyFont="1" applyBorder="1" applyAlignment="1">
      <alignment horizontal="center" vertical="center"/>
    </xf>
    <xf numFmtId="0" fontId="36" fillId="0" borderId="9" xfId="0" applyFont="1" applyBorder="1" applyAlignment="1">
      <alignment vertical="center"/>
    </xf>
    <xf numFmtId="0" fontId="36" fillId="0" borderId="22" xfId="0" applyFont="1" applyBorder="1" applyAlignment="1">
      <alignment horizontal="center" vertical="center" wrapText="1"/>
    </xf>
    <xf numFmtId="9" fontId="30" fillId="0" borderId="47" xfId="12" applyFont="1" applyBorder="1" applyAlignment="1">
      <alignment vertical="center"/>
    </xf>
    <xf numFmtId="9" fontId="30" fillId="0" borderId="111" xfId="12" applyFont="1" applyBorder="1" applyAlignment="1">
      <alignment horizontal="center" vertical="center"/>
    </xf>
    <xf numFmtId="9" fontId="36" fillId="0" borderId="10" xfId="12" applyFont="1" applyBorder="1" applyAlignment="1">
      <alignment vertical="center"/>
    </xf>
    <xf numFmtId="0" fontId="114" fillId="0" borderId="0" xfId="5" applyFont="1" applyAlignment="1">
      <alignment horizontal="left" vertical="center" indent="4"/>
    </xf>
    <xf numFmtId="0" fontId="68" fillId="0" borderId="0" xfId="5" applyFont="1" applyAlignment="1">
      <alignment vertical="center"/>
    </xf>
    <xf numFmtId="0" fontId="36" fillId="0" borderId="21" xfId="0" applyFont="1" applyBorder="1" applyAlignment="1">
      <alignment horizontal="center" vertical="center" wrapText="1"/>
    </xf>
    <xf numFmtId="0" fontId="53" fillId="0" borderId="24" xfId="5" applyFont="1" applyBorder="1" applyAlignment="1">
      <alignment vertical="center" wrapText="1"/>
    </xf>
    <xf numFmtId="176" fontId="30" fillId="0" borderId="7" xfId="2" applyNumberFormat="1" applyFont="1" applyBorder="1" applyAlignment="1">
      <alignment vertical="center" wrapText="1"/>
    </xf>
    <xf numFmtId="177" fontId="53" fillId="0" borderId="7" xfId="5" applyNumberFormat="1" applyFont="1" applyBorder="1" applyAlignment="1">
      <alignment vertical="center" wrapText="1"/>
    </xf>
    <xf numFmtId="0" fontId="30" fillId="0" borderId="25" xfId="0" applyFont="1" applyBorder="1" applyAlignment="1">
      <alignment vertical="center" wrapText="1"/>
    </xf>
    <xf numFmtId="0" fontId="53" fillId="0" borderId="9" xfId="5" applyFont="1" applyBorder="1" applyAlignment="1">
      <alignment vertical="center" wrapText="1"/>
    </xf>
    <xf numFmtId="176" fontId="30" fillId="0" borderId="10" xfId="2" applyNumberFormat="1" applyFont="1" applyBorder="1" applyAlignment="1">
      <alignment vertical="center" wrapText="1"/>
    </xf>
    <xf numFmtId="177" fontId="53" fillId="0" borderId="10" xfId="5" applyNumberFormat="1" applyFont="1" applyBorder="1" applyAlignment="1">
      <alignment vertical="center" wrapText="1"/>
    </xf>
    <xf numFmtId="9" fontId="30" fillId="0" borderId="10" xfId="12" applyFont="1" applyBorder="1" applyAlignment="1">
      <alignment horizontal="center" vertical="center"/>
    </xf>
    <xf numFmtId="0" fontId="30" fillId="0" borderId="11" xfId="0" applyFont="1" applyBorder="1" applyAlignment="1">
      <alignment vertical="center" wrapText="1"/>
    </xf>
    <xf numFmtId="0" fontId="68" fillId="0" borderId="0" xfId="5" applyFont="1" applyAlignment="1">
      <alignment horizontal="left" vertical="center" indent="4"/>
    </xf>
    <xf numFmtId="0" fontId="115" fillId="0" borderId="58" xfId="0" quotePrefix="1" applyFont="1" applyBorder="1" applyAlignment="1">
      <alignment horizontal="center" vertical="center"/>
    </xf>
    <xf numFmtId="0" fontId="68" fillId="0" borderId="0" xfId="5" applyFont="1" applyAlignment="1">
      <alignment horizontal="left" vertical="center" indent="2"/>
    </xf>
    <xf numFmtId="0" fontId="61" fillId="0" borderId="0" xfId="8" applyFont="1"/>
    <xf numFmtId="0" fontId="36" fillId="32" borderId="1" xfId="0" applyFont="1" applyFill="1" applyBorder="1" applyAlignment="1">
      <alignment horizontal="center" vertical="center" wrapText="1"/>
    </xf>
    <xf numFmtId="173" fontId="36" fillId="30" borderId="3" xfId="12" applyNumberFormat="1" applyFont="1" applyFill="1" applyBorder="1" applyAlignment="1">
      <alignment vertical="center"/>
    </xf>
    <xf numFmtId="0" fontId="37" fillId="0" borderId="0" xfId="0" applyFont="1" applyAlignment="1">
      <alignment horizontal="left" vertical="center" wrapText="1"/>
    </xf>
    <xf numFmtId="0" fontId="36" fillId="32" borderId="18" xfId="0" applyFont="1" applyFill="1" applyBorder="1" applyAlignment="1">
      <alignment horizontal="center" vertical="center" wrapText="1"/>
    </xf>
    <xf numFmtId="0" fontId="36" fillId="32" borderId="24" xfId="0" applyFont="1" applyFill="1" applyBorder="1" applyAlignment="1">
      <alignment horizontal="center" vertical="center" wrapText="1"/>
    </xf>
    <xf numFmtId="0" fontId="36" fillId="32" borderId="9" xfId="0" applyFont="1" applyFill="1" applyBorder="1" applyAlignment="1">
      <alignment horizontal="center" vertical="center" wrapText="1"/>
    </xf>
    <xf numFmtId="9" fontId="30" fillId="0" borderId="10" xfId="12" applyFont="1" applyBorder="1" applyAlignment="1">
      <alignment vertical="center"/>
    </xf>
    <xf numFmtId="0" fontId="30" fillId="0" borderId="113" xfId="0" applyFont="1" applyBorder="1" applyAlignment="1">
      <alignment vertical="center"/>
    </xf>
    <xf numFmtId="0" fontId="36" fillId="32" borderId="19" xfId="0" applyFont="1" applyFill="1" applyBorder="1" applyAlignment="1">
      <alignment horizontal="center" vertical="center" wrapText="1"/>
    </xf>
    <xf numFmtId="0" fontId="36" fillId="32" borderId="20" xfId="0" applyFont="1" applyFill="1" applyBorder="1" applyAlignment="1">
      <alignment horizontal="center" vertical="center" wrapText="1"/>
    </xf>
    <xf numFmtId="0" fontId="53" fillId="0" borderId="10" xfId="0" applyFont="1" applyBorder="1" applyAlignment="1">
      <alignment wrapText="1"/>
    </xf>
    <xf numFmtId="0" fontId="53" fillId="0" borderId="11" xfId="0" applyFont="1" applyBorder="1" applyAlignment="1">
      <alignment wrapText="1"/>
    </xf>
    <xf numFmtId="173" fontId="30" fillId="0" borderId="3" xfId="12" applyNumberFormat="1" applyFont="1" applyBorder="1" applyAlignment="1">
      <alignment vertical="center"/>
    </xf>
    <xf numFmtId="0" fontId="30" fillId="0" borderId="20" xfId="0" applyFont="1" applyBorder="1" applyAlignment="1">
      <alignment vertical="center" wrapText="1"/>
    </xf>
    <xf numFmtId="0" fontId="36" fillId="32" borderId="36" xfId="0" applyFont="1" applyFill="1" applyBorder="1" applyAlignment="1">
      <alignment horizontal="center" vertical="center" wrapText="1"/>
    </xf>
    <xf numFmtId="0" fontId="36" fillId="32" borderId="39" xfId="0" applyFont="1" applyFill="1" applyBorder="1" applyAlignment="1">
      <alignment horizontal="center" vertical="center" wrapText="1"/>
    </xf>
    <xf numFmtId="0" fontId="36" fillId="32" borderId="40" xfId="0" applyFont="1" applyFill="1" applyBorder="1" applyAlignment="1">
      <alignment horizontal="center" vertical="center" wrapText="1"/>
    </xf>
    <xf numFmtId="173" fontId="30" fillId="0" borderId="8" xfId="0" applyNumberFormat="1" applyFont="1" applyBorder="1" applyAlignment="1">
      <alignment vertical="center"/>
    </xf>
    <xf numFmtId="173" fontId="30" fillId="0" borderId="25" xfId="0" applyNumberFormat="1" applyFont="1" applyBorder="1" applyAlignment="1">
      <alignment vertical="center"/>
    </xf>
    <xf numFmtId="9" fontId="30" fillId="0" borderId="8" xfId="12" applyFont="1" applyBorder="1" applyAlignment="1">
      <alignment vertical="center"/>
    </xf>
    <xf numFmtId="9" fontId="30" fillId="0" borderId="25" xfId="12" applyFont="1" applyBorder="1" applyAlignment="1">
      <alignment vertical="center"/>
    </xf>
    <xf numFmtId="0" fontId="36" fillId="32" borderId="42" xfId="0" applyFont="1" applyFill="1" applyBorder="1" applyAlignment="1">
      <alignment horizontal="center" vertical="center" wrapText="1"/>
    </xf>
    <xf numFmtId="9" fontId="30" fillId="0" borderId="45" xfId="12" applyFont="1" applyBorder="1" applyAlignment="1">
      <alignment vertical="center"/>
    </xf>
    <xf numFmtId="0" fontId="107" fillId="0" borderId="16" xfId="9" applyFont="1" applyBorder="1" applyAlignment="1">
      <alignment horizontal="center" vertical="center" wrapText="1"/>
    </xf>
    <xf numFmtId="0" fontId="36" fillId="4" borderId="58" xfId="9" applyFont="1" applyFill="1" applyBorder="1" applyAlignment="1">
      <alignment horizontal="center" vertical="center" wrapText="1"/>
    </xf>
    <xf numFmtId="0" fontId="107" fillId="0" borderId="16" xfId="9" applyFont="1" applyBorder="1" applyAlignment="1">
      <alignment horizontal="center" vertical="center"/>
    </xf>
    <xf numFmtId="0" fontId="36" fillId="12" borderId="58" xfId="9" applyFont="1" applyFill="1" applyBorder="1" applyAlignment="1">
      <alignment horizontal="center" vertical="center" wrapText="1"/>
    </xf>
    <xf numFmtId="0" fontId="36" fillId="18" borderId="58" xfId="9" applyFont="1" applyFill="1" applyBorder="1" applyAlignment="1">
      <alignment horizontal="center" vertical="center" wrapText="1"/>
    </xf>
    <xf numFmtId="0" fontId="36" fillId="35" borderId="58" xfId="9" applyFont="1" applyFill="1" applyBorder="1" applyAlignment="1">
      <alignment horizontal="center" vertical="center" wrapText="1"/>
    </xf>
    <xf numFmtId="0" fontId="116" fillId="19" borderId="33" xfId="5" applyFont="1" applyFill="1" applyBorder="1" applyAlignment="1">
      <alignment horizontal="center" vertical="center"/>
    </xf>
    <xf numFmtId="0" fontId="116" fillId="19" borderId="34" xfId="5" applyFont="1" applyFill="1" applyBorder="1" applyAlignment="1">
      <alignment horizontal="center" vertical="center"/>
    </xf>
    <xf numFmtId="0" fontId="86" fillId="0" borderId="0" xfId="0" applyFont="1"/>
    <xf numFmtId="0" fontId="30" fillId="0" borderId="15" xfId="9" applyFont="1" applyBorder="1" applyAlignment="1">
      <alignment horizontal="left" vertical="center" wrapText="1"/>
    </xf>
    <xf numFmtId="0" fontId="53" fillId="0" borderId="19" xfId="5" applyFont="1" applyBorder="1" applyAlignment="1">
      <alignment vertical="center" wrapText="1"/>
    </xf>
    <xf numFmtId="0" fontId="53" fillId="0" borderId="6" xfId="5" applyFont="1" applyBorder="1" applyAlignment="1">
      <alignment horizontal="left" vertical="center" wrapText="1"/>
    </xf>
    <xf numFmtId="9" fontId="37" fillId="0" borderId="24" xfId="12" applyFont="1" applyBorder="1" applyAlignment="1">
      <alignment vertical="center" wrapText="1"/>
    </xf>
    <xf numFmtId="0" fontId="117" fillId="0" borderId="7" xfId="5" applyFont="1" applyBorder="1" applyAlignment="1">
      <alignment vertical="center" wrapText="1"/>
    </xf>
    <xf numFmtId="0" fontId="53" fillId="0" borderId="33" xfId="5" applyFont="1" applyBorder="1" applyAlignment="1">
      <alignment horizontal="left" vertical="center" wrapText="1"/>
    </xf>
    <xf numFmtId="9" fontId="37" fillId="0" borderId="9" xfId="12" applyFont="1" applyBorder="1" applyAlignment="1">
      <alignment vertical="center" wrapText="1"/>
    </xf>
    <xf numFmtId="0" fontId="117" fillId="0" borderId="10" xfId="5" applyFont="1" applyBorder="1" applyAlignment="1">
      <alignment vertical="center" wrapText="1"/>
    </xf>
    <xf numFmtId="0" fontId="53" fillId="0" borderId="37" xfId="5" applyFont="1" applyBorder="1" applyAlignment="1">
      <alignment horizontal="left" vertical="center" wrapText="1"/>
    </xf>
    <xf numFmtId="176" fontId="30" fillId="0" borderId="18" xfId="2" applyNumberFormat="1" applyFont="1" applyBorder="1" applyAlignment="1">
      <alignment vertical="center" wrapText="1"/>
    </xf>
    <xf numFmtId="43" fontId="53" fillId="0" borderId="24" xfId="5" applyNumberFormat="1" applyFont="1" applyBorder="1" applyAlignment="1">
      <alignment vertical="center" wrapText="1"/>
    </xf>
    <xf numFmtId="2" fontId="53" fillId="0" borderId="7" xfId="5" applyNumberFormat="1" applyFont="1" applyBorder="1" applyAlignment="1">
      <alignment vertical="center" wrapText="1"/>
    </xf>
    <xf numFmtId="176" fontId="53" fillId="0" borderId="24" xfId="5" applyNumberFormat="1" applyFont="1" applyBorder="1" applyAlignment="1">
      <alignment vertical="center" wrapText="1"/>
    </xf>
    <xf numFmtId="0" fontId="53" fillId="0" borderId="7" xfId="5" applyFont="1" applyBorder="1" applyAlignment="1">
      <alignment vertical="center" wrapText="1"/>
    </xf>
    <xf numFmtId="0" fontId="53" fillId="0" borderId="100" xfId="5" applyFont="1" applyBorder="1" applyAlignment="1">
      <alignment horizontal="left" vertical="center" wrapText="1"/>
    </xf>
    <xf numFmtId="2" fontId="53" fillId="0" borderId="10" xfId="5" applyNumberFormat="1" applyFont="1" applyBorder="1" applyAlignment="1">
      <alignment vertical="center" wrapText="1"/>
    </xf>
    <xf numFmtId="0" fontId="118" fillId="0" borderId="0" xfId="0" applyFont="1" applyAlignment="1">
      <alignment wrapText="1"/>
    </xf>
    <xf numFmtId="166" fontId="30" fillId="0" borderId="19" xfId="2" applyNumberFormat="1" applyFont="1" applyBorder="1" applyAlignment="1">
      <alignment vertical="center"/>
    </xf>
    <xf numFmtId="175" fontId="30" fillId="0" borderId="0" xfId="0" applyNumberFormat="1" applyFont="1" applyAlignment="1">
      <alignment vertical="center"/>
    </xf>
    <xf numFmtId="176" fontId="30" fillId="0" borderId="19" xfId="2" applyNumberFormat="1" applyFont="1" applyBorder="1" applyAlignment="1">
      <alignment vertical="center"/>
    </xf>
    <xf numFmtId="176" fontId="30" fillId="0" borderId="7" xfId="2" applyNumberFormat="1" applyFont="1" applyBorder="1" applyAlignment="1">
      <alignment vertical="center"/>
    </xf>
    <xf numFmtId="166" fontId="30" fillId="0" borderId="10" xfId="2" applyNumberFormat="1" applyFont="1" applyBorder="1" applyAlignment="1">
      <alignment vertical="center"/>
    </xf>
    <xf numFmtId="176" fontId="30" fillId="0" borderId="20" xfId="2" applyNumberFormat="1" applyFont="1" applyBorder="1" applyAlignment="1">
      <alignment vertical="center"/>
    </xf>
    <xf numFmtId="176" fontId="30" fillId="0" borderId="25" xfId="2" applyNumberFormat="1" applyFont="1" applyBorder="1" applyAlignment="1">
      <alignment vertical="center"/>
    </xf>
    <xf numFmtId="176" fontId="30" fillId="0" borderId="10" xfId="2" applyNumberFormat="1" applyFont="1" applyBorder="1" applyAlignment="1">
      <alignment vertical="center"/>
    </xf>
    <xf numFmtId="176" fontId="30" fillId="0" borderId="11" xfId="2" applyNumberFormat="1" applyFont="1" applyBorder="1" applyAlignment="1">
      <alignment vertical="center"/>
    </xf>
    <xf numFmtId="0" fontId="70" fillId="6" borderId="24" xfId="5" applyFont="1" applyFill="1" applyBorder="1" applyAlignment="1">
      <alignment horizontal="center" vertical="center"/>
    </xf>
    <xf numFmtId="0" fontId="53" fillId="0" borderId="25" xfId="5" applyFont="1" applyBorder="1" applyAlignment="1">
      <alignment vertical="center"/>
    </xf>
    <xf numFmtId="1" fontId="53" fillId="0" borderId="52" xfId="5" applyNumberFormat="1" applyFont="1" applyBorder="1" applyAlignment="1">
      <alignment vertical="center"/>
    </xf>
    <xf numFmtId="0" fontId="53" fillId="0" borderId="12" xfId="5" applyFont="1" applyBorder="1" applyAlignment="1">
      <alignment vertical="center"/>
    </xf>
    <xf numFmtId="1" fontId="53" fillId="0" borderId="24" xfId="5" applyNumberFormat="1" applyFont="1" applyBorder="1" applyAlignment="1">
      <alignment vertical="center"/>
    </xf>
    <xf numFmtId="0" fontId="94" fillId="38" borderId="15" xfId="9" applyFont="1" applyFill="1" applyBorder="1" applyAlignment="1">
      <alignment horizontal="center" vertical="center" wrapText="1"/>
    </xf>
    <xf numFmtId="0" fontId="106" fillId="56" borderId="50" xfId="5" applyFont="1" applyFill="1" applyBorder="1" applyAlignment="1">
      <alignment vertical="center" wrapText="1"/>
    </xf>
    <xf numFmtId="164" fontId="106" fillId="57" borderId="32" xfId="2" applyNumberFormat="1" applyFont="1" applyFill="1" applyBorder="1" applyAlignment="1">
      <alignment vertical="center"/>
    </xf>
    <xf numFmtId="0" fontId="36" fillId="0" borderId="23" xfId="0" applyFont="1" applyBorder="1" applyAlignment="1">
      <alignment horizontal="center" vertical="center"/>
    </xf>
    <xf numFmtId="9" fontId="36" fillId="0" borderId="11" xfId="0" applyNumberFormat="1" applyFont="1" applyBorder="1" applyAlignment="1">
      <alignment horizontal="center" vertical="center"/>
    </xf>
    <xf numFmtId="0" fontId="53" fillId="0" borderId="3" xfId="5" applyFont="1" applyBorder="1" applyAlignment="1">
      <alignment vertical="center"/>
    </xf>
    <xf numFmtId="1" fontId="30" fillId="0" borderId="0" xfId="0" applyNumberFormat="1" applyFont="1" applyAlignment="1">
      <alignment vertical="center" wrapText="1"/>
    </xf>
    <xf numFmtId="0" fontId="30" fillId="0" borderId="0" xfId="12" applyNumberFormat="1" applyFont="1" applyFill="1" applyBorder="1" applyAlignment="1">
      <alignment vertical="center"/>
    </xf>
    <xf numFmtId="9" fontId="30" fillId="0" borderId="0" xfId="12" applyFont="1" applyFill="1" applyBorder="1" applyAlignment="1">
      <alignment vertical="center"/>
    </xf>
    <xf numFmtId="9" fontId="30" fillId="0" borderId="0" xfId="0" applyNumberFormat="1" applyFont="1" applyAlignment="1">
      <alignment vertical="center" wrapText="1"/>
    </xf>
    <xf numFmtId="0" fontId="30" fillId="0" borderId="0" xfId="2" applyNumberFormat="1" applyFont="1" applyFill="1" applyBorder="1" applyAlignment="1">
      <alignment vertical="center"/>
    </xf>
    <xf numFmtId="164" fontId="30" fillId="0" borderId="0" xfId="2" applyNumberFormat="1" applyFont="1" applyFill="1" applyBorder="1" applyAlignment="1">
      <alignment vertical="center"/>
    </xf>
    <xf numFmtId="0" fontId="36" fillId="0" borderId="0" xfId="0" applyFont="1" applyAlignment="1">
      <alignment vertical="center" wrapText="1"/>
    </xf>
    <xf numFmtId="9" fontId="30" fillId="0" borderId="25" xfId="0" applyNumberFormat="1" applyFont="1" applyBorder="1" applyAlignment="1">
      <alignment vertical="center" wrapText="1"/>
    </xf>
    <xf numFmtId="9" fontId="30" fillId="0" borderId="111" xfId="0" applyNumberFormat="1" applyFont="1" applyBorder="1" applyAlignment="1">
      <alignment vertical="center" wrapText="1"/>
    </xf>
    <xf numFmtId="9" fontId="30" fillId="0" borderId="20" xfId="0" applyNumberFormat="1" applyFont="1" applyBorder="1" applyAlignment="1">
      <alignment vertical="center" wrapText="1"/>
    </xf>
    <xf numFmtId="9" fontId="30" fillId="0" borderId="11" xfId="0" applyNumberFormat="1" applyFont="1" applyBorder="1" applyAlignment="1">
      <alignment vertical="center" wrapText="1"/>
    </xf>
    <xf numFmtId="0" fontId="36" fillId="0" borderId="47" xfId="0" applyFont="1" applyBorder="1" applyAlignment="1">
      <alignment horizontal="center" vertical="center"/>
    </xf>
    <xf numFmtId="181" fontId="30" fillId="0" borderId="7" xfId="2" applyNumberFormat="1" applyFont="1" applyFill="1" applyBorder="1" applyAlignment="1">
      <alignment vertical="center"/>
    </xf>
    <xf numFmtId="0" fontId="36" fillId="47" borderId="7" xfId="0" applyFont="1" applyFill="1" applyBorder="1" applyAlignment="1">
      <alignment horizontal="center" vertical="center" wrapText="1"/>
    </xf>
    <xf numFmtId="173" fontId="36" fillId="47" borderId="7" xfId="12" applyNumberFormat="1" applyFont="1" applyFill="1" applyBorder="1" applyAlignment="1">
      <alignment horizontal="center" vertical="center" wrapText="1"/>
    </xf>
    <xf numFmtId="164" fontId="30" fillId="0" borderId="7" xfId="2" applyNumberFormat="1" applyFont="1" applyFill="1" applyBorder="1" applyAlignment="1">
      <alignment horizontal="center" vertical="center"/>
    </xf>
    <xf numFmtId="0" fontId="53" fillId="0" borderId="0" xfId="5" applyFont="1" applyAlignment="1">
      <alignment horizontal="left" vertical="center" wrapText="1"/>
    </xf>
    <xf numFmtId="0" fontId="36" fillId="47" borderId="22" xfId="0" applyFont="1" applyFill="1" applyBorder="1" applyAlignment="1">
      <alignment horizontal="center" vertical="center" wrapText="1"/>
    </xf>
    <xf numFmtId="9" fontId="36" fillId="47" borderId="22" xfId="12" applyFont="1" applyFill="1" applyBorder="1" applyAlignment="1">
      <alignment horizontal="center" vertical="center" wrapText="1"/>
    </xf>
    <xf numFmtId="0" fontId="60" fillId="6" borderId="110" xfId="5" applyFont="1" applyFill="1" applyBorder="1" applyAlignment="1">
      <alignment horizontal="center" vertical="center"/>
    </xf>
    <xf numFmtId="0" fontId="57" fillId="0" borderId="111" xfId="5" applyFont="1" applyBorder="1" applyAlignment="1">
      <alignment vertical="center"/>
    </xf>
    <xf numFmtId="0" fontId="36" fillId="0" borderId="117" xfId="0" applyFont="1" applyBorder="1" applyAlignment="1">
      <alignment horizontal="right" vertical="center"/>
    </xf>
    <xf numFmtId="0" fontId="30" fillId="0" borderId="117" xfId="0" applyFont="1" applyBorder="1" applyAlignment="1">
      <alignment horizontal="center" vertical="center"/>
    </xf>
    <xf numFmtId="0" fontId="30" fillId="0" borderId="117" xfId="0" applyFont="1" applyBorder="1" applyAlignment="1">
      <alignment horizontal="center" vertical="center" wrapText="1"/>
    </xf>
    <xf numFmtId="9" fontId="30" fillId="0" borderId="117" xfId="0" applyNumberFormat="1" applyFont="1" applyBorder="1" applyAlignment="1">
      <alignment vertical="center"/>
    </xf>
    <xf numFmtId="0" fontId="30" fillId="0" borderId="121" xfId="0" applyFont="1" applyBorder="1" applyAlignment="1">
      <alignment vertical="center"/>
    </xf>
    <xf numFmtId="9" fontId="30" fillId="0" borderId="121" xfId="0" applyNumberFormat="1" applyFont="1" applyBorder="1" applyAlignment="1">
      <alignment vertical="center"/>
    </xf>
    <xf numFmtId="0" fontId="91" fillId="0" borderId="0" xfId="5" applyFont="1" applyAlignment="1">
      <alignment horizontal="left" vertical="center" indent="4"/>
    </xf>
    <xf numFmtId="0" fontId="30" fillId="0" borderId="20" xfId="0" applyFont="1" applyBorder="1"/>
    <xf numFmtId="0" fontId="37" fillId="0" borderId="24" xfId="0" applyFont="1" applyBorder="1" applyAlignment="1">
      <alignment horizontal="left" vertical="center" wrapText="1"/>
    </xf>
    <xf numFmtId="9" fontId="30" fillId="0" borderId="25" xfId="0" applyNumberFormat="1" applyFont="1" applyBorder="1"/>
    <xf numFmtId="43" fontId="37" fillId="0" borderId="0" xfId="2" applyFont="1"/>
    <xf numFmtId="0" fontId="37" fillId="0" borderId="9" xfId="0" applyFont="1" applyBorder="1" applyAlignment="1">
      <alignment horizontal="left" vertical="center" wrapText="1"/>
    </xf>
    <xf numFmtId="9" fontId="30" fillId="0" borderId="11" xfId="0" applyNumberFormat="1" applyFont="1" applyBorder="1"/>
    <xf numFmtId="0" fontId="36" fillId="18" borderId="7" xfId="0" quotePrefix="1" applyFont="1" applyFill="1" applyBorder="1" applyAlignment="1">
      <alignment horizontal="center" vertical="center"/>
    </xf>
    <xf numFmtId="9" fontId="30" fillId="0" borderId="7" xfId="0" quotePrefix="1" applyNumberFormat="1" applyFont="1" applyBorder="1" applyAlignment="1">
      <alignment vertical="center"/>
    </xf>
    <xf numFmtId="0" fontId="36" fillId="7" borderId="4" xfId="0" quotePrefix="1" applyFont="1" applyFill="1" applyBorder="1" applyAlignment="1">
      <alignment vertical="center"/>
    </xf>
    <xf numFmtId="0" fontId="36" fillId="7" borderId="116" xfId="0" quotePrefix="1" applyFont="1" applyFill="1" applyBorder="1" applyAlignment="1">
      <alignment vertical="center"/>
    </xf>
    <xf numFmtId="164" fontId="36" fillId="7" borderId="36" xfId="2" quotePrefix="1" applyNumberFormat="1" applyFont="1" applyFill="1" applyBorder="1" applyAlignment="1">
      <alignment vertical="center" wrapText="1"/>
    </xf>
    <xf numFmtId="164" fontId="36" fillId="7" borderId="108" xfId="2" applyNumberFormat="1" applyFont="1" applyFill="1" applyBorder="1" applyAlignment="1">
      <alignment vertical="center" wrapText="1"/>
    </xf>
    <xf numFmtId="1" fontId="36" fillId="7" borderId="55" xfId="0" applyNumberFormat="1" applyFont="1" applyFill="1" applyBorder="1" applyAlignment="1">
      <alignment vertical="center" wrapText="1"/>
    </xf>
    <xf numFmtId="164" fontId="36" fillId="7" borderId="18" xfId="2" applyNumberFormat="1" applyFont="1" applyFill="1" applyBorder="1" applyAlignment="1">
      <alignment vertical="center" wrapText="1"/>
    </xf>
    <xf numFmtId="164" fontId="36" fillId="7" borderId="20" xfId="2" applyNumberFormat="1" applyFont="1" applyFill="1" applyBorder="1" applyAlignment="1">
      <alignment vertical="center" wrapText="1"/>
    </xf>
    <xf numFmtId="164" fontId="36" fillId="7" borderId="55" xfId="2" applyNumberFormat="1" applyFont="1" applyFill="1" applyBorder="1" applyAlignment="1">
      <alignment vertical="center" wrapText="1"/>
    </xf>
    <xf numFmtId="0" fontId="36" fillId="7" borderId="20" xfId="0" applyFont="1" applyFill="1" applyBorder="1" applyAlignment="1">
      <alignment vertical="center" wrapText="1"/>
    </xf>
    <xf numFmtId="9" fontId="37" fillId="18" borderId="42" xfId="12" applyFont="1" applyFill="1" applyBorder="1" applyAlignment="1">
      <alignment vertical="center" wrapText="1"/>
    </xf>
    <xf numFmtId="9" fontId="37" fillId="18" borderId="53" xfId="12" applyFont="1" applyFill="1" applyBorder="1" applyAlignment="1">
      <alignment vertical="center" wrapText="1"/>
    </xf>
    <xf numFmtId="9" fontId="37" fillId="18" borderId="56" xfId="12" applyFont="1" applyFill="1" applyBorder="1" applyAlignment="1">
      <alignment vertical="center" wrapText="1"/>
    </xf>
    <xf numFmtId="9" fontId="37" fillId="18" borderId="9" xfId="12" applyFont="1" applyFill="1" applyBorder="1" applyAlignment="1">
      <alignment vertical="center" wrapText="1"/>
    </xf>
    <xf numFmtId="9" fontId="37" fillId="18" borderId="11" xfId="12" applyFont="1" applyFill="1" applyBorder="1" applyAlignment="1">
      <alignment vertical="center" wrapText="1"/>
    </xf>
    <xf numFmtId="0" fontId="37" fillId="18" borderId="11" xfId="0" applyFont="1" applyFill="1" applyBorder="1" applyAlignment="1">
      <alignment vertical="center" wrapText="1"/>
    </xf>
    <xf numFmtId="0" fontId="117" fillId="0" borderId="0" xfId="5" applyFont="1" applyAlignment="1">
      <alignment vertical="center"/>
    </xf>
    <xf numFmtId="0" fontId="92" fillId="12" borderId="36" xfId="9" applyFont="1" applyFill="1" applyBorder="1" applyAlignment="1">
      <alignment horizontal="center" vertical="center" wrapText="1"/>
    </xf>
    <xf numFmtId="0" fontId="52" fillId="0" borderId="0" xfId="0" applyFont="1" applyAlignment="1">
      <alignment horizontal="left" vertical="center" indent="2"/>
    </xf>
    <xf numFmtId="0" fontId="36" fillId="0" borderId="18" xfId="0" applyFont="1" applyBorder="1"/>
    <xf numFmtId="0" fontId="36" fillId="0" borderId="19" xfId="0" applyFont="1" applyBorder="1"/>
    <xf numFmtId="0" fontId="36" fillId="0" borderId="20" xfId="0" applyFont="1" applyBorder="1"/>
    <xf numFmtId="0" fontId="36" fillId="0" borderId="24" xfId="0" applyFont="1" applyBorder="1" applyAlignment="1">
      <alignment vertical="center" wrapText="1"/>
    </xf>
    <xf numFmtId="1" fontId="30" fillId="0" borderId="7" xfId="0" applyNumberFormat="1" applyFont="1" applyBorder="1"/>
    <xf numFmtId="1" fontId="30" fillId="0" borderId="25" xfId="0" applyNumberFormat="1" applyFont="1" applyBorder="1"/>
    <xf numFmtId="0" fontId="36" fillId="0" borderId="9" xfId="0" applyFont="1" applyBorder="1" applyAlignment="1">
      <alignment vertical="center" wrapText="1"/>
    </xf>
    <xf numFmtId="1" fontId="30" fillId="0" borderId="10" xfId="0" applyNumberFormat="1" applyFont="1" applyBorder="1"/>
    <xf numFmtId="1" fontId="30" fillId="0" borderId="11" xfId="0" applyNumberFormat="1" applyFont="1" applyBorder="1"/>
    <xf numFmtId="0" fontId="108" fillId="0" borderId="16" xfId="9" applyFont="1" applyBorder="1" applyAlignment="1">
      <alignment horizontal="center" vertical="center" wrapText="1"/>
    </xf>
    <xf numFmtId="0" fontId="52" fillId="4" borderId="58" xfId="9" applyFont="1" applyFill="1" applyBorder="1" applyAlignment="1">
      <alignment horizontal="center" vertical="center" wrapText="1"/>
    </xf>
    <xf numFmtId="0" fontId="108" fillId="0" borderId="16" xfId="9" applyFont="1" applyBorder="1" applyAlignment="1">
      <alignment horizontal="center" vertical="center"/>
    </xf>
    <xf numFmtId="0" fontId="52" fillId="12" borderId="58" xfId="9" applyFont="1" applyFill="1" applyBorder="1" applyAlignment="1">
      <alignment horizontal="center" vertical="center" wrapText="1"/>
    </xf>
    <xf numFmtId="0" fontId="52" fillId="18" borderId="58" xfId="9" applyFont="1" applyFill="1" applyBorder="1" applyAlignment="1">
      <alignment horizontal="center" vertical="center" wrapText="1"/>
    </xf>
    <xf numFmtId="0" fontId="52" fillId="35" borderId="58" xfId="9" applyFont="1" applyFill="1" applyBorder="1" applyAlignment="1">
      <alignment horizontal="center" vertical="center" wrapText="1"/>
    </xf>
    <xf numFmtId="0" fontId="36" fillId="4" borderId="4" xfId="9" applyFont="1" applyFill="1" applyBorder="1" applyAlignment="1">
      <alignment horizontal="center" vertical="center" wrapText="1"/>
    </xf>
    <xf numFmtId="164" fontId="30" fillId="0" borderId="54" xfId="2" applyNumberFormat="1" applyFont="1" applyBorder="1" applyAlignment="1">
      <alignment vertical="center"/>
    </xf>
    <xf numFmtId="164" fontId="30" fillId="0" borderId="26" xfId="2" applyNumberFormat="1" applyFont="1" applyBorder="1" applyAlignment="1">
      <alignment vertical="center"/>
    </xf>
    <xf numFmtId="164" fontId="30" fillId="0" borderId="54" xfId="2" applyNumberFormat="1" applyFont="1" applyBorder="1" applyAlignment="1">
      <alignment vertical="center" wrapText="1"/>
    </xf>
    <xf numFmtId="0" fontId="53" fillId="0" borderId="26" xfId="5" applyFont="1" applyBorder="1" applyAlignment="1">
      <alignment vertical="center" wrapText="1"/>
    </xf>
    <xf numFmtId="164" fontId="30" fillId="0" borderId="26" xfId="0" applyNumberFormat="1" applyFont="1" applyBorder="1" applyAlignment="1">
      <alignment vertical="center"/>
    </xf>
    <xf numFmtId="0" fontId="30" fillId="0" borderId="27" xfId="0" applyFont="1" applyBorder="1" applyAlignment="1">
      <alignment vertical="center"/>
    </xf>
    <xf numFmtId="164" fontId="30" fillId="0" borderId="27" xfId="2" applyNumberFormat="1" applyFont="1" applyBorder="1" applyAlignment="1">
      <alignment vertical="center"/>
    </xf>
    <xf numFmtId="9" fontId="37" fillId="0" borderId="21" xfId="12" applyFont="1" applyBorder="1" applyAlignment="1">
      <alignment vertical="center" wrapText="1"/>
    </xf>
    <xf numFmtId="0" fontId="117" fillId="0" borderId="22" xfId="5" applyFont="1" applyBorder="1" applyAlignment="1">
      <alignment vertical="center" wrapText="1"/>
    </xf>
    <xf numFmtId="0" fontId="30" fillId="0" borderId="22" xfId="0" applyFont="1" applyBorder="1" applyAlignment="1">
      <alignment vertical="center"/>
    </xf>
    <xf numFmtId="9" fontId="30" fillId="0" borderId="22" xfId="0" applyNumberFormat="1" applyFont="1" applyBorder="1" applyAlignment="1">
      <alignment vertical="center"/>
    </xf>
    <xf numFmtId="9" fontId="30" fillId="0" borderId="23" xfId="0" applyNumberFormat="1" applyFont="1" applyBorder="1" applyAlignment="1">
      <alignment vertical="center"/>
    </xf>
    <xf numFmtId="164" fontId="30" fillId="0" borderId="1" xfId="2" applyNumberFormat="1" applyFont="1" applyBorder="1" applyAlignment="1">
      <alignment vertical="center" wrapText="1"/>
    </xf>
    <xf numFmtId="164" fontId="30" fillId="0" borderId="22" xfId="2" applyNumberFormat="1" applyFont="1" applyBorder="1" applyAlignment="1">
      <alignment vertical="center"/>
    </xf>
    <xf numFmtId="164" fontId="30" fillId="0" borderId="0" xfId="2" applyNumberFormat="1" applyFont="1"/>
    <xf numFmtId="164" fontId="30" fillId="0" borderId="7" xfId="2" applyNumberFormat="1" applyFont="1" applyBorder="1" applyAlignment="1">
      <alignment horizontal="left" vertical="center" wrapText="1"/>
    </xf>
    <xf numFmtId="166" fontId="30" fillId="0" borderId="19" xfId="0" applyNumberFormat="1" applyFont="1" applyBorder="1" applyAlignment="1">
      <alignment vertical="center"/>
    </xf>
    <xf numFmtId="166" fontId="30" fillId="0" borderId="10" xfId="0" applyNumberFormat="1" applyFont="1" applyBorder="1" applyAlignment="1">
      <alignment vertical="center"/>
    </xf>
    <xf numFmtId="0" fontId="52" fillId="0" borderId="1" xfId="0" applyFont="1" applyBorder="1" applyAlignment="1">
      <alignment vertical="center" wrapText="1"/>
    </xf>
    <xf numFmtId="164" fontId="52" fillId="0" borderId="2" xfId="2" applyNumberFormat="1" applyFont="1" applyFill="1" applyBorder="1" applyAlignment="1">
      <alignment vertical="center"/>
    </xf>
    <xf numFmtId="0" fontId="52" fillId="0" borderId="3" xfId="0" applyFont="1" applyBorder="1" applyAlignment="1">
      <alignment vertical="center"/>
    </xf>
    <xf numFmtId="0" fontId="30" fillId="0" borderId="49" xfId="0" applyFont="1" applyBorder="1" applyAlignment="1">
      <alignment horizontal="left" vertical="center" wrapText="1"/>
    </xf>
    <xf numFmtId="0" fontId="30" fillId="0" borderId="31" xfId="0" applyFont="1" applyBorder="1" applyAlignment="1">
      <alignment horizontal="left" vertical="center" wrapText="1"/>
    </xf>
    <xf numFmtId="0" fontId="30" fillId="0" borderId="32" xfId="0" applyFont="1" applyBorder="1" applyAlignment="1">
      <alignment horizontal="left" vertical="center" wrapText="1"/>
    </xf>
    <xf numFmtId="0" fontId="53" fillId="0" borderId="0" xfId="5" applyFont="1" applyAlignment="1">
      <alignment horizontal="center" vertical="center"/>
    </xf>
    <xf numFmtId="0" fontId="47" fillId="62" borderId="26" xfId="0" applyFont="1" applyFill="1" applyBorder="1" applyAlignment="1">
      <alignment horizontal="center" vertical="center" wrapText="1"/>
    </xf>
    <xf numFmtId="0" fontId="47" fillId="62" borderId="123" xfId="0" applyFont="1" applyFill="1" applyBorder="1" applyAlignment="1">
      <alignment horizontal="center" vertical="center" wrapText="1"/>
    </xf>
    <xf numFmtId="0" fontId="30" fillId="61" borderId="59" xfId="0" applyFont="1" applyFill="1" applyBorder="1" applyAlignment="1">
      <alignment vertical="center"/>
    </xf>
    <xf numFmtId="0" fontId="47" fillId="62" borderId="116" xfId="0" applyFont="1" applyFill="1" applyBorder="1" applyAlignment="1">
      <alignment horizontal="center" vertical="center" wrapText="1"/>
    </xf>
    <xf numFmtId="166" fontId="30" fillId="0" borderId="55" xfId="2" applyNumberFormat="1" applyFont="1" applyBorder="1" applyAlignment="1">
      <alignment vertical="center"/>
    </xf>
    <xf numFmtId="166" fontId="30" fillId="0" borderId="12" xfId="2" applyNumberFormat="1" applyFont="1" applyBorder="1" applyAlignment="1">
      <alignment vertical="center"/>
    </xf>
    <xf numFmtId="166" fontId="30" fillId="0" borderId="56" xfId="2" applyNumberFormat="1" applyFont="1" applyBorder="1" applyAlignment="1">
      <alignment vertical="center"/>
    </xf>
    <xf numFmtId="166" fontId="30" fillId="0" borderId="55" xfId="0" applyNumberFormat="1" applyFont="1" applyBorder="1" applyAlignment="1">
      <alignment vertical="center"/>
    </xf>
    <xf numFmtId="166" fontId="30" fillId="0" borderId="12" xfId="0" applyNumberFormat="1" applyFont="1" applyBorder="1" applyAlignment="1">
      <alignment vertical="center"/>
    </xf>
    <xf numFmtId="166" fontId="30" fillId="0" borderId="56" xfId="0" applyNumberFormat="1" applyFont="1" applyBorder="1" applyAlignment="1">
      <alignment vertical="center"/>
    </xf>
    <xf numFmtId="0" fontId="47" fillId="62" borderId="59" xfId="0" applyFont="1" applyFill="1" applyBorder="1" applyAlignment="1">
      <alignment horizontal="center" vertical="center" wrapText="1"/>
    </xf>
    <xf numFmtId="164" fontId="36" fillId="0" borderId="36" xfId="0" applyNumberFormat="1" applyFont="1" applyBorder="1" applyAlignment="1">
      <alignment vertical="center"/>
    </xf>
    <xf numFmtId="164" fontId="36" fillId="0" borderId="40" xfId="0" applyNumberFormat="1" applyFont="1" applyBorder="1" applyAlignment="1">
      <alignment vertical="center"/>
    </xf>
    <xf numFmtId="164" fontId="36" fillId="0" borderId="42" xfId="0" applyNumberFormat="1" applyFont="1" applyBorder="1" applyAlignment="1">
      <alignment vertical="center"/>
    </xf>
    <xf numFmtId="164" fontId="30" fillId="0" borderId="46" xfId="2" applyNumberFormat="1" applyFont="1" applyBorder="1" applyAlignment="1">
      <alignment vertical="center"/>
    </xf>
    <xf numFmtId="164" fontId="30" fillId="0" borderId="7" xfId="0" applyNumberFormat="1" applyFont="1" applyBorder="1" applyAlignment="1">
      <alignment horizontal="left" vertical="center" wrapText="1"/>
    </xf>
    <xf numFmtId="164" fontId="47" fillId="15" borderId="7" xfId="0" applyNumberFormat="1" applyFont="1" applyFill="1" applyBorder="1" applyAlignment="1">
      <alignment horizontal="center" vertical="center" wrapText="1"/>
    </xf>
    <xf numFmtId="164" fontId="47" fillId="15" borderId="52" xfId="0" applyNumberFormat="1" applyFont="1" applyFill="1" applyBorder="1" applyAlignment="1">
      <alignment horizontal="center" vertical="center" wrapText="1"/>
    </xf>
    <xf numFmtId="164" fontId="53" fillId="0" borderId="22" xfId="0" applyNumberFormat="1" applyFont="1" applyBorder="1" applyAlignment="1">
      <alignment horizontal="center" vertical="center"/>
    </xf>
    <xf numFmtId="164" fontId="53" fillId="0" borderId="51" xfId="2" applyNumberFormat="1" applyFont="1" applyBorder="1" applyAlignment="1">
      <alignment horizontal="left" vertical="center"/>
    </xf>
    <xf numFmtId="164" fontId="30" fillId="0" borderId="22" xfId="0" applyNumberFormat="1" applyFont="1" applyBorder="1" applyAlignment="1">
      <alignment horizontal="center" vertical="center"/>
    </xf>
    <xf numFmtId="164" fontId="30" fillId="0" borderId="51" xfId="2" applyNumberFormat="1" applyFont="1" applyBorder="1" applyAlignment="1">
      <alignment horizontal="left" vertical="center" wrapText="1"/>
    </xf>
    <xf numFmtId="0" fontId="30" fillId="0" borderId="0" xfId="0" applyFont="1" applyAlignment="1">
      <alignment horizontal="left"/>
    </xf>
    <xf numFmtId="0" fontId="36" fillId="0" borderId="0" xfId="0" applyFont="1" applyAlignment="1">
      <alignment horizontal="left"/>
    </xf>
    <xf numFmtId="164" fontId="30" fillId="0" borderId="51" xfId="2" applyNumberFormat="1" applyFont="1" applyBorder="1" applyAlignment="1">
      <alignment horizontal="left" vertical="center"/>
    </xf>
    <xf numFmtId="164" fontId="30" fillId="0" borderId="0" xfId="2" applyNumberFormat="1" applyFont="1" applyAlignment="1">
      <alignment horizontal="left"/>
    </xf>
    <xf numFmtId="0" fontId="56" fillId="0" borderId="0" xfId="0" applyFont="1" applyAlignment="1">
      <alignment horizontal="left"/>
    </xf>
    <xf numFmtId="0" fontId="56" fillId="0" borderId="0" xfId="0" applyFont="1"/>
    <xf numFmtId="164" fontId="53" fillId="0" borderId="7" xfId="0" applyNumberFormat="1" applyFont="1" applyBorder="1" applyAlignment="1">
      <alignment horizontal="center" vertical="center"/>
    </xf>
    <xf numFmtId="164" fontId="53" fillId="0" borderId="7" xfId="2" applyNumberFormat="1" applyFont="1" applyBorder="1" applyAlignment="1">
      <alignment horizontal="left" vertical="center"/>
    </xf>
    <xf numFmtId="0" fontId="36" fillId="0" borderId="0" xfId="0" quotePrefix="1" applyFont="1"/>
    <xf numFmtId="0" fontId="36" fillId="16" borderId="18" xfId="0" applyFont="1" applyFill="1" applyBorder="1" applyAlignment="1">
      <alignment wrapText="1"/>
    </xf>
    <xf numFmtId="164" fontId="30" fillId="0" borderId="19" xfId="0" applyNumberFormat="1" applyFont="1" applyBorder="1"/>
    <xf numFmtId="0" fontId="30" fillId="0" borderId="19" xfId="0" applyFont="1" applyBorder="1"/>
    <xf numFmtId="0" fontId="36" fillId="16" borderId="24" xfId="0" applyFont="1" applyFill="1" applyBorder="1" applyAlignment="1">
      <alignment wrapText="1"/>
    </xf>
    <xf numFmtId="0" fontId="30" fillId="0" borderId="25" xfId="0" applyFont="1" applyBorder="1"/>
    <xf numFmtId="0" fontId="36" fillId="16" borderId="9" xfId="0" applyFont="1" applyFill="1" applyBorder="1" applyAlignment="1">
      <alignment wrapText="1"/>
    </xf>
    <xf numFmtId="164" fontId="30" fillId="0" borderId="10" xfId="0" applyNumberFormat="1" applyFont="1" applyBorder="1"/>
    <xf numFmtId="0" fontId="30" fillId="0" borderId="10" xfId="0" applyFont="1" applyBorder="1"/>
    <xf numFmtId="0" fontId="30" fillId="0" borderId="11" xfId="0" applyFont="1" applyBorder="1"/>
    <xf numFmtId="0" fontId="36" fillId="0" borderId="59" xfId="0" applyFont="1" applyBorder="1" applyAlignment="1">
      <alignment vertical="center"/>
    </xf>
    <xf numFmtId="0" fontId="36" fillId="0" borderId="124" xfId="0" applyFont="1" applyBorder="1" applyAlignment="1">
      <alignment vertical="center"/>
    </xf>
    <xf numFmtId="0" fontId="30" fillId="0" borderId="125" xfId="0" applyFont="1" applyBorder="1" applyAlignment="1">
      <alignment vertical="center"/>
    </xf>
    <xf numFmtId="164" fontId="30" fillId="0" borderId="126" xfId="2" applyNumberFormat="1" applyFont="1" applyFill="1" applyBorder="1" applyAlignment="1">
      <alignment vertical="center"/>
    </xf>
    <xf numFmtId="176" fontId="30" fillId="0" borderId="127" xfId="2" applyNumberFormat="1" applyFont="1" applyFill="1" applyBorder="1" applyAlignment="1">
      <alignment vertical="center"/>
    </xf>
    <xf numFmtId="164" fontId="36" fillId="0" borderId="128" xfId="0" applyNumberFormat="1" applyFont="1" applyBorder="1" applyAlignment="1">
      <alignment vertical="center"/>
    </xf>
    <xf numFmtId="0" fontId="30" fillId="0" borderId="123" xfId="0" applyFont="1" applyBorder="1" applyAlignment="1">
      <alignment vertical="center"/>
    </xf>
    <xf numFmtId="176" fontId="30" fillId="0" borderId="116" xfId="0" applyNumberFormat="1" applyFont="1" applyBorder="1" applyAlignment="1">
      <alignment vertical="center"/>
    </xf>
    <xf numFmtId="164" fontId="30" fillId="0" borderId="7" xfId="0" applyNumberFormat="1" applyFont="1" applyBorder="1" applyAlignment="1">
      <alignment horizontal="center"/>
    </xf>
    <xf numFmtId="164" fontId="30" fillId="0" borderId="7" xfId="2" applyNumberFormat="1" applyFont="1" applyFill="1" applyBorder="1"/>
    <xf numFmtId="9" fontId="30" fillId="0" borderId="7" xfId="12" applyFont="1" applyFill="1" applyBorder="1" applyAlignment="1">
      <alignment horizontal="center"/>
    </xf>
    <xf numFmtId="168" fontId="30" fillId="0" borderId="7" xfId="0" applyNumberFormat="1" applyFont="1" applyBorder="1" applyAlignment="1">
      <alignment horizontal="center"/>
    </xf>
    <xf numFmtId="43" fontId="30" fillId="0" borderId="7" xfId="0" applyNumberFormat="1" applyFont="1" applyBorder="1" applyAlignment="1">
      <alignment horizontal="center"/>
    </xf>
    <xf numFmtId="0" fontId="36" fillId="0" borderId="7" xfId="0" applyFont="1" applyBorder="1"/>
    <xf numFmtId="164" fontId="36" fillId="0" borderId="7" xfId="0" applyNumberFormat="1" applyFont="1" applyBorder="1" applyAlignment="1">
      <alignment horizontal="center"/>
    </xf>
    <xf numFmtId="164" fontId="36" fillId="0" borderId="7" xfId="0" applyNumberFormat="1" applyFont="1" applyBorder="1" applyAlignment="1">
      <alignment horizontal="center" vertical="center"/>
    </xf>
    <xf numFmtId="9" fontId="36" fillId="0" borderId="7" xfId="12" applyFont="1" applyFill="1" applyBorder="1" applyAlignment="1">
      <alignment horizontal="center"/>
    </xf>
    <xf numFmtId="169" fontId="36" fillId="0" borderId="7" xfId="0" applyNumberFormat="1" applyFont="1" applyBorder="1" applyAlignment="1">
      <alignment horizontal="center"/>
    </xf>
    <xf numFmtId="0" fontId="117" fillId="0" borderId="20" xfId="5" applyFont="1" applyBorder="1" applyAlignment="1">
      <alignment vertical="center"/>
    </xf>
    <xf numFmtId="9" fontId="117" fillId="0" borderId="25" xfId="12" applyFont="1" applyBorder="1" applyAlignment="1">
      <alignment horizontal="center" vertical="center"/>
    </xf>
    <xf numFmtId="9" fontId="37" fillId="0" borderId="11" xfId="12" applyFont="1" applyBorder="1" applyAlignment="1">
      <alignment vertical="center"/>
    </xf>
    <xf numFmtId="0" fontId="35" fillId="0" borderId="24" xfId="0" applyFont="1" applyBorder="1" applyAlignment="1">
      <alignment horizontal="left" vertical="center" wrapText="1"/>
    </xf>
    <xf numFmtId="0" fontId="35" fillId="0" borderId="9" xfId="0" applyFont="1" applyBorder="1" applyAlignment="1">
      <alignment horizontal="left" vertical="center" wrapText="1"/>
    </xf>
    <xf numFmtId="0" fontId="35" fillId="63" borderId="24" xfId="0" applyFont="1" applyFill="1" applyBorder="1" applyAlignment="1">
      <alignment horizontal="left" vertical="center" wrapText="1"/>
    </xf>
    <xf numFmtId="0" fontId="35" fillId="64" borderId="24" xfId="0" applyFont="1" applyFill="1" applyBorder="1" applyAlignment="1">
      <alignment horizontal="left" vertical="center" wrapText="1"/>
    </xf>
    <xf numFmtId="0" fontId="35" fillId="65" borderId="24" xfId="0" applyFont="1" applyFill="1" applyBorder="1" applyAlignment="1">
      <alignment horizontal="left" vertical="center" wrapText="1"/>
    </xf>
    <xf numFmtId="0" fontId="125" fillId="0" borderId="16" xfId="8" applyFont="1" applyBorder="1" applyAlignment="1">
      <alignment horizontal="center" vertical="center" wrapText="1"/>
    </xf>
    <xf numFmtId="0" fontId="36" fillId="14" borderId="58" xfId="8" applyFont="1" applyFill="1" applyBorder="1" applyAlignment="1">
      <alignment horizontal="center" vertical="center" wrapText="1"/>
    </xf>
    <xf numFmtId="0" fontId="125" fillId="0" borderId="16" xfId="8" applyFont="1" applyBorder="1" applyAlignment="1">
      <alignment horizontal="center" vertical="center"/>
    </xf>
    <xf numFmtId="0" fontId="36" fillId="11" borderId="58" xfId="8" applyFont="1" applyFill="1" applyBorder="1" applyAlignment="1">
      <alignment horizontal="center" vertical="center" wrapText="1"/>
    </xf>
    <xf numFmtId="0" fontId="30" fillId="0" borderId="133" xfId="5" applyFont="1" applyBorder="1" applyAlignment="1">
      <alignment vertical="center" wrapText="1"/>
    </xf>
    <xf numFmtId="176" fontId="30" fillId="0" borderId="106" xfId="0" applyNumberFormat="1" applyFont="1" applyBorder="1" applyAlignment="1">
      <alignment vertical="center"/>
    </xf>
    <xf numFmtId="164" fontId="51" fillId="66" borderId="30" xfId="0" applyNumberFormat="1" applyFont="1" applyFill="1" applyBorder="1" applyAlignment="1">
      <alignment vertical="center"/>
    </xf>
    <xf numFmtId="164" fontId="51" fillId="66" borderId="98" xfId="0" applyNumberFormat="1" applyFont="1" applyFill="1" applyBorder="1" applyAlignment="1">
      <alignment vertical="center"/>
    </xf>
    <xf numFmtId="164" fontId="36" fillId="66" borderId="60" xfId="0" applyNumberFormat="1" applyFont="1" applyFill="1" applyBorder="1" applyAlignment="1">
      <alignment vertical="center"/>
    </xf>
    <xf numFmtId="164" fontId="36" fillId="66" borderId="128" xfId="0" applyNumberFormat="1" applyFont="1" applyFill="1" applyBorder="1" applyAlignment="1">
      <alignment vertical="center"/>
    </xf>
    <xf numFmtId="0" fontId="36" fillId="66" borderId="4" xfId="0" applyFont="1" applyFill="1" applyBorder="1" applyAlignment="1">
      <alignment vertical="center"/>
    </xf>
    <xf numFmtId="164" fontId="36" fillId="66" borderId="59" xfId="0" applyNumberFormat="1" applyFont="1" applyFill="1" applyBorder="1" applyAlignment="1">
      <alignment vertical="center"/>
    </xf>
    <xf numFmtId="164" fontId="36" fillId="66" borderId="61" xfId="0" applyNumberFormat="1" applyFont="1" applyFill="1" applyBorder="1" applyAlignment="1">
      <alignment vertical="center"/>
    </xf>
    <xf numFmtId="164" fontId="36" fillId="67" borderId="93" xfId="2" applyNumberFormat="1" applyFont="1" applyFill="1" applyBorder="1" applyAlignment="1">
      <alignment vertical="center"/>
    </xf>
    <xf numFmtId="0" fontId="30" fillId="0" borderId="134" xfId="5" applyFont="1" applyBorder="1" applyAlignment="1">
      <alignment horizontal="left" vertical="center" wrapText="1"/>
    </xf>
    <xf numFmtId="0" fontId="85" fillId="0" borderId="134" xfId="5" applyFont="1" applyBorder="1" applyAlignment="1">
      <alignment horizontal="left" vertical="center" wrapText="1"/>
    </xf>
    <xf numFmtId="0" fontId="85" fillId="0" borderId="135" xfId="5" applyFont="1" applyBorder="1" applyAlignment="1">
      <alignment horizontal="left" vertical="center" wrapText="1"/>
    </xf>
    <xf numFmtId="164" fontId="30" fillId="0" borderId="136" xfId="2" applyNumberFormat="1" applyFont="1" applyFill="1" applyBorder="1" applyAlignment="1">
      <alignment vertical="center"/>
    </xf>
    <xf numFmtId="9" fontId="30" fillId="0" borderId="137" xfId="12" applyFont="1" applyFill="1" applyBorder="1" applyAlignment="1">
      <alignment horizontal="right" vertical="center"/>
    </xf>
    <xf numFmtId="43" fontId="85" fillId="0" borderId="137" xfId="2" applyFont="1" applyBorder="1" applyAlignment="1">
      <alignment horizontal="right" vertical="center"/>
    </xf>
    <xf numFmtId="43" fontId="85" fillId="0" borderId="137" xfId="5" applyNumberFormat="1" applyFont="1" applyBorder="1" applyAlignment="1">
      <alignment horizontal="right" vertical="center"/>
    </xf>
    <xf numFmtId="43" fontId="85" fillId="0" borderId="138" xfId="5" applyNumberFormat="1" applyFont="1" applyBorder="1" applyAlignment="1">
      <alignment horizontal="right" vertical="center"/>
    </xf>
    <xf numFmtId="0" fontId="85" fillId="0" borderId="139" xfId="5" applyFont="1" applyBorder="1" applyAlignment="1">
      <alignment horizontal="left" vertical="center" wrapText="1"/>
    </xf>
    <xf numFmtId="43" fontId="85" fillId="0" borderId="140" xfId="2" applyFont="1" applyBorder="1" applyAlignment="1">
      <alignment horizontal="right" vertical="center"/>
    </xf>
    <xf numFmtId="0" fontId="30" fillId="0" borderId="141" xfId="5" applyFont="1" applyBorder="1" applyAlignment="1">
      <alignment vertical="center" wrapText="1"/>
    </xf>
    <xf numFmtId="164" fontId="30" fillId="0" borderId="138" xfId="2" applyNumberFormat="1" applyFont="1" applyFill="1" applyBorder="1" applyAlignment="1">
      <alignment vertical="center"/>
    </xf>
    <xf numFmtId="0" fontId="30" fillId="0" borderId="142" xfId="5" applyFont="1" applyBorder="1" applyAlignment="1">
      <alignment horizontal="left" vertical="center" wrapText="1"/>
    </xf>
    <xf numFmtId="9" fontId="30" fillId="0" borderId="143" xfId="12" applyFont="1" applyFill="1" applyBorder="1" applyAlignment="1">
      <alignment horizontal="right" vertical="center"/>
    </xf>
    <xf numFmtId="0" fontId="51" fillId="69" borderId="24" xfId="0" applyFont="1" applyFill="1" applyBorder="1" applyAlignment="1">
      <alignment vertical="center" wrapText="1"/>
    </xf>
    <xf numFmtId="0" fontId="35" fillId="0" borderId="18" xfId="0" applyFont="1" applyBorder="1" applyAlignment="1">
      <alignment horizontal="left" vertical="center" wrapText="1"/>
    </xf>
    <xf numFmtId="0" fontId="51" fillId="0" borderId="9" xfId="0" applyFont="1" applyBorder="1" applyAlignment="1">
      <alignment vertical="center" wrapText="1"/>
    </xf>
    <xf numFmtId="0" fontId="117" fillId="0" borderId="11" xfId="5" applyFont="1" applyBorder="1" applyAlignment="1">
      <alignment horizontal="center" vertical="center"/>
    </xf>
    <xf numFmtId="0" fontId="70" fillId="6" borderId="9" xfId="5" applyFont="1" applyFill="1" applyBorder="1" applyAlignment="1">
      <alignment horizontal="center" vertical="center"/>
    </xf>
    <xf numFmtId="0" fontId="38" fillId="0" borderId="1" xfId="0" applyFont="1" applyBorder="1" applyAlignment="1">
      <alignment vertical="center" wrapText="1"/>
    </xf>
    <xf numFmtId="164" fontId="38" fillId="0" borderId="2" xfId="2" applyNumberFormat="1" applyFont="1" applyFill="1" applyBorder="1" applyAlignment="1">
      <alignment vertical="center"/>
    </xf>
    <xf numFmtId="0" fontId="38" fillId="0" borderId="3" xfId="0" applyFont="1" applyBorder="1" applyAlignment="1">
      <alignment vertical="center"/>
    </xf>
    <xf numFmtId="0" fontId="55" fillId="0" borderId="7" xfId="0" applyFont="1" applyBorder="1" applyAlignment="1">
      <alignment horizontal="center" vertical="center" wrapText="1"/>
    </xf>
    <xf numFmtId="0" fontId="47" fillId="0" borderId="12" xfId="0" applyFont="1" applyBorder="1" applyAlignment="1">
      <alignment horizontal="center" vertical="center" wrapText="1"/>
    </xf>
    <xf numFmtId="164" fontId="30" fillId="0" borderId="7" xfId="2" applyNumberFormat="1" applyFont="1" applyFill="1" applyBorder="1" applyAlignment="1">
      <alignment horizontal="left" vertical="center" wrapText="1"/>
    </xf>
    <xf numFmtId="0" fontId="49" fillId="9" borderId="65" xfId="0" applyFont="1" applyFill="1" applyBorder="1" applyAlignment="1">
      <alignment vertical="center"/>
    </xf>
    <xf numFmtId="0" fontId="49" fillId="9" borderId="85" xfId="0" applyFont="1" applyFill="1" applyBorder="1" applyAlignment="1">
      <alignment vertical="center"/>
    </xf>
    <xf numFmtId="165" fontId="30" fillId="0" borderId="144" xfId="0" applyNumberFormat="1" applyFont="1" applyBorder="1" applyAlignment="1">
      <alignment horizontal="right" vertical="center"/>
    </xf>
    <xf numFmtId="0" fontId="30" fillId="0" borderId="74" xfId="0" applyFont="1" applyBorder="1" applyAlignment="1">
      <alignment horizontal="left" vertical="center"/>
    </xf>
    <xf numFmtId="0" fontId="36" fillId="12" borderId="4" xfId="9" applyFont="1" applyFill="1" applyBorder="1" applyAlignment="1">
      <alignment horizontal="center" vertical="center" wrapText="1"/>
    </xf>
    <xf numFmtId="0" fontId="36" fillId="9" borderId="65" xfId="0" applyFont="1" applyFill="1" applyBorder="1" applyAlignment="1">
      <alignment vertical="center"/>
    </xf>
    <xf numFmtId="0" fontId="36" fillId="9" borderId="85" xfId="0" applyFont="1" applyFill="1" applyBorder="1" applyAlignment="1">
      <alignment vertical="center"/>
    </xf>
    <xf numFmtId="0" fontId="40" fillId="68" borderId="93" xfId="0" applyFont="1" applyFill="1" applyBorder="1" applyAlignment="1">
      <alignment vertical="center"/>
    </xf>
    <xf numFmtId="0" fontId="40" fillId="68" borderId="98" xfId="0" applyFont="1" applyFill="1" applyBorder="1" applyAlignment="1">
      <alignment horizontal="center" vertical="center"/>
    </xf>
    <xf numFmtId="0" fontId="70" fillId="6" borderId="21" xfId="5" applyFont="1" applyFill="1" applyBorder="1" applyAlignment="1">
      <alignment horizontal="center" vertical="center"/>
    </xf>
    <xf numFmtId="164" fontId="53" fillId="0" borderId="22" xfId="2" applyNumberFormat="1" applyFont="1" applyBorder="1" applyAlignment="1">
      <alignment vertical="center"/>
    </xf>
    <xf numFmtId="0" fontId="53" fillId="0" borderId="23" xfId="5" applyFont="1" applyBorder="1" applyAlignment="1">
      <alignment vertical="center"/>
    </xf>
    <xf numFmtId="0" fontId="117" fillId="0" borderId="7" xfId="5" applyFont="1" applyBorder="1" applyAlignment="1">
      <alignment vertical="center"/>
    </xf>
    <xf numFmtId="0" fontId="37" fillId="0" borderId="7" xfId="0" applyFont="1" applyBorder="1" applyAlignment="1">
      <alignment vertical="top" wrapText="1"/>
    </xf>
    <xf numFmtId="0" fontId="40" fillId="9" borderId="65" xfId="0" applyFont="1" applyFill="1" applyBorder="1" applyAlignment="1">
      <alignment vertical="center"/>
    </xf>
    <xf numFmtId="164" fontId="51" fillId="66" borderId="151" xfId="0" applyNumberFormat="1" applyFont="1" applyFill="1" applyBorder="1" applyAlignment="1">
      <alignment vertical="center"/>
    </xf>
    <xf numFmtId="164" fontId="30" fillId="0" borderId="117" xfId="2" applyNumberFormat="1" applyFont="1" applyBorder="1" applyAlignment="1">
      <alignment vertical="center"/>
    </xf>
    <xf numFmtId="164" fontId="30" fillId="0" borderId="117" xfId="2" applyNumberFormat="1" applyFont="1" applyFill="1" applyBorder="1" applyAlignment="1">
      <alignment vertical="center"/>
    </xf>
    <xf numFmtId="176" fontId="30" fillId="0" borderId="117" xfId="0" applyNumberFormat="1" applyFont="1" applyBorder="1" applyAlignment="1">
      <alignment vertical="center"/>
    </xf>
    <xf numFmtId="164" fontId="51" fillId="66" borderId="150" xfId="0" applyNumberFormat="1" applyFont="1" applyFill="1" applyBorder="1" applyAlignment="1">
      <alignment vertical="center"/>
    </xf>
    <xf numFmtId="176" fontId="30" fillId="0" borderId="117" xfId="2" applyNumberFormat="1" applyFont="1" applyFill="1" applyBorder="1" applyAlignment="1">
      <alignment vertical="center"/>
    </xf>
    <xf numFmtId="0" fontId="30" fillId="0" borderId="86" xfId="0" applyFont="1" applyBorder="1" applyAlignment="1">
      <alignment vertical="center"/>
    </xf>
    <xf numFmtId="164" fontId="30" fillId="0" borderId="156" xfId="2" applyNumberFormat="1" applyFont="1" applyFill="1" applyBorder="1" applyAlignment="1">
      <alignment vertical="center"/>
    </xf>
    <xf numFmtId="0" fontId="30" fillId="0" borderId="88" xfId="0" applyFont="1" applyBorder="1" applyAlignment="1">
      <alignment vertical="center"/>
    </xf>
    <xf numFmtId="0" fontId="30" fillId="0" borderId="90" xfId="0" applyFont="1" applyBorder="1" applyAlignment="1">
      <alignment vertical="center"/>
    </xf>
    <xf numFmtId="164" fontId="30" fillId="0" borderId="157" xfId="2" applyNumberFormat="1" applyFont="1" applyFill="1" applyBorder="1" applyAlignment="1">
      <alignment vertical="center"/>
    </xf>
    <xf numFmtId="176" fontId="30" fillId="0" borderId="157" xfId="2" applyNumberFormat="1" applyFont="1" applyFill="1" applyBorder="1" applyAlignment="1">
      <alignment vertical="center"/>
    </xf>
    <xf numFmtId="164" fontId="30" fillId="0" borderId="156" xfId="2" applyNumberFormat="1" applyFont="1" applyBorder="1" applyAlignment="1">
      <alignment vertical="center"/>
    </xf>
    <xf numFmtId="176" fontId="30" fillId="0" borderId="156" xfId="0" applyNumberFormat="1" applyFont="1" applyBorder="1" applyAlignment="1">
      <alignment vertical="center"/>
    </xf>
    <xf numFmtId="164" fontId="30" fillId="0" borderId="157" xfId="2" applyNumberFormat="1" applyFont="1" applyBorder="1" applyAlignment="1">
      <alignment vertical="center"/>
    </xf>
    <xf numFmtId="176" fontId="30" fillId="0" borderId="157" xfId="0" applyNumberFormat="1" applyFont="1" applyBorder="1" applyAlignment="1">
      <alignment vertical="center"/>
    </xf>
    <xf numFmtId="0" fontId="30" fillId="0" borderId="159" xfId="0" applyFont="1" applyBorder="1" applyAlignment="1">
      <alignment vertical="center"/>
    </xf>
    <xf numFmtId="164" fontId="30" fillId="0" borderId="158" xfId="2" applyNumberFormat="1" applyFont="1" applyFill="1" applyBorder="1" applyAlignment="1">
      <alignment vertical="center"/>
    </xf>
    <xf numFmtId="176" fontId="30" fillId="0" borderId="158" xfId="2" applyNumberFormat="1" applyFont="1" applyFill="1" applyBorder="1" applyAlignment="1">
      <alignment vertical="center"/>
    </xf>
    <xf numFmtId="43" fontId="36" fillId="0" borderId="160" xfId="0" applyNumberFormat="1" applyFont="1" applyBorder="1" applyAlignment="1">
      <alignment vertical="center"/>
    </xf>
    <xf numFmtId="43" fontId="36" fillId="0" borderId="161" xfId="0" applyNumberFormat="1" applyFont="1" applyBorder="1" applyAlignment="1">
      <alignment vertical="center"/>
    </xf>
    <xf numFmtId="43" fontId="36" fillId="0" borderId="162" xfId="0" applyNumberFormat="1" applyFont="1" applyBorder="1" applyAlignment="1">
      <alignment vertical="center"/>
    </xf>
    <xf numFmtId="43" fontId="30" fillId="0" borderId="87" xfId="2" applyFont="1" applyFill="1" applyBorder="1" applyAlignment="1">
      <alignment vertical="center"/>
    </xf>
    <xf numFmtId="43" fontId="30" fillId="0" borderId="89" xfId="2" applyFont="1" applyFill="1" applyBorder="1" applyAlignment="1">
      <alignment vertical="center"/>
    </xf>
    <xf numFmtId="43" fontId="30" fillId="0" borderId="91" xfId="2" applyFont="1" applyFill="1" applyBorder="1" applyAlignment="1">
      <alignment vertical="center"/>
    </xf>
    <xf numFmtId="0" fontId="37" fillId="0" borderId="7" xfId="0" applyFont="1" applyBorder="1" applyAlignment="1">
      <alignment horizontal="center" vertical="center"/>
    </xf>
    <xf numFmtId="164" fontId="30" fillId="0" borderId="51" xfId="2" applyNumberFormat="1" applyFont="1" applyBorder="1" applyAlignment="1">
      <alignment vertical="center"/>
    </xf>
    <xf numFmtId="1" fontId="30" fillId="0" borderId="144" xfId="0" applyNumberFormat="1" applyFont="1" applyBorder="1" applyAlignment="1">
      <alignment horizontal="right" vertical="center"/>
    </xf>
    <xf numFmtId="0" fontId="64" fillId="0" borderId="0" xfId="1" applyFont="1" applyAlignment="1">
      <alignment vertical="center"/>
    </xf>
    <xf numFmtId="1" fontId="36" fillId="0" borderId="7" xfId="0" applyNumberFormat="1" applyFont="1" applyBorder="1" applyAlignment="1">
      <alignment horizontal="center" vertical="center"/>
    </xf>
    <xf numFmtId="0" fontId="25" fillId="0" borderId="47" xfId="0" applyFont="1" applyBorder="1" applyAlignment="1">
      <alignment horizontal="center" vertical="center" wrapText="1"/>
    </xf>
    <xf numFmtId="0" fontId="29" fillId="0" borderId="105" xfId="0" applyFont="1" applyBorder="1" applyAlignment="1">
      <alignment horizontal="center" vertical="center" wrapText="1"/>
    </xf>
    <xf numFmtId="0" fontId="29" fillId="0" borderId="52" xfId="0" applyFont="1" applyBorder="1" applyAlignment="1">
      <alignment horizontal="center" vertical="center" wrapText="1"/>
    </xf>
    <xf numFmtId="0" fontId="25" fillId="0" borderId="103" xfId="0" applyFont="1" applyBorder="1" applyAlignment="1">
      <alignment horizontal="center" vertical="center" wrapText="1"/>
    </xf>
    <xf numFmtId="174" fontId="24" fillId="0" borderId="7" xfId="0" applyNumberFormat="1" applyFont="1" applyBorder="1" applyAlignment="1">
      <alignment horizontal="center" vertical="center"/>
    </xf>
    <xf numFmtId="0" fontId="27" fillId="0" borderId="7" xfId="0" applyFont="1" applyBorder="1" applyAlignment="1">
      <alignment horizontal="left" vertical="top" wrapText="1"/>
    </xf>
    <xf numFmtId="0" fontId="40" fillId="9" borderId="65" xfId="0" applyFont="1" applyFill="1" applyBorder="1"/>
    <xf numFmtId="0" fontId="36" fillId="68" borderId="7" xfId="0" applyFont="1" applyFill="1" applyBorder="1" applyAlignment="1">
      <alignment horizontal="center" vertical="center" wrapText="1"/>
    </xf>
    <xf numFmtId="0" fontId="18" fillId="0" borderId="0" xfId="0" applyFont="1" applyAlignment="1">
      <alignment vertical="center"/>
    </xf>
    <xf numFmtId="164" fontId="118" fillId="0" borderId="0" xfId="0" applyNumberFormat="1" applyFont="1" applyAlignment="1">
      <alignment vertical="center"/>
    </xf>
    <xf numFmtId="1" fontId="18" fillId="0" borderId="0" xfId="0" applyNumberFormat="1" applyFont="1" applyAlignment="1">
      <alignment vertical="center"/>
    </xf>
    <xf numFmtId="0" fontId="119" fillId="0" borderId="0" xfId="0" quotePrefix="1" applyFont="1" applyAlignment="1">
      <alignment vertical="center" wrapText="1"/>
    </xf>
    <xf numFmtId="0" fontId="118" fillId="0" borderId="0" xfId="0" applyFont="1" applyAlignment="1">
      <alignment vertical="center" wrapText="1"/>
    </xf>
    <xf numFmtId="0" fontId="118" fillId="0" borderId="0" xfId="0" quotePrefix="1" applyFont="1" applyAlignment="1">
      <alignment vertical="center" wrapText="1"/>
    </xf>
    <xf numFmtId="164" fontId="18" fillId="0" borderId="0" xfId="0" applyNumberFormat="1" applyFont="1"/>
    <xf numFmtId="1" fontId="30" fillId="0" borderId="149" xfId="0" applyNumberFormat="1" applyFont="1" applyBorder="1" applyAlignment="1">
      <alignment vertical="center" wrapText="1"/>
    </xf>
    <xf numFmtId="164" fontId="30" fillId="0" borderId="122" xfId="2" applyNumberFormat="1" applyFont="1" applyBorder="1" applyAlignment="1">
      <alignment vertical="center" wrapText="1"/>
    </xf>
    <xf numFmtId="9" fontId="37" fillId="0" borderId="51" xfId="12" applyFont="1" applyBorder="1" applyAlignment="1">
      <alignment vertical="center" wrapText="1"/>
    </xf>
    <xf numFmtId="9" fontId="37" fillId="0" borderId="52" xfId="12" applyFont="1" applyBorder="1" applyAlignment="1">
      <alignment vertical="center" wrapText="1"/>
    </xf>
    <xf numFmtId="9" fontId="37" fillId="0" borderId="53" xfId="12" applyFont="1" applyBorder="1" applyAlignment="1">
      <alignment vertical="center" wrapText="1"/>
    </xf>
    <xf numFmtId="176" fontId="30" fillId="0" borderId="108" xfId="2" applyNumberFormat="1" applyFont="1" applyBorder="1" applyAlignment="1">
      <alignment vertical="center" wrapText="1"/>
    </xf>
    <xf numFmtId="176" fontId="53" fillId="0" borderId="52" xfId="5" applyNumberFormat="1" applyFont="1" applyBorder="1" applyAlignment="1">
      <alignment vertical="center" wrapText="1"/>
    </xf>
    <xf numFmtId="43" fontId="53" fillId="0" borderId="52" xfId="5" applyNumberFormat="1" applyFont="1" applyBorder="1" applyAlignment="1">
      <alignment vertical="center" wrapText="1"/>
    </xf>
    <xf numFmtId="0" fontId="117" fillId="0" borderId="117" xfId="5" applyFont="1" applyBorder="1" applyAlignment="1">
      <alignment vertical="center" wrapText="1"/>
    </xf>
    <xf numFmtId="43" fontId="30" fillId="0" borderId="117" xfId="2" applyFont="1" applyBorder="1" applyAlignment="1">
      <alignment vertical="center"/>
    </xf>
    <xf numFmtId="0" fontId="53" fillId="0" borderId="117" xfId="5" applyFont="1" applyBorder="1" applyAlignment="1">
      <alignment vertical="center" wrapText="1"/>
    </xf>
    <xf numFmtId="2" fontId="53" fillId="0" borderId="117" xfId="5" applyNumberFormat="1" applyFont="1" applyBorder="1" applyAlignment="1">
      <alignment vertical="center" wrapText="1"/>
    </xf>
    <xf numFmtId="9" fontId="30" fillId="0" borderId="88" xfId="12" applyFont="1" applyBorder="1" applyAlignment="1">
      <alignment vertical="center"/>
    </xf>
    <xf numFmtId="0" fontId="30" fillId="0" borderId="89" xfId="0" applyFont="1" applyBorder="1" applyAlignment="1">
      <alignment vertical="center"/>
    </xf>
    <xf numFmtId="43" fontId="30" fillId="0" borderId="89" xfId="2" applyFont="1" applyBorder="1" applyAlignment="1">
      <alignment vertical="center"/>
    </xf>
    <xf numFmtId="176" fontId="30" fillId="0" borderId="88" xfId="2" applyNumberFormat="1" applyFont="1" applyBorder="1" applyAlignment="1">
      <alignment vertical="center"/>
    </xf>
    <xf numFmtId="164" fontId="30" fillId="0" borderId="123" xfId="2" applyNumberFormat="1" applyFont="1" applyBorder="1" applyAlignment="1">
      <alignment vertical="center" wrapText="1"/>
    </xf>
    <xf numFmtId="9" fontId="30" fillId="0" borderId="175" xfId="12" applyFont="1" applyBorder="1" applyAlignment="1">
      <alignment vertical="center"/>
    </xf>
    <xf numFmtId="0" fontId="117" fillId="0" borderId="121" xfId="5" applyFont="1" applyBorder="1" applyAlignment="1">
      <alignment vertical="center" wrapText="1"/>
    </xf>
    <xf numFmtId="9" fontId="30" fillId="0" borderId="121" xfId="12" applyFont="1" applyBorder="1" applyAlignment="1">
      <alignment vertical="center"/>
    </xf>
    <xf numFmtId="9" fontId="30" fillId="0" borderId="176" xfId="0" applyNumberFormat="1" applyFont="1" applyBorder="1" applyAlignment="1">
      <alignment vertical="center"/>
    </xf>
    <xf numFmtId="9" fontId="30" fillId="0" borderId="173" xfId="12" applyFont="1" applyBorder="1" applyAlignment="1">
      <alignment vertical="center"/>
    </xf>
    <xf numFmtId="0" fontId="117" fillId="0" borderId="174" xfId="5" applyFont="1" applyBorder="1" applyAlignment="1">
      <alignment vertical="center" wrapText="1"/>
    </xf>
    <xf numFmtId="0" fontId="30" fillId="0" borderId="174" xfId="0" applyFont="1" applyBorder="1" applyAlignment="1">
      <alignment vertical="center"/>
    </xf>
    <xf numFmtId="0" fontId="30" fillId="0" borderId="92" xfId="0" applyFont="1" applyBorder="1" applyAlignment="1">
      <alignment vertical="center"/>
    </xf>
    <xf numFmtId="176" fontId="30" fillId="0" borderId="86" xfId="2" applyNumberFormat="1" applyFont="1" applyBorder="1" applyAlignment="1">
      <alignment vertical="center"/>
    </xf>
    <xf numFmtId="0" fontId="53" fillId="0" borderId="156" xfId="5" applyFont="1" applyBorder="1" applyAlignment="1">
      <alignment vertical="center" wrapText="1"/>
    </xf>
    <xf numFmtId="0" fontId="30" fillId="0" borderId="156" xfId="0" applyFont="1" applyBorder="1" applyAlignment="1">
      <alignment vertical="center"/>
    </xf>
    <xf numFmtId="0" fontId="30" fillId="0" borderId="87" xfId="0" applyFont="1" applyBorder="1" applyAlignment="1">
      <alignment vertical="center"/>
    </xf>
    <xf numFmtId="0" fontId="30" fillId="0" borderId="7" xfId="0" quotePrefix="1" applyFont="1" applyBorder="1" applyAlignment="1">
      <alignment vertical="center" wrapText="1"/>
    </xf>
    <xf numFmtId="164" fontId="30" fillId="0" borderId="54" xfId="2" applyNumberFormat="1" applyFont="1" applyFill="1" applyBorder="1" applyAlignment="1">
      <alignment vertical="center" wrapText="1"/>
    </xf>
    <xf numFmtId="1" fontId="30" fillId="0" borderId="26" xfId="0" applyNumberFormat="1" applyFont="1" applyBorder="1" applyAlignment="1">
      <alignment vertical="center"/>
    </xf>
    <xf numFmtId="164" fontId="30" fillId="0" borderId="3" xfId="2" applyNumberFormat="1" applyFont="1" applyFill="1" applyBorder="1" applyAlignment="1">
      <alignment vertical="center"/>
    </xf>
    <xf numFmtId="9" fontId="37" fillId="0" borderId="21" xfId="12" applyFont="1" applyFill="1" applyBorder="1" applyAlignment="1">
      <alignment vertical="center" wrapText="1"/>
    </xf>
    <xf numFmtId="9" fontId="37" fillId="0" borderId="24" xfId="12" applyFont="1" applyFill="1" applyBorder="1" applyAlignment="1">
      <alignment vertical="center" wrapText="1"/>
    </xf>
    <xf numFmtId="9" fontId="37" fillId="0" borderId="9" xfId="12" applyFont="1" applyFill="1" applyBorder="1" applyAlignment="1">
      <alignment vertical="center" wrapText="1"/>
    </xf>
    <xf numFmtId="176" fontId="30" fillId="0" borderId="18" xfId="2" applyNumberFormat="1" applyFont="1" applyFill="1" applyBorder="1" applyAlignment="1">
      <alignment vertical="center" wrapText="1"/>
    </xf>
    <xf numFmtId="177" fontId="30" fillId="0" borderId="19" xfId="0" applyNumberFormat="1" applyFont="1" applyBorder="1" applyAlignment="1">
      <alignment vertical="center"/>
    </xf>
    <xf numFmtId="177" fontId="30" fillId="0" borderId="7" xfId="0" applyNumberFormat="1" applyFont="1" applyBorder="1" applyAlignment="1">
      <alignment vertical="center"/>
    </xf>
    <xf numFmtId="0" fontId="49" fillId="12" borderId="37" xfId="9" applyFont="1" applyFill="1" applyBorder="1" applyAlignment="1">
      <alignment horizontal="center" vertical="center" wrapText="1"/>
    </xf>
    <xf numFmtId="0" fontId="100" fillId="36" borderId="50" xfId="5" applyFont="1" applyFill="1" applyBorder="1" applyAlignment="1">
      <alignment vertical="center" wrapText="1"/>
    </xf>
    <xf numFmtId="0" fontId="50" fillId="2" borderId="0" xfId="0" applyFont="1" applyFill="1" applyAlignment="1">
      <alignment vertical="center"/>
    </xf>
    <xf numFmtId="180" fontId="36" fillId="71" borderId="170" xfId="2" applyNumberFormat="1" applyFont="1" applyFill="1" applyBorder="1" applyAlignment="1">
      <alignment vertical="center"/>
    </xf>
    <xf numFmtId="180" fontId="36" fillId="71" borderId="171" xfId="2" applyNumberFormat="1" applyFont="1" applyFill="1" applyBorder="1" applyAlignment="1">
      <alignment vertical="center" wrapText="1"/>
    </xf>
    <xf numFmtId="180" fontId="36" fillId="71" borderId="171" xfId="5" applyNumberFormat="1" applyFont="1" applyFill="1" applyBorder="1" applyAlignment="1">
      <alignment vertical="center" wrapText="1"/>
    </xf>
    <xf numFmtId="0" fontId="57" fillId="0" borderId="180" xfId="5" applyFont="1" applyBorder="1" applyAlignment="1">
      <alignment vertical="top" wrapText="1"/>
    </xf>
    <xf numFmtId="0" fontId="57" fillId="0" borderId="119" xfId="5" applyFont="1" applyBorder="1" applyAlignment="1">
      <alignment vertical="top" wrapText="1"/>
    </xf>
    <xf numFmtId="0" fontId="57" fillId="0" borderId="181" xfId="5" applyFont="1" applyBorder="1" applyAlignment="1">
      <alignment vertical="top" wrapText="1"/>
    </xf>
    <xf numFmtId="0" fontId="36" fillId="0" borderId="93" xfId="9" applyFont="1" applyBorder="1" applyAlignment="1">
      <alignment horizontal="center" vertical="center" wrapText="1"/>
    </xf>
    <xf numFmtId="164" fontId="62" fillId="0" borderId="86" xfId="2" applyNumberFormat="1" applyFont="1" applyBorder="1" applyAlignment="1">
      <alignment vertical="center" wrapText="1"/>
    </xf>
    <xf numFmtId="164" fontId="62" fillId="0" borderId="87" xfId="2" applyNumberFormat="1" applyFont="1" applyBorder="1" applyAlignment="1">
      <alignment vertical="center" wrapText="1"/>
    </xf>
    <xf numFmtId="164" fontId="62" fillId="0" borderId="90" xfId="2" applyNumberFormat="1" applyFont="1" applyBorder="1" applyAlignment="1">
      <alignment vertical="center" wrapText="1"/>
    </xf>
    <xf numFmtId="164" fontId="57" fillId="0" borderId="91" xfId="2" applyNumberFormat="1" applyFont="1" applyBorder="1" applyAlignment="1">
      <alignment vertical="center" wrapText="1"/>
    </xf>
    <xf numFmtId="9" fontId="54" fillId="0" borderId="86" xfId="12" applyFont="1" applyBorder="1" applyAlignment="1">
      <alignment vertical="center" wrapText="1"/>
    </xf>
    <xf numFmtId="9" fontId="93" fillId="0" borderId="87" xfId="5" applyNumberFormat="1" applyFont="1" applyBorder="1" applyAlignment="1">
      <alignment vertical="center" wrapText="1"/>
    </xf>
    <xf numFmtId="9" fontId="54" fillId="0" borderId="88" xfId="12" applyFont="1" applyBorder="1" applyAlignment="1">
      <alignment vertical="center" wrapText="1"/>
    </xf>
    <xf numFmtId="0" fontId="93" fillId="0" borderId="89" xfId="5" applyFont="1" applyBorder="1" applyAlignment="1">
      <alignment vertical="center" wrapText="1"/>
    </xf>
    <xf numFmtId="9" fontId="93" fillId="0" borderId="89" xfId="5" applyNumberFormat="1" applyFont="1" applyBorder="1" applyAlignment="1">
      <alignment vertical="center" wrapText="1"/>
    </xf>
    <xf numFmtId="9" fontId="54" fillId="0" borderId="90" xfId="12" applyFont="1" applyBorder="1" applyAlignment="1">
      <alignment vertical="center" wrapText="1"/>
    </xf>
    <xf numFmtId="9" fontId="93" fillId="0" borderId="91" xfId="5" applyNumberFormat="1" applyFont="1" applyBorder="1" applyAlignment="1">
      <alignment vertical="center" wrapText="1"/>
    </xf>
    <xf numFmtId="176" fontId="62" fillId="0" borderId="86" xfId="2" applyNumberFormat="1" applyFont="1" applyFill="1" applyBorder="1" applyAlignment="1">
      <alignment vertical="center" wrapText="1"/>
    </xf>
    <xf numFmtId="0" fontId="57" fillId="0" borderId="87" xfId="5" applyFont="1" applyBorder="1" applyAlignment="1">
      <alignment vertical="center" wrapText="1"/>
    </xf>
    <xf numFmtId="176" fontId="62" fillId="0" borderId="88" xfId="2" applyNumberFormat="1" applyFont="1" applyFill="1" applyBorder="1" applyAlignment="1">
      <alignment vertical="center" wrapText="1"/>
    </xf>
    <xf numFmtId="2" fontId="57" fillId="0" borderId="89" xfId="5" applyNumberFormat="1" applyFont="1" applyBorder="1" applyAlignment="1">
      <alignment vertical="center" wrapText="1"/>
    </xf>
    <xf numFmtId="0" fontId="57" fillId="0" borderId="89" xfId="5" applyFont="1" applyBorder="1" applyAlignment="1">
      <alignment vertical="center" wrapText="1"/>
    </xf>
    <xf numFmtId="171" fontId="57" fillId="0" borderId="89" xfId="5" applyNumberFormat="1" applyFont="1" applyBorder="1" applyAlignment="1">
      <alignment vertical="center" wrapText="1"/>
    </xf>
    <xf numFmtId="0" fontId="30" fillId="0" borderId="114" xfId="9" applyFont="1" applyBorder="1" applyAlignment="1">
      <alignment horizontal="left" vertical="center" wrapText="1"/>
    </xf>
    <xf numFmtId="0" fontId="30" fillId="0" borderId="43" xfId="9" applyFont="1" applyBorder="1" applyAlignment="1">
      <alignment horizontal="left" vertical="center" wrapText="1"/>
    </xf>
    <xf numFmtId="0" fontId="30" fillId="0" borderId="37" xfId="0" applyFont="1" applyBorder="1" applyAlignment="1">
      <alignment horizontal="left" vertical="center"/>
    </xf>
    <xf numFmtId="0" fontId="30" fillId="0" borderId="6" xfId="0" applyFont="1" applyBorder="1" applyAlignment="1">
      <alignment horizontal="left" vertical="center"/>
    </xf>
    <xf numFmtId="0" fontId="30" fillId="0" borderId="43" xfId="0" applyFont="1" applyBorder="1" applyAlignment="1">
      <alignment horizontal="left" vertical="center"/>
    </xf>
    <xf numFmtId="0" fontId="53" fillId="0" borderId="37" xfId="5" applyFont="1" applyBorder="1" applyAlignment="1">
      <alignment vertical="center" wrapText="1"/>
    </xf>
    <xf numFmtId="0" fontId="53" fillId="0" borderId="114" xfId="5" applyFont="1" applyBorder="1" applyAlignment="1">
      <alignment vertical="center" wrapText="1"/>
    </xf>
    <xf numFmtId="0" fontId="53" fillId="0" borderId="6" xfId="5" applyFont="1" applyBorder="1" applyAlignment="1">
      <alignment vertical="center" wrapText="1"/>
    </xf>
    <xf numFmtId="0" fontId="53" fillId="0" borderId="43" xfId="5" applyFont="1" applyBorder="1" applyAlignment="1">
      <alignment vertical="center" wrapText="1"/>
    </xf>
    <xf numFmtId="164" fontId="30" fillId="0" borderId="177" xfId="2" applyNumberFormat="1" applyFont="1" applyFill="1" applyBorder="1" applyAlignment="1">
      <alignment vertical="center" wrapText="1"/>
    </xf>
    <xf numFmtId="164" fontId="30" fillId="0" borderId="178" xfId="2" applyNumberFormat="1" applyFont="1" applyFill="1" applyBorder="1" applyAlignment="1">
      <alignment vertical="center" wrapText="1"/>
    </xf>
    <xf numFmtId="0" fontId="53" fillId="0" borderId="3" xfId="5" applyFont="1" applyBorder="1" applyAlignment="1">
      <alignment vertical="center" wrapText="1"/>
    </xf>
    <xf numFmtId="164" fontId="53" fillId="0" borderId="3" xfId="2" applyNumberFormat="1" applyFont="1" applyBorder="1" applyAlignment="1">
      <alignment vertical="center" wrapText="1"/>
    </xf>
    <xf numFmtId="164" fontId="30" fillId="0" borderId="86" xfId="2" applyNumberFormat="1" applyFont="1" applyFill="1" applyBorder="1" applyAlignment="1">
      <alignment vertical="center" wrapText="1"/>
    </xf>
    <xf numFmtId="164" fontId="30" fillId="0" borderId="87" xfId="2" applyNumberFormat="1" applyFont="1" applyFill="1" applyBorder="1" applyAlignment="1">
      <alignment vertical="center" wrapText="1"/>
    </xf>
    <xf numFmtId="164" fontId="30" fillId="0" borderId="51" xfId="2" applyNumberFormat="1" applyFont="1" applyBorder="1" applyAlignment="1">
      <alignment vertical="center" wrapText="1"/>
    </xf>
    <xf numFmtId="164" fontId="53" fillId="0" borderId="23" xfId="2" applyNumberFormat="1" applyFont="1" applyBorder="1" applyAlignment="1">
      <alignment vertical="center" wrapText="1"/>
    </xf>
    <xf numFmtId="164" fontId="30" fillId="0" borderId="21" xfId="2" applyNumberFormat="1" applyFont="1" applyBorder="1" applyAlignment="1">
      <alignment vertical="center" wrapText="1"/>
    </xf>
    <xf numFmtId="164" fontId="30" fillId="0" borderId="90" xfId="2" applyNumberFormat="1" applyFont="1" applyFill="1" applyBorder="1" applyAlignment="1">
      <alignment vertical="center" wrapText="1"/>
    </xf>
    <xf numFmtId="164" fontId="30" fillId="0" borderId="91" xfId="2" applyNumberFormat="1" applyFont="1" applyFill="1" applyBorder="1" applyAlignment="1">
      <alignment vertical="center" wrapText="1"/>
    </xf>
    <xf numFmtId="164" fontId="30" fillId="0" borderId="103" xfId="2" applyNumberFormat="1" applyFont="1" applyBorder="1" applyAlignment="1">
      <alignment vertical="center" wrapText="1"/>
    </xf>
    <xf numFmtId="164" fontId="53" fillId="0" borderId="111" xfId="2" applyNumberFormat="1" applyFont="1" applyBorder="1" applyAlignment="1">
      <alignment vertical="center" wrapText="1"/>
    </xf>
    <xf numFmtId="164" fontId="30" fillId="0" borderId="110" xfId="2" applyNumberFormat="1" applyFont="1" applyBorder="1" applyAlignment="1">
      <alignment vertical="center" wrapText="1"/>
    </xf>
    <xf numFmtId="9" fontId="30" fillId="0" borderId="86" xfId="12" applyFont="1" applyFill="1" applyBorder="1" applyAlignment="1">
      <alignment vertical="center"/>
    </xf>
    <xf numFmtId="9" fontId="30" fillId="0" borderId="87" xfId="12" applyFont="1" applyFill="1" applyBorder="1" applyAlignment="1">
      <alignment vertical="center"/>
    </xf>
    <xf numFmtId="9" fontId="30" fillId="0" borderId="88" xfId="12" applyFont="1" applyFill="1" applyBorder="1" applyAlignment="1">
      <alignment vertical="center"/>
    </xf>
    <xf numFmtId="9" fontId="30" fillId="0" borderId="89" xfId="12" applyFont="1" applyFill="1" applyBorder="1" applyAlignment="1">
      <alignment vertical="center"/>
    </xf>
    <xf numFmtId="9" fontId="30" fillId="0" borderId="90" xfId="12" applyFont="1" applyFill="1" applyBorder="1" applyAlignment="1">
      <alignment vertical="center"/>
    </xf>
    <xf numFmtId="9" fontId="30" fillId="0" borderId="91" xfId="12" applyFont="1" applyFill="1" applyBorder="1" applyAlignment="1">
      <alignment vertical="center"/>
    </xf>
    <xf numFmtId="43" fontId="30" fillId="0" borderId="86" xfId="2" applyFont="1" applyFill="1" applyBorder="1" applyAlignment="1">
      <alignment vertical="center" wrapText="1"/>
    </xf>
    <xf numFmtId="43" fontId="30" fillId="0" borderId="87" xfId="2" applyFont="1" applyFill="1" applyBorder="1" applyAlignment="1">
      <alignment vertical="center" wrapText="1"/>
    </xf>
    <xf numFmtId="176" fontId="30" fillId="0" borderId="108" xfId="2" applyNumberFormat="1" applyFont="1" applyFill="1" applyBorder="1" applyAlignment="1">
      <alignment vertical="center" wrapText="1"/>
    </xf>
    <xf numFmtId="0" fontId="53" fillId="0" borderId="20" xfId="5" applyFont="1" applyBorder="1" applyAlignment="1">
      <alignment vertical="center" wrapText="1"/>
    </xf>
    <xf numFmtId="43" fontId="30" fillId="0" borderId="88" xfId="2" applyFont="1" applyFill="1" applyBorder="1" applyAlignment="1">
      <alignment vertical="center" wrapText="1"/>
    </xf>
    <xf numFmtId="43" fontId="30" fillId="0" borderId="89" xfId="2" applyFont="1" applyFill="1" applyBorder="1" applyAlignment="1">
      <alignment vertical="center" wrapText="1"/>
    </xf>
    <xf numFmtId="176" fontId="30" fillId="0" borderId="51" xfId="2" applyNumberFormat="1" applyFont="1" applyFill="1" applyBorder="1" applyAlignment="1">
      <alignment vertical="center" wrapText="1"/>
    </xf>
    <xf numFmtId="172" fontId="53" fillId="0" borderId="23" xfId="5" applyNumberFormat="1" applyFont="1" applyBorder="1" applyAlignment="1">
      <alignment vertical="center" wrapText="1"/>
    </xf>
    <xf numFmtId="0" fontId="53" fillId="0" borderId="23" xfId="5" applyFont="1" applyBorder="1" applyAlignment="1">
      <alignment vertical="center" wrapText="1"/>
    </xf>
    <xf numFmtId="176" fontId="30" fillId="0" borderId="88" xfId="2" applyNumberFormat="1" applyFont="1" applyFill="1" applyBorder="1" applyAlignment="1">
      <alignment vertical="center" wrapText="1"/>
    </xf>
    <xf numFmtId="176" fontId="30" fillId="0" borderId="89" xfId="2" applyNumberFormat="1" applyFont="1" applyFill="1" applyBorder="1" applyAlignment="1">
      <alignment vertical="center" wrapText="1"/>
    </xf>
    <xf numFmtId="2" fontId="53" fillId="0" borderId="25" xfId="5" applyNumberFormat="1" applyFont="1" applyBorder="1" applyAlignment="1">
      <alignment vertical="center" wrapText="1"/>
    </xf>
    <xf numFmtId="171" fontId="53" fillId="0" borderId="25" xfId="5" applyNumberFormat="1" applyFont="1" applyBorder="1" applyAlignment="1">
      <alignment vertical="center" wrapText="1"/>
    </xf>
    <xf numFmtId="43" fontId="30" fillId="0" borderId="90" xfId="2" applyFont="1" applyFill="1" applyBorder="1" applyAlignment="1">
      <alignment vertical="center" wrapText="1"/>
    </xf>
    <xf numFmtId="43" fontId="30" fillId="0" borderId="91" xfId="2" applyFont="1" applyFill="1" applyBorder="1" applyAlignment="1">
      <alignment vertical="center" wrapText="1"/>
    </xf>
    <xf numFmtId="43" fontId="53" fillId="0" borderId="103" xfId="5" applyNumberFormat="1" applyFont="1" applyBorder="1" applyAlignment="1">
      <alignment vertical="center" wrapText="1"/>
    </xf>
    <xf numFmtId="2" fontId="53" fillId="0" borderId="111" xfId="5" applyNumberFormat="1" applyFont="1" applyBorder="1" applyAlignment="1">
      <alignment vertical="center" wrapText="1"/>
    </xf>
    <xf numFmtId="164" fontId="94" fillId="59" borderId="3" xfId="2" applyNumberFormat="1" applyFont="1" applyFill="1" applyBorder="1" applyAlignment="1">
      <alignment vertical="center" wrapText="1"/>
    </xf>
    <xf numFmtId="0" fontId="32" fillId="36" borderId="58" xfId="5" applyFont="1" applyFill="1" applyBorder="1" applyAlignment="1">
      <alignment vertical="center" wrapText="1"/>
    </xf>
    <xf numFmtId="164" fontId="94" fillId="59" borderId="17" xfId="2" applyNumberFormat="1" applyFont="1" applyFill="1" applyBorder="1" applyAlignment="1">
      <alignment vertical="center"/>
    </xf>
    <xf numFmtId="0" fontId="47" fillId="75" borderId="54" xfId="5" applyFont="1" applyFill="1" applyBorder="1" applyAlignment="1">
      <alignment horizontal="center" vertical="center" wrapText="1"/>
    </xf>
    <xf numFmtId="0" fontId="47" fillId="75" borderId="1" xfId="5" applyFont="1" applyFill="1" applyBorder="1" applyAlignment="1">
      <alignment horizontal="center" vertical="center" wrapText="1"/>
    </xf>
    <xf numFmtId="0" fontId="47" fillId="75" borderId="3" xfId="5" applyFont="1" applyFill="1" applyBorder="1" applyAlignment="1">
      <alignment horizontal="center" vertical="center" wrapText="1"/>
    </xf>
    <xf numFmtId="164" fontId="32" fillId="57" borderId="115" xfId="2" applyNumberFormat="1" applyFont="1" applyFill="1" applyBorder="1" applyAlignment="1">
      <alignment vertical="center" wrapText="1"/>
    </xf>
    <xf numFmtId="164" fontId="32" fillId="57" borderId="31" xfId="2" applyNumberFormat="1" applyFont="1" applyFill="1" applyBorder="1" applyAlignment="1">
      <alignment vertical="center" wrapText="1"/>
    </xf>
    <xf numFmtId="164" fontId="32" fillId="57" borderId="50" xfId="2" applyNumberFormat="1" applyFont="1" applyFill="1" applyBorder="1" applyAlignment="1">
      <alignment vertical="center" wrapText="1"/>
    </xf>
    <xf numFmtId="164" fontId="32" fillId="57" borderId="32" xfId="2" applyNumberFormat="1" applyFont="1" applyFill="1" applyBorder="1" applyAlignment="1">
      <alignment vertical="center" wrapText="1"/>
    </xf>
    <xf numFmtId="164" fontId="32" fillId="57" borderId="2" xfId="2" applyNumberFormat="1" applyFont="1" applyFill="1" applyBorder="1" applyAlignment="1">
      <alignment vertical="center" wrapText="1"/>
    </xf>
    <xf numFmtId="164" fontId="32" fillId="57" borderId="1" xfId="2" applyNumberFormat="1" applyFont="1" applyFill="1" applyBorder="1" applyAlignment="1">
      <alignment vertical="center" wrapText="1"/>
    </xf>
    <xf numFmtId="164" fontId="32" fillId="57" borderId="3" xfId="2" applyNumberFormat="1" applyFont="1" applyFill="1" applyBorder="1" applyAlignment="1">
      <alignment vertical="center" wrapText="1"/>
    </xf>
    <xf numFmtId="164" fontId="30" fillId="0" borderId="14" xfId="2" applyNumberFormat="1" applyFont="1" applyBorder="1"/>
    <xf numFmtId="1" fontId="30" fillId="0" borderId="7" xfId="2" applyNumberFormat="1" applyFont="1" applyBorder="1" applyAlignment="1">
      <alignment horizontal="center" vertical="center" wrapText="1"/>
    </xf>
    <xf numFmtId="1" fontId="30" fillId="0" borderId="0" xfId="0" applyNumberFormat="1" applyFont="1" applyAlignment="1">
      <alignment horizontal="right" vertical="center"/>
    </xf>
    <xf numFmtId="0" fontId="53" fillId="0" borderId="13" xfId="0" applyFont="1" applyBorder="1" applyAlignment="1">
      <alignment vertical="center"/>
    </xf>
    <xf numFmtId="43" fontId="127" fillId="0" borderId="0" xfId="2" applyFont="1" applyAlignment="1">
      <alignment vertical="center"/>
    </xf>
    <xf numFmtId="9" fontId="30" fillId="0" borderId="0" xfId="12" applyFont="1" applyAlignment="1">
      <alignment horizontal="center" vertical="center"/>
    </xf>
    <xf numFmtId="0" fontId="62" fillId="0" borderId="0" xfId="0" applyFont="1" applyAlignment="1">
      <alignment horizontal="left" vertical="center"/>
    </xf>
    <xf numFmtId="0" fontId="49" fillId="0" borderId="7" xfId="0" applyFont="1" applyBorder="1" applyAlignment="1">
      <alignment horizontal="center" vertical="center"/>
    </xf>
    <xf numFmtId="0" fontId="62" fillId="0" borderId="7" xfId="0" applyFont="1" applyBorder="1" applyAlignment="1">
      <alignment horizontal="left" vertical="center"/>
    </xf>
    <xf numFmtId="2" fontId="62" fillId="0" borderId="7" xfId="0" applyNumberFormat="1" applyFont="1" applyBorder="1" applyAlignment="1">
      <alignment horizontal="center" vertical="center"/>
    </xf>
    <xf numFmtId="172" fontId="30" fillId="0" borderId="0" xfId="0" applyNumberFormat="1" applyFont="1" applyAlignment="1">
      <alignment vertical="center"/>
    </xf>
    <xf numFmtId="0" fontId="128" fillId="0" borderId="0" xfId="0" applyFont="1" applyAlignment="1">
      <alignment vertical="center"/>
    </xf>
    <xf numFmtId="0" fontId="129" fillId="21" borderId="24" xfId="0" applyFont="1" applyFill="1" applyBorder="1" applyAlignment="1">
      <alignment horizontal="left" vertical="top" wrapText="1"/>
    </xf>
    <xf numFmtId="0" fontId="129" fillId="21" borderId="24" xfId="0" applyFont="1" applyFill="1" applyBorder="1" applyAlignment="1">
      <alignment horizontal="left" vertical="center" wrapText="1"/>
    </xf>
    <xf numFmtId="0" fontId="129" fillId="21" borderId="9" xfId="0" applyFont="1" applyFill="1" applyBorder="1" applyAlignment="1">
      <alignment horizontal="left" vertical="center" wrapText="1"/>
    </xf>
    <xf numFmtId="0" fontId="130" fillId="0" borderId="0" xfId="0" applyFont="1" applyAlignment="1">
      <alignment vertical="center" wrapText="1"/>
    </xf>
    <xf numFmtId="0" fontId="130" fillId="0" borderId="0" xfId="0" applyFont="1" applyAlignment="1">
      <alignment vertical="center"/>
    </xf>
    <xf numFmtId="0" fontId="130" fillId="0" borderId="0" xfId="0" applyFont="1" applyAlignment="1">
      <alignment horizontal="left" vertical="center"/>
    </xf>
    <xf numFmtId="0" fontId="97" fillId="3" borderId="18" xfId="0" applyFont="1" applyFill="1" applyBorder="1" applyAlignment="1">
      <alignment horizontal="left" vertical="center" wrapText="1"/>
    </xf>
    <xf numFmtId="0" fontId="97" fillId="3" borderId="19" xfId="0" applyFont="1" applyFill="1" applyBorder="1" applyAlignment="1">
      <alignment horizontal="left" vertical="center"/>
    </xf>
    <xf numFmtId="0" fontId="131" fillId="21" borderId="24" xfId="0" applyFont="1" applyFill="1" applyBorder="1" applyAlignment="1">
      <alignment horizontal="left" vertical="center" wrapText="1"/>
    </xf>
    <xf numFmtId="2" fontId="130" fillId="0" borderId="7" xfId="0" applyNumberFormat="1" applyFont="1" applyBorder="1" applyAlignment="1">
      <alignment horizontal="center" vertical="center"/>
    </xf>
    <xf numFmtId="0" fontId="131" fillId="21" borderId="9" xfId="0" applyFont="1" applyFill="1" applyBorder="1" applyAlignment="1">
      <alignment horizontal="left" vertical="center" wrapText="1"/>
    </xf>
    <xf numFmtId="2" fontId="130" fillId="0" borderId="10" xfId="0" applyNumberFormat="1" applyFont="1" applyBorder="1" applyAlignment="1">
      <alignment horizontal="center" vertical="center"/>
    </xf>
    <xf numFmtId="1" fontId="30" fillId="0" borderId="0" xfId="2" applyNumberFormat="1" applyFont="1" applyAlignment="1">
      <alignment horizontal="center" vertical="center"/>
    </xf>
    <xf numFmtId="0" fontId="57" fillId="0" borderId="7" xfId="5" applyFont="1" applyBorder="1" applyAlignment="1">
      <alignment horizontal="center" vertical="center"/>
    </xf>
    <xf numFmtId="0" fontId="62" fillId="27" borderId="7" xfId="5" applyFont="1" applyFill="1" applyBorder="1" applyAlignment="1">
      <alignment vertical="center"/>
    </xf>
    <xf numFmtId="0" fontId="66" fillId="0" borderId="0" xfId="5" quotePrefix="1" applyFont="1" applyAlignment="1">
      <alignment vertical="center"/>
    </xf>
    <xf numFmtId="173" fontId="36" fillId="0" borderId="0" xfId="12" applyNumberFormat="1" applyFont="1" applyAlignment="1">
      <alignment vertical="center"/>
    </xf>
    <xf numFmtId="0" fontId="49" fillId="0" borderId="7" xfId="0" applyFont="1" applyBorder="1" applyAlignment="1">
      <alignment horizontal="left" vertical="center"/>
    </xf>
    <xf numFmtId="0" fontId="49" fillId="0" borderId="7" xfId="0" applyFont="1" applyBorder="1" applyAlignment="1">
      <alignment vertical="center"/>
    </xf>
    <xf numFmtId="173" fontId="49" fillId="0" borderId="7" xfId="0" applyNumberFormat="1" applyFont="1" applyBorder="1" applyAlignment="1">
      <alignment horizontal="center" vertical="center"/>
    </xf>
    <xf numFmtId="0" fontId="117" fillId="0" borderId="0" xfId="0" applyFont="1" applyAlignment="1">
      <alignment vertical="center"/>
    </xf>
    <xf numFmtId="1" fontId="37" fillId="0" borderId="0" xfId="0" applyNumberFormat="1" applyFont="1" applyAlignment="1">
      <alignment horizontal="left" vertical="center"/>
    </xf>
    <xf numFmtId="164" fontId="30" fillId="0" borderId="7" xfId="2" applyNumberFormat="1" applyFont="1" applyBorder="1"/>
    <xf numFmtId="173" fontId="30" fillId="0" borderId="0" xfId="12" applyNumberFormat="1" applyFont="1"/>
    <xf numFmtId="171" fontId="30" fillId="0" borderId="20" xfId="0" applyNumberFormat="1" applyFont="1" applyBorder="1" applyAlignment="1">
      <alignment vertical="center"/>
    </xf>
    <xf numFmtId="171" fontId="30" fillId="0" borderId="25" xfId="0" applyNumberFormat="1" applyFont="1" applyBorder="1" applyAlignment="1">
      <alignment vertical="center"/>
    </xf>
    <xf numFmtId="171" fontId="30" fillId="0" borderId="25" xfId="12" applyNumberFormat="1" applyFont="1" applyBorder="1" applyAlignment="1">
      <alignment vertical="center"/>
    </xf>
    <xf numFmtId="0" fontId="65" fillId="0" borderId="0" xfId="8" applyFont="1" applyAlignment="1">
      <alignment horizontal="left" vertical="center" indent="2"/>
    </xf>
    <xf numFmtId="0" fontId="36" fillId="7" borderId="18" xfId="0" quotePrefix="1" applyFont="1" applyFill="1" applyBorder="1" applyAlignment="1">
      <alignment vertical="center" wrapText="1"/>
    </xf>
    <xf numFmtId="164" fontId="36" fillId="7" borderId="19" xfId="2" applyNumberFormat="1" applyFont="1" applyFill="1" applyBorder="1" applyAlignment="1">
      <alignment vertical="center" wrapText="1"/>
    </xf>
    <xf numFmtId="0" fontId="36" fillId="7" borderId="19" xfId="0" applyFont="1" applyFill="1" applyBorder="1" applyAlignment="1">
      <alignment vertical="center" wrapText="1"/>
    </xf>
    <xf numFmtId="0" fontId="37" fillId="18" borderId="9" xfId="0" quotePrefix="1" applyFont="1" applyFill="1" applyBorder="1" applyAlignment="1">
      <alignment horizontal="right" vertical="center" wrapText="1"/>
    </xf>
    <xf numFmtId="9" fontId="37" fillId="18" borderId="10" xfId="12" applyFont="1" applyFill="1" applyBorder="1" applyAlignment="1">
      <alignment vertical="center" wrapText="1"/>
    </xf>
    <xf numFmtId="0" fontId="37" fillId="18" borderId="10" xfId="0" applyFont="1" applyFill="1" applyBorder="1" applyAlignment="1">
      <alignment vertical="center" wrapText="1"/>
    </xf>
    <xf numFmtId="9" fontId="30" fillId="0" borderId="3" xfId="0" applyNumberFormat="1" applyFont="1" applyBorder="1" applyAlignment="1">
      <alignment vertical="center"/>
    </xf>
    <xf numFmtId="0" fontId="36" fillId="0" borderId="24" xfId="0" applyFont="1" applyBorder="1"/>
    <xf numFmtId="0" fontId="36" fillId="0" borderId="24" xfId="0" applyFont="1" applyBorder="1" applyAlignment="1">
      <alignment wrapText="1"/>
    </xf>
    <xf numFmtId="0" fontId="36" fillId="0" borderId="24" xfId="0" applyFont="1" applyBorder="1" applyAlignment="1">
      <alignment vertical="center"/>
    </xf>
    <xf numFmtId="0" fontId="62" fillId="0" borderId="0" xfId="0" applyFont="1" applyAlignment="1">
      <alignment wrapText="1"/>
    </xf>
    <xf numFmtId="0" fontId="47" fillId="75" borderId="122" xfId="5" applyFont="1" applyFill="1" applyBorder="1" applyAlignment="1">
      <alignment horizontal="center" vertical="center" wrapText="1"/>
    </xf>
    <xf numFmtId="0" fontId="47" fillId="75" borderId="179" xfId="5" applyFont="1" applyFill="1" applyBorder="1" applyAlignment="1">
      <alignment horizontal="center" vertical="center" wrapText="1"/>
    </xf>
    <xf numFmtId="0" fontId="47" fillId="75" borderId="186" xfId="5" applyFont="1" applyFill="1" applyBorder="1" applyAlignment="1">
      <alignment horizontal="center" vertical="center" wrapText="1"/>
    </xf>
    <xf numFmtId="0" fontId="47" fillId="75" borderId="187" xfId="5" applyFont="1" applyFill="1" applyBorder="1" applyAlignment="1">
      <alignment horizontal="center" vertical="center" wrapText="1"/>
    </xf>
    <xf numFmtId="0" fontId="47" fillId="75" borderId="188" xfId="5" applyFont="1" applyFill="1" applyBorder="1" applyAlignment="1">
      <alignment horizontal="center" vertical="center" wrapText="1"/>
    </xf>
    <xf numFmtId="0" fontId="47" fillId="75" borderId="189" xfId="5" applyFont="1" applyFill="1" applyBorder="1" applyAlignment="1">
      <alignment horizontal="center" vertical="center" wrapText="1"/>
    </xf>
    <xf numFmtId="0" fontId="36" fillId="76" borderId="58" xfId="9" applyFont="1" applyFill="1" applyBorder="1" applyAlignment="1">
      <alignment horizontal="center" vertical="center" wrapText="1"/>
    </xf>
    <xf numFmtId="0" fontId="36" fillId="78" borderId="58" xfId="9" applyFont="1" applyFill="1" applyBorder="1" applyAlignment="1">
      <alignment horizontal="center" vertical="center" wrapText="1"/>
    </xf>
    <xf numFmtId="0" fontId="47" fillId="71" borderId="26" xfId="5" applyFont="1" applyFill="1" applyBorder="1" applyAlignment="1">
      <alignment horizontal="center" vertical="center" wrapText="1"/>
    </xf>
    <xf numFmtId="0" fontId="47" fillId="75" borderId="26" xfId="5" applyFont="1" applyFill="1" applyBorder="1" applyAlignment="1">
      <alignment horizontal="center" vertical="center" wrapText="1"/>
    </xf>
    <xf numFmtId="0" fontId="47" fillId="75" borderId="116" xfId="5" applyFont="1" applyFill="1" applyBorder="1" applyAlignment="1">
      <alignment horizontal="center" vertical="center" wrapText="1"/>
    </xf>
    <xf numFmtId="0" fontId="47" fillId="75" borderId="2" xfId="5" applyFont="1" applyFill="1" applyBorder="1" applyAlignment="1">
      <alignment horizontal="center" vertical="center" wrapText="1"/>
    </xf>
    <xf numFmtId="0" fontId="47" fillId="75" borderId="57" xfId="5" applyFont="1" applyFill="1" applyBorder="1" applyAlignment="1">
      <alignment horizontal="center" vertical="center" wrapText="1"/>
    </xf>
    <xf numFmtId="0" fontId="47" fillId="70" borderId="4" xfId="5" applyFont="1" applyFill="1" applyBorder="1" applyAlignment="1">
      <alignment horizontal="center" vertical="center"/>
    </xf>
    <xf numFmtId="0" fontId="47" fillId="75" borderId="93" xfId="5" applyFont="1" applyFill="1" applyBorder="1" applyAlignment="1">
      <alignment horizontal="center" vertical="center" wrapText="1"/>
    </xf>
    <xf numFmtId="0" fontId="47" fillId="75" borderId="146" xfId="5" applyFont="1" applyFill="1" applyBorder="1" applyAlignment="1">
      <alignment horizontal="center" vertical="center" wrapText="1"/>
    </xf>
    <xf numFmtId="0" fontId="47" fillId="75" borderId="126" xfId="5" applyFont="1" applyFill="1" applyBorder="1" applyAlignment="1">
      <alignment horizontal="center" vertical="center" wrapText="1"/>
    </xf>
    <xf numFmtId="0" fontId="47" fillId="75" borderId="147" xfId="5" applyFont="1" applyFill="1" applyBorder="1" applyAlignment="1">
      <alignment horizontal="center" vertical="center" wrapText="1"/>
    </xf>
    <xf numFmtId="0" fontId="30" fillId="0" borderId="4" xfId="9" applyFont="1" applyBorder="1" applyAlignment="1">
      <alignment horizontal="left" vertical="center" wrapText="1"/>
    </xf>
    <xf numFmtId="9" fontId="30" fillId="0" borderId="24" xfId="12" applyFont="1" applyBorder="1" applyAlignment="1">
      <alignment vertical="center" wrapText="1"/>
    </xf>
    <xf numFmtId="9" fontId="53" fillId="0" borderId="7" xfId="5" applyNumberFormat="1" applyFont="1" applyBorder="1" applyAlignment="1">
      <alignment vertical="center" wrapText="1"/>
    </xf>
    <xf numFmtId="9" fontId="53" fillId="0" borderId="7" xfId="12" applyFont="1" applyBorder="1" applyAlignment="1">
      <alignment vertical="center" wrapText="1"/>
    </xf>
    <xf numFmtId="0" fontId="53" fillId="0" borderId="100" xfId="5" applyFont="1" applyBorder="1" applyAlignment="1">
      <alignment vertical="center" wrapText="1"/>
    </xf>
    <xf numFmtId="9" fontId="30" fillId="0" borderId="9" xfId="12" applyFont="1" applyBorder="1" applyAlignment="1">
      <alignment vertical="center" wrapText="1"/>
    </xf>
    <xf numFmtId="0" fontId="53" fillId="0" borderId="10" xfId="5" applyFont="1" applyBorder="1" applyAlignment="1">
      <alignment vertical="center" wrapText="1"/>
    </xf>
    <xf numFmtId="9" fontId="53" fillId="0" borderId="10" xfId="12" applyFont="1" applyBorder="1" applyAlignment="1">
      <alignment vertical="center" wrapText="1"/>
    </xf>
    <xf numFmtId="176" fontId="30" fillId="0" borderId="19" xfId="2" applyNumberFormat="1" applyFont="1" applyBorder="1" applyAlignment="1">
      <alignment vertical="center" wrapText="1"/>
    </xf>
    <xf numFmtId="171" fontId="53" fillId="0" borderId="19" xfId="5" applyNumberFormat="1" applyFont="1" applyBorder="1" applyAlignment="1">
      <alignment vertical="center" wrapText="1"/>
    </xf>
    <xf numFmtId="176" fontId="30" fillId="0" borderId="51" xfId="2" applyNumberFormat="1" applyFont="1" applyBorder="1" applyAlignment="1">
      <alignment vertical="center" wrapText="1"/>
    </xf>
    <xf numFmtId="176" fontId="30" fillId="0" borderId="22" xfId="2" applyNumberFormat="1" applyFont="1" applyBorder="1" applyAlignment="1">
      <alignment vertical="center" wrapText="1"/>
    </xf>
    <xf numFmtId="178" fontId="53" fillId="0" borderId="22" xfId="5" applyNumberFormat="1" applyFont="1" applyBorder="1" applyAlignment="1">
      <alignment vertical="center" wrapText="1"/>
    </xf>
    <xf numFmtId="1" fontId="53" fillId="0" borderId="26" xfId="5" applyNumberFormat="1" applyFont="1" applyBorder="1" applyAlignment="1">
      <alignment vertical="center" wrapText="1"/>
    </xf>
    <xf numFmtId="1" fontId="30" fillId="0" borderId="27" xfId="0" applyNumberFormat="1" applyFont="1" applyBorder="1" applyAlignment="1">
      <alignment vertical="center"/>
    </xf>
    <xf numFmtId="9" fontId="30" fillId="0" borderId="21" xfId="12" applyFont="1" applyBorder="1" applyAlignment="1">
      <alignment vertical="center" wrapText="1"/>
    </xf>
    <xf numFmtId="9" fontId="53" fillId="0" borderId="22" xfId="5" applyNumberFormat="1" applyFont="1" applyBorder="1" applyAlignment="1">
      <alignment vertical="center" wrapText="1"/>
    </xf>
    <xf numFmtId="9" fontId="53" fillId="0" borderId="22" xfId="12" applyFont="1" applyBorder="1" applyAlignment="1">
      <alignment vertical="center" wrapText="1"/>
    </xf>
    <xf numFmtId="9" fontId="30" fillId="0" borderId="23" xfId="12" applyFont="1" applyBorder="1" applyAlignment="1">
      <alignment vertical="center"/>
    </xf>
    <xf numFmtId="164" fontId="30" fillId="0" borderId="146" xfId="2" applyNumberFormat="1" applyFont="1" applyBorder="1" applyAlignment="1">
      <alignment vertical="center" wrapText="1"/>
    </xf>
    <xf numFmtId="164" fontId="53" fillId="0" borderId="126" xfId="2" applyNumberFormat="1" applyFont="1" applyBorder="1" applyAlignment="1">
      <alignment vertical="center" wrapText="1"/>
    </xf>
    <xf numFmtId="164" fontId="30" fillId="0" borderId="147" xfId="2" applyNumberFormat="1" applyFont="1" applyBorder="1" applyAlignment="1">
      <alignment vertical="center"/>
    </xf>
    <xf numFmtId="0" fontId="100" fillId="77" borderId="1" xfId="5" applyFont="1" applyFill="1" applyBorder="1" applyAlignment="1">
      <alignment vertical="center" wrapText="1"/>
    </xf>
    <xf numFmtId="0" fontId="36" fillId="0" borderId="60" xfId="0" applyFont="1" applyBorder="1" applyAlignment="1">
      <alignment horizontal="center" vertical="center"/>
    </xf>
    <xf numFmtId="0" fontId="30" fillId="0" borderId="22" xfId="0" applyFont="1" applyBorder="1" applyAlignment="1">
      <alignment horizontal="center" vertical="center"/>
    </xf>
    <xf numFmtId="0" fontId="30" fillId="0" borderId="52" xfId="0" applyFont="1" applyBorder="1" applyAlignment="1">
      <alignment horizontal="center" vertical="center"/>
    </xf>
    <xf numFmtId="0" fontId="30" fillId="0" borderId="0" xfId="0" applyFont="1" applyAlignment="1">
      <alignment horizontal="left" vertical="top" wrapText="1"/>
    </xf>
    <xf numFmtId="0" fontId="36" fillId="73" borderId="58" xfId="5" applyFont="1" applyFill="1" applyBorder="1" applyAlignment="1">
      <alignment vertical="center" wrapText="1"/>
    </xf>
    <xf numFmtId="0" fontId="52" fillId="73" borderId="58" xfId="5" applyFont="1" applyFill="1" applyBorder="1" applyAlignment="1">
      <alignment vertical="center" wrapText="1"/>
    </xf>
    <xf numFmtId="0" fontId="47" fillId="75" borderId="151" xfId="5" applyFont="1" applyFill="1" applyBorder="1" applyAlignment="1">
      <alignment horizontal="center" vertical="center" wrapText="1"/>
    </xf>
    <xf numFmtId="0" fontId="116" fillId="19" borderId="58" xfId="5" applyFont="1" applyFill="1" applyBorder="1" applyAlignment="1">
      <alignment horizontal="center" vertical="center"/>
    </xf>
    <xf numFmtId="164" fontId="30" fillId="0" borderId="193" xfId="2" applyNumberFormat="1" applyFont="1" applyBorder="1" applyAlignment="1">
      <alignment vertical="center"/>
    </xf>
    <xf numFmtId="0" fontId="53" fillId="0" borderId="194" xfId="5" applyFont="1" applyBorder="1" applyAlignment="1">
      <alignment vertical="center" wrapText="1"/>
    </xf>
    <xf numFmtId="0" fontId="53" fillId="0" borderId="195" xfId="5" applyFont="1" applyBorder="1" applyAlignment="1">
      <alignment vertical="center" wrapText="1"/>
    </xf>
    <xf numFmtId="0" fontId="53" fillId="0" borderId="196" xfId="5" applyFont="1" applyBorder="1" applyAlignment="1">
      <alignment vertical="center" wrapText="1"/>
    </xf>
    <xf numFmtId="0" fontId="53" fillId="0" borderId="197" xfId="5" applyFont="1" applyBorder="1" applyAlignment="1">
      <alignment vertical="center" wrapText="1"/>
    </xf>
    <xf numFmtId="43" fontId="53" fillId="0" borderId="53" xfId="5" applyNumberFormat="1" applyFont="1" applyBorder="1" applyAlignment="1">
      <alignment vertical="center" wrapText="1"/>
    </xf>
    <xf numFmtId="171" fontId="30" fillId="0" borderId="11" xfId="12" applyNumberFormat="1" applyFont="1" applyBorder="1" applyAlignment="1">
      <alignment vertical="center"/>
    </xf>
    <xf numFmtId="0" fontId="47" fillId="70" borderId="190" xfId="5" applyFont="1" applyFill="1" applyBorder="1" applyAlignment="1">
      <alignment horizontal="center" vertical="center" wrapText="1"/>
    </xf>
    <xf numFmtId="0" fontId="47" fillId="70" borderId="191" xfId="5" applyFont="1" applyFill="1" applyBorder="1" applyAlignment="1">
      <alignment horizontal="center" vertical="center" wrapText="1"/>
    </xf>
    <xf numFmtId="0" fontId="47" fillId="70" borderId="192" xfId="5" applyFont="1" applyFill="1" applyBorder="1" applyAlignment="1">
      <alignment horizontal="center" vertical="center" wrapText="1"/>
    </xf>
    <xf numFmtId="0" fontId="47" fillId="70" borderId="188" xfId="5" applyFont="1" applyFill="1" applyBorder="1" applyAlignment="1">
      <alignment horizontal="center" vertical="center" wrapText="1"/>
    </xf>
    <xf numFmtId="9" fontId="30" fillId="0" borderId="7" xfId="12" applyFont="1" applyFill="1" applyBorder="1" applyAlignment="1">
      <alignment horizontal="center" vertical="center"/>
    </xf>
    <xf numFmtId="2" fontId="30" fillId="0" borderId="7" xfId="0" applyNumberFormat="1" applyFont="1" applyBorder="1" applyAlignment="1">
      <alignment horizontal="center" vertical="center" wrapText="1"/>
    </xf>
    <xf numFmtId="1" fontId="30" fillId="0" borderId="7" xfId="2" applyNumberFormat="1" applyFont="1" applyFill="1" applyBorder="1" applyAlignment="1">
      <alignment horizontal="center" vertical="center"/>
    </xf>
    <xf numFmtId="0" fontId="126" fillId="0" borderId="0" xfId="0" applyFont="1" applyAlignment="1">
      <alignment horizontal="left" vertical="center"/>
    </xf>
    <xf numFmtId="164" fontId="30" fillId="0" borderId="102" xfId="2" applyNumberFormat="1" applyFont="1" applyFill="1" applyBorder="1" applyAlignment="1">
      <alignment vertical="center"/>
    </xf>
    <xf numFmtId="164" fontId="30" fillId="0" borderId="14" xfId="2" applyNumberFormat="1" applyFont="1" applyFill="1" applyBorder="1" applyAlignment="1">
      <alignment vertical="center"/>
    </xf>
    <xf numFmtId="0" fontId="126" fillId="0" borderId="0" xfId="0" applyFont="1" applyAlignment="1">
      <alignment vertical="center"/>
    </xf>
    <xf numFmtId="164" fontId="30" fillId="0" borderId="14" xfId="0" applyNumberFormat="1" applyFont="1" applyBorder="1" applyAlignment="1">
      <alignment vertical="center"/>
    </xf>
    <xf numFmtId="171" fontId="30" fillId="0" borderId="7" xfId="0" applyNumberFormat="1" applyFont="1" applyBorder="1" applyAlignment="1">
      <alignment horizontal="center" vertical="center" wrapText="1"/>
    </xf>
    <xf numFmtId="1" fontId="30" fillId="0" borderId="0" xfId="0" applyNumberFormat="1" applyFont="1" applyAlignment="1">
      <alignment horizontal="center" vertical="center"/>
    </xf>
    <xf numFmtId="0" fontId="17" fillId="0" borderId="0" xfId="0" applyFont="1" applyAlignment="1">
      <alignment vertical="center"/>
    </xf>
    <xf numFmtId="164" fontId="53" fillId="0" borderId="26" xfId="2" applyNumberFormat="1" applyFont="1" applyBorder="1" applyAlignment="1">
      <alignment vertical="center"/>
    </xf>
    <xf numFmtId="180" fontId="36" fillId="74" borderId="122" xfId="2" applyNumberFormat="1" applyFont="1" applyFill="1" applyBorder="1" applyAlignment="1">
      <alignment vertical="center"/>
    </xf>
    <xf numFmtId="180" fontId="36" fillId="79" borderId="2" xfId="2" applyNumberFormat="1" applyFont="1" applyFill="1" applyBorder="1" applyAlignment="1">
      <alignment vertical="center" wrapText="1"/>
    </xf>
    <xf numFmtId="180" fontId="36" fillId="79" borderId="3" xfId="5" applyNumberFormat="1" applyFont="1" applyFill="1" applyBorder="1" applyAlignment="1">
      <alignment vertical="center" wrapText="1"/>
    </xf>
    <xf numFmtId="180" fontId="30" fillId="0" borderId="0" xfId="0" applyNumberFormat="1" applyFont="1" applyAlignment="1">
      <alignment vertical="center"/>
    </xf>
    <xf numFmtId="0" fontId="36" fillId="0" borderId="4" xfId="9" applyFont="1" applyBorder="1" applyAlignment="1">
      <alignment vertical="center" wrapText="1"/>
    </xf>
    <xf numFmtId="0" fontId="36" fillId="0" borderId="4" xfId="9" applyFont="1" applyBorder="1" applyAlignment="1">
      <alignment horizontal="left" vertical="center" wrapText="1"/>
    </xf>
    <xf numFmtId="180" fontId="52" fillId="74" borderId="17" xfId="2" applyNumberFormat="1" applyFont="1" applyFill="1" applyBorder="1" applyAlignment="1">
      <alignment vertical="center"/>
    </xf>
    <xf numFmtId="0" fontId="53" fillId="0" borderId="83" xfId="5" applyFont="1" applyBorder="1" applyAlignment="1">
      <alignment vertical="center" wrapText="1"/>
    </xf>
    <xf numFmtId="0" fontId="53" fillId="0" borderId="198" xfId="5" applyFont="1" applyBorder="1" applyAlignment="1">
      <alignment vertical="center" wrapText="1"/>
    </xf>
    <xf numFmtId="0" fontId="53" fillId="0" borderId="84" xfId="5" applyFont="1" applyBorder="1" applyAlignment="1">
      <alignment vertical="center" wrapText="1"/>
    </xf>
    <xf numFmtId="0" fontId="53" fillId="0" borderId="85" xfId="5" applyFont="1" applyBorder="1" applyAlignment="1">
      <alignment vertical="center" wrapText="1"/>
    </xf>
    <xf numFmtId="164" fontId="30" fillId="0" borderId="125" xfId="2" applyNumberFormat="1" applyFont="1" applyBorder="1" applyAlignment="1">
      <alignment vertical="center" wrapText="1"/>
    </xf>
    <xf numFmtId="9" fontId="30" fillId="0" borderId="51" xfId="12" applyFont="1" applyBorder="1" applyAlignment="1">
      <alignment vertical="center" wrapText="1"/>
    </xf>
    <xf numFmtId="9" fontId="30" fillId="0" borderId="52" xfId="12" applyFont="1" applyBorder="1" applyAlignment="1">
      <alignment vertical="center" wrapText="1"/>
    </xf>
    <xf numFmtId="9" fontId="30" fillId="0" borderId="53" xfId="12" applyFont="1" applyBorder="1" applyAlignment="1">
      <alignment vertical="center" wrapText="1"/>
    </xf>
    <xf numFmtId="0" fontId="47" fillId="75" borderId="75" xfId="5" applyFont="1" applyFill="1" applyBorder="1" applyAlignment="1">
      <alignment horizontal="center" vertical="center" wrapText="1"/>
    </xf>
    <xf numFmtId="0" fontId="47" fillId="75" borderId="76" xfId="5" applyFont="1" applyFill="1" applyBorder="1" applyAlignment="1">
      <alignment horizontal="center" vertical="center" wrapText="1"/>
    </xf>
    <xf numFmtId="0" fontId="47" fillId="75" borderId="77" xfId="5" applyFont="1" applyFill="1" applyBorder="1" applyAlignment="1">
      <alignment horizontal="center" vertical="center" wrapText="1"/>
    </xf>
    <xf numFmtId="164" fontId="30" fillId="0" borderId="2" xfId="2" applyNumberFormat="1" applyFont="1" applyBorder="1" applyAlignment="1">
      <alignment vertical="center" wrapText="1"/>
    </xf>
    <xf numFmtId="164" fontId="30" fillId="0" borderId="3" xfId="2" applyNumberFormat="1" applyFont="1" applyBorder="1" applyAlignment="1">
      <alignment vertical="center" wrapText="1"/>
    </xf>
    <xf numFmtId="9" fontId="30" fillId="0" borderId="18" xfId="12" applyFont="1" applyBorder="1" applyAlignment="1">
      <alignment vertical="center"/>
    </xf>
    <xf numFmtId="9" fontId="30" fillId="0" borderId="19" xfId="12" applyFont="1" applyBorder="1" applyAlignment="1">
      <alignment vertical="center"/>
    </xf>
    <xf numFmtId="9" fontId="30" fillId="0" borderId="20" xfId="12" applyFont="1" applyBorder="1" applyAlignment="1">
      <alignment vertical="center"/>
    </xf>
    <xf numFmtId="9" fontId="30" fillId="0" borderId="24" xfId="12" applyFont="1" applyBorder="1" applyAlignment="1">
      <alignment vertical="center"/>
    </xf>
    <xf numFmtId="9" fontId="30" fillId="0" borderId="9" xfId="12" applyFont="1" applyBorder="1" applyAlignment="1">
      <alignment vertical="center"/>
    </xf>
    <xf numFmtId="43" fontId="30" fillId="0" borderId="18" xfId="2" applyFont="1" applyBorder="1" applyAlignment="1">
      <alignment vertical="center" wrapText="1"/>
    </xf>
    <xf numFmtId="43" fontId="30" fillId="0" borderId="19" xfId="2" applyFont="1" applyBorder="1" applyAlignment="1">
      <alignment vertical="center" wrapText="1"/>
    </xf>
    <xf numFmtId="43" fontId="30" fillId="0" borderId="20" xfId="2" applyFont="1" applyBorder="1" applyAlignment="1">
      <alignment vertical="center" wrapText="1"/>
    </xf>
    <xf numFmtId="43" fontId="30" fillId="0" borderId="24" xfId="2" applyFont="1" applyBorder="1" applyAlignment="1">
      <alignment vertical="center" wrapText="1"/>
    </xf>
    <xf numFmtId="43" fontId="30" fillId="0" borderId="7" xfId="2" applyFont="1" applyBorder="1" applyAlignment="1">
      <alignment vertical="center" wrapText="1"/>
    </xf>
    <xf numFmtId="43" fontId="30" fillId="0" borderId="25" xfId="2" applyFont="1" applyBorder="1" applyAlignment="1">
      <alignment vertical="center" wrapText="1"/>
    </xf>
    <xf numFmtId="43" fontId="30" fillId="0" borderId="9" xfId="2" applyFont="1" applyBorder="1" applyAlignment="1">
      <alignment vertical="center" wrapText="1"/>
    </xf>
    <xf numFmtId="43" fontId="30" fillId="0" borderId="10" xfId="2" applyFont="1" applyBorder="1" applyAlignment="1">
      <alignment vertical="center" wrapText="1"/>
    </xf>
    <xf numFmtId="43" fontId="30" fillId="0" borderId="11" xfId="2" applyFont="1" applyBorder="1" applyAlignment="1">
      <alignment vertical="center" wrapText="1"/>
    </xf>
    <xf numFmtId="176" fontId="30" fillId="0" borderId="25" xfId="2" applyNumberFormat="1" applyFont="1" applyBorder="1" applyAlignment="1">
      <alignment vertical="center" wrapText="1"/>
    </xf>
    <xf numFmtId="43" fontId="53" fillId="0" borderId="0" xfId="2" applyFont="1" applyAlignment="1">
      <alignment vertical="center"/>
    </xf>
    <xf numFmtId="0" fontId="30" fillId="0" borderId="23" xfId="0" applyFont="1" applyBorder="1" applyAlignment="1">
      <alignment horizontal="left" vertical="center"/>
    </xf>
    <xf numFmtId="0" fontId="36" fillId="9" borderId="18" xfId="0" applyFont="1" applyFill="1" applyBorder="1" applyAlignment="1">
      <alignment vertical="center"/>
    </xf>
    <xf numFmtId="0" fontId="53" fillId="0" borderId="7" xfId="0" applyFont="1" applyBorder="1" applyAlignment="1">
      <alignment vertical="center" wrapText="1"/>
    </xf>
    <xf numFmtId="0" fontId="30" fillId="0" borderId="0" xfId="0" quotePrefix="1" applyFont="1" applyAlignment="1">
      <alignment vertical="top" wrapText="1"/>
    </xf>
    <xf numFmtId="0" fontId="91" fillId="0" borderId="0" xfId="0" applyFont="1"/>
    <xf numFmtId="0" fontId="53" fillId="0" borderId="0" xfId="0" applyFont="1" applyAlignment="1">
      <alignment vertical="center" wrapText="1"/>
    </xf>
    <xf numFmtId="9" fontId="53" fillId="0" borderId="0" xfId="0" applyNumberFormat="1" applyFont="1"/>
    <xf numFmtId="0" fontId="53" fillId="0" borderId="0" xfId="0" applyFont="1" applyAlignment="1">
      <alignment horizontal="center" vertical="center" wrapText="1"/>
    </xf>
    <xf numFmtId="0" fontId="30" fillId="0" borderId="7" xfId="0" applyFont="1" applyBorder="1" applyAlignment="1">
      <alignment horizontal="left" vertical="top" wrapText="1"/>
    </xf>
    <xf numFmtId="9" fontId="53" fillId="0" borderId="7" xfId="0" applyNumberFormat="1" applyFont="1" applyBorder="1"/>
    <xf numFmtId="179" fontId="53" fillId="0" borderId="0" xfId="2" applyNumberFormat="1" applyFont="1" applyAlignment="1">
      <alignment horizontal="center" vertical="center" wrapText="1"/>
    </xf>
    <xf numFmtId="0" fontId="53" fillId="0" borderId="0" xfId="0" quotePrefix="1" applyFont="1" applyAlignment="1">
      <alignment horizontal="center" vertical="center" wrapText="1"/>
    </xf>
    <xf numFmtId="9" fontId="47" fillId="0" borderId="7" xfId="0" applyNumberFormat="1" applyFont="1" applyBorder="1"/>
    <xf numFmtId="43" fontId="53" fillId="0" borderId="0" xfId="2" applyFont="1" applyAlignment="1">
      <alignment vertical="center" wrapText="1"/>
    </xf>
    <xf numFmtId="0" fontId="53" fillId="0" borderId="0" xfId="0" applyFont="1" applyAlignment="1">
      <alignment horizontal="center" vertical="center"/>
    </xf>
    <xf numFmtId="171" fontId="53" fillId="0" borderId="0" xfId="0" applyNumberFormat="1" applyFont="1" applyAlignment="1">
      <alignment vertical="center"/>
    </xf>
    <xf numFmtId="0" fontId="53" fillId="0" borderId="0" xfId="0" applyFont="1" applyAlignment="1">
      <alignment horizontal="left" vertical="center" wrapText="1"/>
    </xf>
    <xf numFmtId="0" fontId="40" fillId="0" borderId="12" xfId="0" quotePrefix="1" applyFont="1" applyBorder="1" applyAlignment="1">
      <alignment horizontal="center" vertical="center"/>
    </xf>
    <xf numFmtId="0" fontId="40" fillId="0" borderId="41" xfId="0" quotePrefix="1" applyFont="1" applyBorder="1" applyAlignment="1">
      <alignment horizontal="center" vertical="center"/>
    </xf>
    <xf numFmtId="0" fontId="40" fillId="0" borderId="52" xfId="0" quotePrefix="1" applyFont="1" applyBorder="1" applyAlignment="1">
      <alignment horizontal="center" vertical="center"/>
    </xf>
    <xf numFmtId="0" fontId="21" fillId="0" borderId="7" xfId="1" applyBorder="1" applyAlignment="1">
      <alignment horizontal="left" vertical="top" wrapText="1"/>
    </xf>
    <xf numFmtId="0" fontId="51" fillId="0" borderId="7" xfId="0" applyFont="1" applyBorder="1" applyAlignment="1">
      <alignment horizontal="left" vertical="top" wrapText="1"/>
    </xf>
    <xf numFmtId="0" fontId="0" fillId="0" borderId="7" xfId="1" quotePrefix="1" applyFont="1" applyBorder="1" applyAlignment="1">
      <alignment vertical="top" wrapText="1"/>
    </xf>
    <xf numFmtId="0" fontId="30" fillId="0" borderId="46" xfId="0" applyFont="1" applyBorder="1" applyAlignment="1">
      <alignment vertical="center"/>
    </xf>
    <xf numFmtId="0" fontId="21" fillId="0" borderId="0" xfId="1" applyAlignment="1">
      <alignment horizontal="left" vertical="top" wrapText="1"/>
    </xf>
    <xf numFmtId="0" fontId="21" fillId="0" borderId="7" xfId="1" quotePrefix="1" applyBorder="1" applyAlignment="1">
      <alignment horizontal="left" vertical="top" wrapText="1"/>
    </xf>
    <xf numFmtId="0" fontId="21" fillId="0" borderId="7" xfId="1" applyBorder="1" applyAlignment="1">
      <alignment vertical="top" wrapText="1"/>
    </xf>
    <xf numFmtId="0" fontId="21" fillId="0" borderId="7" xfId="1" applyBorder="1" applyAlignment="1">
      <alignment vertical="center"/>
    </xf>
    <xf numFmtId="164" fontId="30" fillId="0" borderId="47" xfId="2" applyNumberFormat="1" applyFont="1" applyBorder="1" applyAlignment="1">
      <alignment vertical="center"/>
    </xf>
    <xf numFmtId="0" fontId="21" fillId="0" borderId="47" xfId="1" applyBorder="1" applyAlignment="1">
      <alignment horizontal="left" vertical="top" wrapText="1"/>
    </xf>
    <xf numFmtId="0" fontId="37" fillId="0" borderId="22" xfId="0" applyFont="1" applyBorder="1" applyAlignment="1">
      <alignment vertical="center"/>
    </xf>
    <xf numFmtId="164" fontId="37" fillId="0" borderId="22" xfId="2" applyNumberFormat="1" applyFont="1" applyBorder="1" applyAlignment="1">
      <alignment vertical="center"/>
    </xf>
    <xf numFmtId="0" fontId="51" fillId="0" borderId="22" xfId="0" applyFont="1" applyBorder="1" applyAlignment="1">
      <alignment horizontal="left" vertical="top" wrapText="1"/>
    </xf>
    <xf numFmtId="0" fontId="53" fillId="0" borderId="0" xfId="0" quotePrefix="1" applyFont="1" applyAlignment="1">
      <alignment vertical="center" wrapText="1"/>
    </xf>
    <xf numFmtId="0" fontId="21" fillId="0" borderId="0" xfId="1"/>
    <xf numFmtId="0" fontId="53" fillId="0" borderId="117" xfId="0" applyFont="1" applyBorder="1" applyAlignment="1">
      <alignment vertical="center"/>
    </xf>
    <xf numFmtId="164" fontId="53" fillId="0" borderId="117" xfId="2" applyNumberFormat="1" applyFont="1" applyBorder="1" applyAlignment="1">
      <alignment vertical="center"/>
    </xf>
    <xf numFmtId="164" fontId="53" fillId="0" borderId="117" xfId="0" applyNumberFormat="1" applyFont="1" applyBorder="1" applyAlignment="1">
      <alignment vertical="center"/>
    </xf>
    <xf numFmtId="0" fontId="117" fillId="0" borderId="117" xfId="0" applyFont="1" applyBorder="1" applyAlignment="1">
      <alignment vertical="center"/>
    </xf>
    <xf numFmtId="0" fontId="47" fillId="0" borderId="117" xfId="0" applyFont="1" applyBorder="1" applyAlignment="1">
      <alignment horizontal="center" vertical="center" wrapText="1"/>
    </xf>
    <xf numFmtId="0" fontId="55" fillId="0" borderId="117" xfId="0" applyFont="1" applyBorder="1" applyAlignment="1">
      <alignment horizontal="center" vertical="center" wrapText="1"/>
    </xf>
    <xf numFmtId="0" fontId="47" fillId="0" borderId="117" xfId="0" applyFont="1" applyBorder="1" applyAlignment="1">
      <alignment horizontal="left" vertical="center" wrapText="1"/>
    </xf>
    <xf numFmtId="164" fontId="37" fillId="0" borderId="0" xfId="2" applyNumberFormat="1" applyFont="1" applyBorder="1" applyAlignment="1">
      <alignment vertical="center"/>
    </xf>
    <xf numFmtId="0" fontId="51" fillId="0" borderId="0" xfId="0" applyFont="1" applyAlignment="1">
      <alignment horizontal="left" vertical="top" wrapText="1"/>
    </xf>
    <xf numFmtId="0" fontId="47" fillId="0" borderId="174" xfId="0" applyFont="1" applyBorder="1" applyAlignment="1">
      <alignment vertical="center"/>
    </xf>
    <xf numFmtId="164" fontId="47" fillId="0" borderId="174" xfId="0" applyNumberFormat="1" applyFont="1" applyBorder="1" applyAlignment="1">
      <alignment vertical="center"/>
    </xf>
    <xf numFmtId="0" fontId="53" fillId="0" borderId="117" xfId="0" applyFont="1" applyBorder="1" applyAlignment="1">
      <alignment horizontal="left" vertical="center"/>
    </xf>
    <xf numFmtId="0" fontId="30" fillId="0" borderId="117" xfId="0" applyFont="1" applyBorder="1" applyAlignment="1">
      <alignment horizontal="left" vertical="center"/>
    </xf>
    <xf numFmtId="164" fontId="30" fillId="0" borderId="117" xfId="0" applyNumberFormat="1" applyFont="1" applyBorder="1" applyAlignment="1">
      <alignment horizontal="left" vertical="top" wrapText="1"/>
    </xf>
    <xf numFmtId="164" fontId="47" fillId="0" borderId="0" xfId="0" applyNumberFormat="1" applyFont="1" applyAlignment="1">
      <alignment vertical="center"/>
    </xf>
    <xf numFmtId="0" fontId="47" fillId="0" borderId="7" xfId="0" applyFont="1" applyBorder="1" applyAlignment="1">
      <alignment vertical="center" wrapText="1"/>
    </xf>
    <xf numFmtId="164" fontId="53" fillId="0" borderId="7" xfId="0" applyNumberFormat="1" applyFont="1" applyBorder="1" applyAlignment="1">
      <alignment horizontal="right" vertical="center"/>
    </xf>
    <xf numFmtId="164" fontId="30" fillId="0" borderId="0" xfId="2" applyNumberFormat="1" applyFont="1" applyBorder="1" applyAlignment="1">
      <alignment vertical="center"/>
    </xf>
    <xf numFmtId="0" fontId="21" fillId="0" borderId="0" xfId="1" applyBorder="1" applyAlignment="1">
      <alignment vertical="center"/>
    </xf>
    <xf numFmtId="0" fontId="30" fillId="0" borderId="5" xfId="0" applyFont="1" applyBorder="1" applyAlignment="1">
      <alignment vertical="center"/>
    </xf>
    <xf numFmtId="0" fontId="36" fillId="0" borderId="58" xfId="0" applyFont="1" applyBorder="1" applyAlignment="1">
      <alignment horizontal="center" vertical="center"/>
    </xf>
    <xf numFmtId="0" fontId="36" fillId="66" borderId="7" xfId="0" applyFont="1" applyFill="1" applyBorder="1" applyAlignment="1">
      <alignment vertical="center"/>
    </xf>
    <xf numFmtId="0" fontId="34" fillId="0" borderId="0" xfId="0" applyFont="1" applyAlignment="1">
      <alignment vertical="center"/>
    </xf>
    <xf numFmtId="0" fontId="49" fillId="12" borderId="18" xfId="4" applyFont="1" applyFill="1" applyBorder="1" applyAlignment="1">
      <alignment vertical="center" wrapText="1"/>
    </xf>
    <xf numFmtId="0" fontId="49" fillId="12" borderId="9" xfId="4" applyFont="1" applyFill="1" applyBorder="1" applyAlignment="1">
      <alignment vertical="center" wrapText="1"/>
    </xf>
    <xf numFmtId="0" fontId="52" fillId="0" borderId="0" xfId="0" quotePrefix="1" applyFont="1" applyAlignment="1">
      <alignment vertical="center"/>
    </xf>
    <xf numFmtId="0" fontId="134" fillId="0" borderId="0" xfId="0" applyFont="1" applyAlignment="1">
      <alignment vertical="center"/>
    </xf>
    <xf numFmtId="0" fontId="135" fillId="0" borderId="0" xfId="0" applyFont="1" applyAlignment="1">
      <alignment vertical="center"/>
    </xf>
    <xf numFmtId="1" fontId="36" fillId="0" borderId="0" xfId="2" applyNumberFormat="1" applyFont="1" applyBorder="1" applyAlignment="1">
      <alignment horizontal="center" vertical="center"/>
    </xf>
    <xf numFmtId="0" fontId="36" fillId="0" borderId="58" xfId="0" applyFont="1" applyBorder="1" applyAlignment="1">
      <alignment horizontal="center" vertical="center" wrapText="1"/>
    </xf>
    <xf numFmtId="0" fontId="36" fillId="0" borderId="122"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17" xfId="0" applyFont="1" applyBorder="1" applyAlignment="1">
      <alignment horizontal="center" vertical="center" wrapText="1"/>
    </xf>
    <xf numFmtId="0" fontId="30" fillId="0" borderId="99" xfId="0" applyFont="1" applyBorder="1" applyAlignment="1">
      <alignment vertical="center"/>
    </xf>
    <xf numFmtId="0" fontId="30" fillId="13" borderId="51" xfId="0" applyFont="1" applyFill="1" applyBorder="1" applyAlignment="1">
      <alignment horizontal="center" vertical="center"/>
    </xf>
    <xf numFmtId="0" fontId="36" fillId="0" borderId="99" xfId="0" applyFont="1" applyBorder="1" applyAlignment="1">
      <alignment horizontal="center" vertical="center"/>
    </xf>
    <xf numFmtId="0" fontId="36" fillId="0" borderId="109" xfId="0" applyFont="1" applyBorder="1" applyAlignment="1">
      <alignment horizontal="center" vertical="center"/>
    </xf>
    <xf numFmtId="0" fontId="30" fillId="0" borderId="40" xfId="0" applyFont="1" applyBorder="1" applyAlignment="1">
      <alignment vertical="center"/>
    </xf>
    <xf numFmtId="0" fontId="30" fillId="13" borderId="7" xfId="0" applyFont="1" applyFill="1" applyBorder="1" applyAlignment="1">
      <alignment horizontal="center" vertical="center"/>
    </xf>
    <xf numFmtId="0" fontId="36" fillId="0" borderId="40" xfId="2" applyNumberFormat="1" applyFont="1" applyBorder="1" applyAlignment="1">
      <alignment horizontal="center" vertical="center"/>
    </xf>
    <xf numFmtId="0" fontId="36" fillId="0" borderId="8" xfId="2" applyNumberFormat="1" applyFont="1" applyBorder="1" applyAlignment="1">
      <alignment horizontal="center" vertical="center"/>
    </xf>
    <xf numFmtId="0" fontId="30" fillId="0" borderId="60" xfId="0" applyFont="1" applyBorder="1" applyAlignment="1">
      <alignment vertical="center"/>
    </xf>
    <xf numFmtId="164" fontId="36" fillId="0" borderId="60" xfId="2" applyNumberFormat="1" applyFont="1" applyBorder="1" applyAlignment="1">
      <alignment horizontal="center" vertical="center"/>
    </xf>
    <xf numFmtId="0" fontId="36" fillId="0" borderId="30" xfId="0" applyFont="1" applyBorder="1" applyAlignment="1">
      <alignment vertical="center"/>
    </xf>
    <xf numFmtId="0" fontId="36" fillId="0" borderId="36" xfId="0" applyFont="1" applyBorder="1" applyAlignment="1">
      <alignment vertical="center"/>
    </xf>
    <xf numFmtId="0" fontId="36" fillId="0" borderId="108" xfId="0" applyFont="1" applyBorder="1" applyAlignment="1">
      <alignment horizontal="center" vertical="center"/>
    </xf>
    <xf numFmtId="0" fontId="36" fillId="0" borderId="19" xfId="0" applyFont="1" applyBorder="1" applyAlignment="1">
      <alignment horizontal="center" vertical="center"/>
    </xf>
    <xf numFmtId="164" fontId="36" fillId="0" borderId="36" xfId="2" applyNumberFormat="1" applyFont="1" applyBorder="1" applyAlignment="1">
      <alignment horizontal="center" vertical="center"/>
    </xf>
    <xf numFmtId="164" fontId="36" fillId="0" borderId="39" xfId="2" applyNumberFormat="1" applyFont="1" applyBorder="1" applyAlignment="1">
      <alignment horizontal="center" vertical="center"/>
    </xf>
    <xf numFmtId="0" fontId="36" fillId="0" borderId="42" xfId="0" applyFont="1" applyBorder="1" applyAlignment="1">
      <alignment vertical="center"/>
    </xf>
    <xf numFmtId="1" fontId="36" fillId="0" borderId="53" xfId="0" applyNumberFormat="1" applyFont="1" applyBorder="1" applyAlignment="1">
      <alignment horizontal="center" vertical="center"/>
    </xf>
    <xf numFmtId="1" fontId="36" fillId="0" borderId="10" xfId="0" applyNumberFormat="1" applyFont="1" applyBorder="1" applyAlignment="1">
      <alignment horizontal="center" vertical="center"/>
    </xf>
    <xf numFmtId="164" fontId="36" fillId="0" borderId="42" xfId="2" applyNumberFormat="1" applyFont="1" applyBorder="1" applyAlignment="1">
      <alignment horizontal="center" vertical="center"/>
    </xf>
    <xf numFmtId="164" fontId="36" fillId="0" borderId="45" xfId="2" applyNumberFormat="1" applyFont="1" applyBorder="1" applyAlignment="1">
      <alignment horizontal="center" vertical="center"/>
    </xf>
    <xf numFmtId="164" fontId="36" fillId="0" borderId="0" xfId="2" applyNumberFormat="1" applyFont="1" applyBorder="1" applyAlignment="1">
      <alignment horizontal="center" vertical="center"/>
    </xf>
    <xf numFmtId="0" fontId="36" fillId="0" borderId="1" xfId="0" applyFont="1" applyBorder="1" applyAlignment="1">
      <alignment horizontal="center" vertical="center" wrapText="1"/>
    </xf>
    <xf numFmtId="170" fontId="36" fillId="0" borderId="99" xfId="2" applyNumberFormat="1" applyFont="1" applyBorder="1" applyAlignment="1">
      <alignment horizontal="center" vertical="center"/>
    </xf>
    <xf numFmtId="164" fontId="36" fillId="0" borderId="109" xfId="2" applyNumberFormat="1" applyFont="1" applyBorder="1" applyAlignment="1">
      <alignment vertical="center"/>
    </xf>
    <xf numFmtId="170" fontId="36" fillId="0" borderId="40" xfId="2" applyNumberFormat="1" applyFont="1" applyBorder="1" applyAlignment="1">
      <alignment horizontal="center" vertical="center"/>
    </xf>
    <xf numFmtId="164" fontId="36" fillId="0" borderId="8" xfId="2" applyNumberFormat="1" applyFont="1" applyBorder="1" applyAlignment="1">
      <alignment vertical="center"/>
    </xf>
    <xf numFmtId="164" fontId="36" fillId="0" borderId="40" xfId="2" applyNumberFormat="1" applyFont="1" applyBorder="1" applyAlignment="1">
      <alignment horizontal="center" vertical="center"/>
    </xf>
    <xf numFmtId="164" fontId="36" fillId="0" borderId="8" xfId="2" applyNumberFormat="1" applyFont="1" applyBorder="1" applyAlignment="1">
      <alignment horizontal="center" vertical="center"/>
    </xf>
    <xf numFmtId="170" fontId="36" fillId="0" borderId="36" xfId="2" applyNumberFormat="1" applyFont="1" applyBorder="1" applyAlignment="1">
      <alignment horizontal="center" vertical="center"/>
    </xf>
    <xf numFmtId="0" fontId="36" fillId="0" borderId="39" xfId="0" applyFont="1" applyBorder="1" applyAlignment="1">
      <alignment vertical="center"/>
    </xf>
    <xf numFmtId="170" fontId="36" fillId="0" borderId="42" xfId="2" applyNumberFormat="1" applyFont="1" applyBorder="1" applyAlignment="1">
      <alignment horizontal="center" vertical="center"/>
    </xf>
    <xf numFmtId="170" fontId="36" fillId="0" borderId="0" xfId="2" applyNumberFormat="1" applyFont="1" applyBorder="1" applyAlignment="1">
      <alignment horizontal="center" vertical="center"/>
    </xf>
    <xf numFmtId="0" fontId="36" fillId="0" borderId="15" xfId="0" applyFont="1" applyBorder="1" applyAlignment="1">
      <alignment horizontal="center" vertical="center" wrapText="1"/>
    </xf>
    <xf numFmtId="0" fontId="30" fillId="0" borderId="114" xfId="0" applyFont="1" applyBorder="1" applyAlignment="1">
      <alignment vertical="center"/>
    </xf>
    <xf numFmtId="164" fontId="30" fillId="0" borderId="114" xfId="2" applyNumberFormat="1" applyFont="1" applyBorder="1" applyAlignment="1">
      <alignment horizontal="center" vertical="center"/>
    </xf>
    <xf numFmtId="164" fontId="30" fillId="0" borderId="99" xfId="2" applyNumberFormat="1" applyFont="1" applyBorder="1" applyAlignment="1">
      <alignment horizontal="center" vertical="center"/>
    </xf>
    <xf numFmtId="0" fontId="30" fillId="0" borderId="6" xfId="0" applyFont="1" applyBorder="1" applyAlignment="1">
      <alignment vertical="center"/>
    </xf>
    <xf numFmtId="164" fontId="30" fillId="0" borderId="6" xfId="2" applyNumberFormat="1" applyFont="1" applyBorder="1" applyAlignment="1">
      <alignment horizontal="center" vertical="center"/>
    </xf>
    <xf numFmtId="164" fontId="30" fillId="0" borderId="40" xfId="2" applyNumberFormat="1" applyFont="1" applyBorder="1" applyAlignment="1">
      <alignment horizontal="center" vertical="center"/>
    </xf>
    <xf numFmtId="0" fontId="36" fillId="0" borderId="15" xfId="0" applyFont="1" applyBorder="1" applyAlignment="1">
      <alignment vertical="center"/>
    </xf>
    <xf numFmtId="164" fontId="36" fillId="0" borderId="15" xfId="2" applyNumberFormat="1" applyFont="1" applyBorder="1" applyAlignment="1">
      <alignment horizontal="center" vertical="center"/>
    </xf>
    <xf numFmtId="164" fontId="36" fillId="0" borderId="58" xfId="2" applyNumberFormat="1" applyFont="1" applyBorder="1" applyAlignment="1">
      <alignment horizontal="center" vertical="center"/>
    </xf>
    <xf numFmtId="170" fontId="36" fillId="0" borderId="0" xfId="2" applyNumberFormat="1" applyFont="1" applyBorder="1" applyAlignment="1">
      <alignment horizontal="center" vertical="center" wrapText="1"/>
    </xf>
    <xf numFmtId="1" fontId="30" fillId="0" borderId="111" xfId="0" quotePrefix="1" applyNumberFormat="1" applyFont="1" applyBorder="1" applyAlignment="1">
      <alignment vertical="top" wrapText="1"/>
    </xf>
    <xf numFmtId="0" fontId="36" fillId="0" borderId="122" xfId="0" applyFont="1" applyBorder="1" applyAlignment="1">
      <alignment horizontal="center" vertical="center"/>
    </xf>
    <xf numFmtId="164" fontId="36" fillId="0" borderId="2" xfId="2" applyNumberFormat="1" applyFont="1" applyBorder="1" applyAlignment="1">
      <alignment vertical="center"/>
    </xf>
    <xf numFmtId="0" fontId="36" fillId="0" borderId="3" xfId="0" applyFont="1" applyBorder="1" applyAlignment="1">
      <alignment vertical="center"/>
    </xf>
    <xf numFmtId="1" fontId="30" fillId="0" borderId="0" xfId="0" quotePrefix="1" applyNumberFormat="1" applyFont="1" applyAlignment="1">
      <alignment vertical="top" wrapText="1"/>
    </xf>
    <xf numFmtId="1" fontId="37" fillId="0" borderId="25" xfId="0" applyNumberFormat="1" applyFont="1" applyBorder="1" applyAlignment="1">
      <alignment vertical="center"/>
    </xf>
    <xf numFmtId="1" fontId="37" fillId="0" borderId="111" xfId="0" quotePrefix="1" applyNumberFormat="1" applyFont="1" applyBorder="1" applyAlignment="1">
      <alignment vertical="top" wrapText="1"/>
    </xf>
    <xf numFmtId="1" fontId="51" fillId="0" borderId="3" xfId="0" quotePrefix="1" applyNumberFormat="1" applyFont="1" applyBorder="1" applyAlignment="1">
      <alignment vertical="top" wrapText="1"/>
    </xf>
    <xf numFmtId="0" fontId="36" fillId="0" borderId="2" xfId="0" applyFont="1" applyBorder="1" applyAlignment="1">
      <alignment horizontal="center" vertical="center"/>
    </xf>
    <xf numFmtId="164" fontId="36" fillId="0" borderId="5" xfId="2" applyNumberFormat="1" applyFont="1" applyBorder="1" applyAlignment="1">
      <alignment vertical="center"/>
    </xf>
    <xf numFmtId="1" fontId="30" fillId="0" borderId="23" xfId="0" applyNumberFormat="1" applyFont="1" applyBorder="1" applyAlignment="1">
      <alignment vertical="center"/>
    </xf>
    <xf numFmtId="0" fontId="36" fillId="0" borderId="3" xfId="0" applyFont="1" applyBorder="1" applyAlignment="1">
      <alignment horizontal="center" vertical="center"/>
    </xf>
    <xf numFmtId="164" fontId="36" fillId="0" borderId="0" xfId="2" applyNumberFormat="1" applyFont="1" applyBorder="1" applyAlignment="1">
      <alignment vertical="center"/>
    </xf>
    <xf numFmtId="0" fontId="30" fillId="0" borderId="22" xfId="0" applyFont="1" applyBorder="1" applyAlignment="1">
      <alignment vertical="center" wrapText="1"/>
    </xf>
    <xf numFmtId="1" fontId="51" fillId="0" borderId="0" xfId="0" quotePrefix="1" applyNumberFormat="1" applyFont="1" applyAlignment="1">
      <alignment vertical="top" wrapText="1"/>
    </xf>
    <xf numFmtId="0" fontId="36" fillId="0" borderId="16" xfId="0" applyFont="1" applyBorder="1" applyAlignment="1">
      <alignment horizontal="center" vertical="center" wrapText="1"/>
    </xf>
    <xf numFmtId="0" fontId="30" fillId="0" borderId="103" xfId="0" applyFont="1" applyBorder="1" applyAlignment="1">
      <alignment horizontal="center" vertical="center"/>
    </xf>
    <xf numFmtId="0" fontId="30" fillId="0" borderId="100" xfId="0" applyFont="1" applyBorder="1" applyAlignment="1">
      <alignment vertical="center"/>
    </xf>
    <xf numFmtId="164" fontId="36" fillId="0" borderId="37" xfId="2" applyNumberFormat="1" applyFont="1" applyBorder="1" applyAlignment="1">
      <alignment horizontal="center" vertical="center"/>
    </xf>
    <xf numFmtId="164" fontId="36" fillId="0" borderId="43" xfId="2" applyNumberFormat="1" applyFont="1" applyBorder="1" applyAlignment="1">
      <alignment horizontal="center" vertical="center"/>
    </xf>
    <xf numFmtId="164" fontId="36" fillId="0" borderId="114" xfId="2" applyNumberFormat="1" applyFont="1" applyBorder="1" applyAlignment="1">
      <alignment horizontal="center" vertical="center"/>
    </xf>
    <xf numFmtId="164" fontId="36" fillId="0" borderId="6" xfId="2" applyNumberFormat="1" applyFont="1" applyBorder="1" applyAlignment="1">
      <alignment horizontal="center" vertical="center"/>
    </xf>
    <xf numFmtId="164" fontId="36" fillId="0" borderId="99" xfId="2" applyNumberFormat="1" applyFont="1" applyBorder="1" applyAlignment="1">
      <alignment vertical="center"/>
    </xf>
    <xf numFmtId="164" fontId="36" fillId="0" borderId="40" xfId="2" applyNumberFormat="1" applyFont="1" applyBorder="1" applyAlignment="1">
      <alignment vertical="center"/>
    </xf>
    <xf numFmtId="0" fontId="36" fillId="0" borderId="60" xfId="0" applyFont="1" applyBorder="1" applyAlignment="1">
      <alignment vertical="center"/>
    </xf>
    <xf numFmtId="164" fontId="30" fillId="0" borderId="25" xfId="2" applyNumberFormat="1" applyFont="1" applyBorder="1" applyAlignment="1">
      <alignment vertical="center"/>
    </xf>
    <xf numFmtId="164" fontId="36" fillId="0" borderId="11" xfId="2" applyNumberFormat="1" applyFont="1" applyBorder="1" applyAlignment="1">
      <alignment vertical="center"/>
    </xf>
    <xf numFmtId="0" fontId="37" fillId="0" borderId="0" xfId="0" quotePrefix="1" applyFont="1" applyAlignment="1">
      <alignment vertical="center" wrapText="1"/>
    </xf>
    <xf numFmtId="0" fontId="37" fillId="0" borderId="7" xfId="0" applyFont="1" applyBorder="1" applyAlignment="1">
      <alignment horizontal="left" vertical="top" wrapText="1"/>
    </xf>
    <xf numFmtId="0" fontId="52" fillId="52" borderId="4" xfId="8" applyFont="1" applyFill="1" applyBorder="1" applyAlignment="1">
      <alignment horizontal="center" vertical="center" wrapText="1"/>
    </xf>
    <xf numFmtId="0" fontId="136" fillId="0" borderId="0" xfId="0" applyFont="1" applyAlignment="1">
      <alignment vertical="center"/>
    </xf>
    <xf numFmtId="1" fontId="30" fillId="0" borderId="14" xfId="0" applyNumberFormat="1" applyFont="1" applyBorder="1" applyAlignment="1">
      <alignment vertical="center"/>
    </xf>
    <xf numFmtId="165" fontId="36" fillId="0" borderId="7" xfId="0" applyNumberFormat="1" applyFont="1" applyBorder="1" applyAlignment="1">
      <alignment horizontal="center" vertical="center" wrapText="1"/>
    </xf>
    <xf numFmtId="165" fontId="36" fillId="0" borderId="22" xfId="0" applyNumberFormat="1" applyFont="1" applyBorder="1" applyAlignment="1">
      <alignment horizontal="right" vertical="center"/>
    </xf>
    <xf numFmtId="0" fontId="36" fillId="0" borderId="0" xfId="0" quotePrefix="1" applyFont="1" applyAlignment="1">
      <alignment horizontal="left" vertical="center"/>
    </xf>
    <xf numFmtId="0" fontId="30" fillId="0" borderId="22" xfId="0" applyFont="1" applyBorder="1" applyAlignment="1">
      <alignment horizontal="left" vertical="center"/>
    </xf>
    <xf numFmtId="2" fontId="53" fillId="0" borderId="7" xfId="0" applyNumberFormat="1" applyFont="1" applyBorder="1"/>
    <xf numFmtId="10" fontId="110" fillId="0" borderId="7" xfId="0" applyNumberFormat="1" applyFont="1" applyBorder="1"/>
    <xf numFmtId="171" fontId="53" fillId="0" borderId="7" xfId="0" applyNumberFormat="1" applyFont="1" applyBorder="1"/>
    <xf numFmtId="9" fontId="110" fillId="0" borderId="7" xfId="0" applyNumberFormat="1" applyFont="1" applyBorder="1"/>
    <xf numFmtId="171" fontId="47" fillId="0" borderId="7" xfId="0" applyNumberFormat="1" applyFont="1" applyBorder="1"/>
    <xf numFmtId="0" fontId="55" fillId="0" borderId="7" xfId="0" applyFont="1" applyBorder="1"/>
    <xf numFmtId="170" fontId="62" fillId="0" borderId="0" xfId="2" applyNumberFormat="1" applyFont="1" applyFill="1" applyBorder="1" applyAlignment="1">
      <alignment horizontal="center"/>
    </xf>
    <xf numFmtId="0" fontId="32" fillId="80" borderId="7" xfId="0" applyFont="1" applyFill="1" applyBorder="1" applyAlignment="1">
      <alignment horizontal="center" vertical="center" wrapText="1"/>
    </xf>
    <xf numFmtId="0" fontId="138" fillId="0" borderId="0" xfId="0" applyFont="1" applyAlignment="1">
      <alignment horizontal="left" wrapText="1"/>
    </xf>
    <xf numFmtId="170" fontId="30" fillId="0" borderId="0" xfId="2" applyNumberFormat="1" applyFont="1" applyFill="1" applyBorder="1"/>
    <xf numFmtId="0" fontId="59" fillId="0" borderId="0" xfId="0" applyFont="1" applyAlignment="1">
      <alignment horizontal="center" vertical="center" wrapText="1"/>
    </xf>
    <xf numFmtId="0" fontId="139" fillId="0" borderId="0" xfId="0" applyFont="1" applyAlignment="1">
      <alignment horizontal="center" vertical="center" wrapText="1"/>
    </xf>
    <xf numFmtId="170" fontId="62" fillId="0" borderId="7" xfId="2" applyNumberFormat="1" applyFont="1" applyFill="1" applyBorder="1" applyAlignment="1">
      <alignment horizontal="center"/>
    </xf>
    <xf numFmtId="1" fontId="62" fillId="0" borderId="0" xfId="0" applyNumberFormat="1" applyFont="1" applyAlignment="1">
      <alignment horizontal="center" vertical="center"/>
    </xf>
    <xf numFmtId="0" fontId="59" fillId="0" borderId="0" xfId="10" applyFont="1" applyAlignment="1">
      <alignment horizontal="center" vertical="center" wrapText="1"/>
    </xf>
    <xf numFmtId="2" fontId="53" fillId="0" borderId="0" xfId="0" applyNumberFormat="1" applyFont="1" applyAlignment="1">
      <alignment horizontal="center" vertical="center" wrapText="1"/>
    </xf>
    <xf numFmtId="1" fontId="53" fillId="0" borderId="0" xfId="0" applyNumberFormat="1" applyFont="1" applyAlignment="1">
      <alignment horizontal="center" vertical="center" wrapText="1"/>
    </xf>
    <xf numFmtId="0" fontId="53" fillId="0" borderId="0" xfId="0" applyFont="1" applyAlignment="1">
      <alignment horizontal="left" vertical="center"/>
    </xf>
    <xf numFmtId="164" fontId="55" fillId="0" borderId="7" xfId="2" applyNumberFormat="1" applyFont="1" applyBorder="1" applyAlignment="1">
      <alignment vertical="center"/>
    </xf>
    <xf numFmtId="0" fontId="30" fillId="0" borderId="102" xfId="0" applyFont="1" applyBorder="1" applyAlignment="1">
      <alignment vertical="center" wrapText="1"/>
    </xf>
    <xf numFmtId="0" fontId="37" fillId="0" borderId="106" xfId="0" applyFont="1" applyBorder="1" applyAlignment="1">
      <alignment vertical="center"/>
    </xf>
    <xf numFmtId="0" fontId="36" fillId="0" borderId="14" xfId="0" applyFont="1" applyBorder="1" applyAlignment="1">
      <alignment vertical="center"/>
    </xf>
    <xf numFmtId="2" fontId="36" fillId="0" borderId="14" xfId="0" applyNumberFormat="1" applyFont="1" applyBorder="1" applyAlignment="1">
      <alignment vertical="center"/>
    </xf>
    <xf numFmtId="0" fontId="30" fillId="0" borderId="107" xfId="0" applyFont="1" applyBorder="1" applyAlignment="1">
      <alignment vertical="center" wrapText="1"/>
    </xf>
    <xf numFmtId="9" fontId="30" fillId="0" borderId="0" xfId="12" applyFont="1" applyBorder="1" applyAlignment="1">
      <alignment vertical="center" wrapText="1"/>
    </xf>
    <xf numFmtId="2" fontId="53" fillId="0" borderId="0" xfId="0" applyNumberFormat="1" applyFont="1"/>
    <xf numFmtId="182" fontId="30" fillId="0" borderId="22" xfId="0" applyNumberFormat="1" applyFont="1" applyBorder="1" applyAlignment="1">
      <alignment horizontal="center" vertical="center"/>
    </xf>
    <xf numFmtId="175" fontId="30" fillId="0" borderId="22" xfId="0" applyNumberFormat="1" applyFont="1" applyBorder="1" applyAlignment="1">
      <alignment horizontal="center" vertical="center"/>
    </xf>
    <xf numFmtId="171" fontId="47" fillId="0" borderId="0" xfId="0" applyNumberFormat="1" applyFont="1"/>
    <xf numFmtId="9" fontId="0" fillId="0" borderId="0" xfId="12" applyFont="1" applyBorder="1"/>
    <xf numFmtId="9" fontId="62" fillId="0" borderId="7" xfId="12" applyFont="1" applyFill="1" applyBorder="1" applyAlignment="1">
      <alignment horizontal="center" vertical="center"/>
    </xf>
    <xf numFmtId="0" fontId="62" fillId="0" borderId="7" xfId="0" applyFont="1" applyBorder="1" applyAlignment="1">
      <alignment horizontal="left" vertical="center" wrapText="1"/>
    </xf>
    <xf numFmtId="0" fontId="62" fillId="0" borderId="0" xfId="2" applyNumberFormat="1" applyFont="1" applyFill="1" applyBorder="1" applyAlignment="1">
      <alignment horizontal="left"/>
    </xf>
    <xf numFmtId="0" fontId="62" fillId="0" borderId="0" xfId="2" applyNumberFormat="1" applyFont="1" applyFill="1" applyBorder="1" applyAlignment="1">
      <alignment horizontal="left" vertical="center"/>
    </xf>
    <xf numFmtId="0" fontId="49" fillId="0" borderId="7" xfId="0" applyFont="1" applyBorder="1" applyAlignment="1">
      <alignment horizontal="center" vertical="center" wrapText="1"/>
    </xf>
    <xf numFmtId="3" fontId="30" fillId="0" borderId="7" xfId="2" applyNumberFormat="1" applyFont="1" applyFill="1" applyBorder="1" applyAlignment="1">
      <alignment vertical="center" wrapText="1"/>
    </xf>
    <xf numFmtId="0" fontId="49" fillId="0" borderId="0" xfId="0" applyFont="1" applyAlignment="1">
      <alignment vertical="center" wrapText="1"/>
    </xf>
    <xf numFmtId="0" fontId="49" fillId="19" borderId="59" xfId="5" applyFont="1" applyFill="1" applyBorder="1" applyAlignment="1">
      <alignment vertical="center" wrapText="1"/>
    </xf>
    <xf numFmtId="164" fontId="85" fillId="0" borderId="40" xfId="2" applyNumberFormat="1" applyFont="1" applyBorder="1" applyAlignment="1">
      <alignment horizontal="right" vertical="center"/>
    </xf>
    <xf numFmtId="0" fontId="103" fillId="51" borderId="58" xfId="5" applyFont="1" applyFill="1" applyBorder="1" applyAlignment="1">
      <alignment vertical="center" wrapText="1"/>
    </xf>
    <xf numFmtId="164" fontId="103" fillId="51" borderId="58" xfId="2" applyNumberFormat="1" applyFont="1" applyFill="1" applyBorder="1" applyAlignment="1">
      <alignment vertical="center"/>
    </xf>
    <xf numFmtId="164" fontId="30" fillId="0" borderId="59" xfId="2" applyNumberFormat="1" applyFont="1" applyFill="1" applyBorder="1" applyAlignment="1">
      <alignment vertical="center"/>
    </xf>
    <xf numFmtId="0" fontId="49" fillId="0" borderId="0" xfId="0" applyFont="1" applyAlignment="1">
      <alignment vertical="center"/>
    </xf>
    <xf numFmtId="0" fontId="62" fillId="0" borderId="7" xfId="0" applyFont="1" applyBorder="1"/>
    <xf numFmtId="3" fontId="62" fillId="0" borderId="7" xfId="2" applyNumberFormat="1" applyFont="1" applyFill="1" applyBorder="1" applyAlignment="1">
      <alignment vertical="center" wrapText="1"/>
    </xf>
    <xf numFmtId="0" fontId="30" fillId="0" borderId="0" xfId="2" applyNumberFormat="1" applyFont="1" applyFill="1" applyBorder="1" applyAlignment="1">
      <alignment horizontal="left" vertical="center"/>
    </xf>
    <xf numFmtId="0" fontId="30" fillId="0" borderId="4" xfId="5" applyFont="1" applyBorder="1" applyAlignment="1">
      <alignment vertical="center" wrapText="1"/>
    </xf>
    <xf numFmtId="0" fontId="85" fillId="0" borderId="37" xfId="5" applyFont="1" applyBorder="1" applyAlignment="1">
      <alignment horizontal="left" vertical="center" wrapText="1"/>
    </xf>
    <xf numFmtId="0" fontId="68" fillId="0" borderId="0" xfId="0" applyFont="1" applyAlignment="1">
      <alignment horizontal="left" vertical="center" wrapText="1"/>
    </xf>
    <xf numFmtId="170" fontId="62" fillId="0" borderId="7" xfId="2" applyNumberFormat="1" applyFont="1" applyFill="1" applyBorder="1" applyAlignment="1">
      <alignment horizontal="center" vertical="center"/>
    </xf>
    <xf numFmtId="0" fontId="62" fillId="0" borderId="7" xfId="0" applyFont="1" applyBorder="1" applyAlignment="1">
      <alignment vertical="center"/>
    </xf>
    <xf numFmtId="0" fontId="30" fillId="0" borderId="43" xfId="5" applyFont="1" applyBorder="1" applyAlignment="1">
      <alignment horizontal="left" vertical="center" wrapText="1"/>
    </xf>
    <xf numFmtId="164" fontId="30" fillId="0" borderId="29" xfId="2" applyNumberFormat="1" applyFont="1" applyFill="1" applyBorder="1" applyAlignment="1">
      <alignment vertical="center"/>
    </xf>
    <xf numFmtId="9" fontId="37" fillId="0" borderId="45" xfId="12" applyFont="1" applyFill="1" applyBorder="1" applyAlignment="1">
      <alignment horizontal="right" vertical="center"/>
    </xf>
    <xf numFmtId="164" fontId="30" fillId="0" borderId="8" xfId="2" applyNumberFormat="1" applyFont="1" applyFill="1" applyBorder="1" applyAlignment="1">
      <alignment horizontal="right" vertical="center"/>
    </xf>
    <xf numFmtId="0" fontId="85" fillId="0" borderId="100" xfId="5" applyFont="1" applyBorder="1" applyAlignment="1">
      <alignment horizontal="left" vertical="center" wrapText="1"/>
    </xf>
    <xf numFmtId="164" fontId="85" fillId="0" borderId="104" xfId="2" applyNumberFormat="1" applyFont="1" applyBorder="1" applyAlignment="1">
      <alignment horizontal="right" vertical="center"/>
    </xf>
    <xf numFmtId="164" fontId="30" fillId="0" borderId="101" xfId="2" applyNumberFormat="1" applyFont="1" applyFill="1" applyBorder="1" applyAlignment="1">
      <alignment horizontal="right" vertical="center"/>
    </xf>
    <xf numFmtId="164" fontId="57" fillId="0" borderId="7" xfId="5" applyNumberFormat="1" applyFont="1" applyBorder="1" applyAlignment="1">
      <alignment vertical="center"/>
    </xf>
    <xf numFmtId="0" fontId="57" fillId="0" borderId="0" xfId="0" applyFont="1" applyAlignment="1">
      <alignment horizontal="left" vertical="center"/>
    </xf>
    <xf numFmtId="0" fontId="32" fillId="38" borderId="58" xfId="0" applyFont="1" applyFill="1" applyBorder="1" applyAlignment="1">
      <alignment horizontal="center" vertical="center" wrapText="1"/>
    </xf>
    <xf numFmtId="0" fontId="49" fillId="0" borderId="40" xfId="0" applyFont="1" applyBorder="1" applyAlignment="1">
      <alignment vertical="center" wrapText="1"/>
    </xf>
    <xf numFmtId="0" fontId="49" fillId="0" borderId="42" xfId="0" applyFont="1" applyBorder="1" applyAlignment="1">
      <alignment vertical="center" wrapText="1"/>
    </xf>
    <xf numFmtId="0" fontId="32" fillId="38" borderId="15" xfId="0" applyFont="1" applyFill="1" applyBorder="1" applyAlignment="1">
      <alignment horizontal="center" vertical="center"/>
    </xf>
    <xf numFmtId="0" fontId="53" fillId="0" borderId="114" xfId="0" applyFont="1" applyBorder="1"/>
    <xf numFmtId="0" fontId="53" fillId="0" borderId="6" xfId="0" applyFont="1" applyBorder="1"/>
    <xf numFmtId="0" fontId="32" fillId="38" borderId="17" xfId="0" applyFont="1" applyFill="1" applyBorder="1" applyAlignment="1">
      <alignment horizontal="center" vertical="center"/>
    </xf>
    <xf numFmtId="9" fontId="0" fillId="0" borderId="109" xfId="12" applyFont="1" applyBorder="1"/>
    <xf numFmtId="9" fontId="0" fillId="0" borderId="8" xfId="12" applyFont="1" applyBorder="1"/>
    <xf numFmtId="171" fontId="53" fillId="0" borderId="99" xfId="0" applyNumberFormat="1" applyFont="1" applyBorder="1"/>
    <xf numFmtId="171" fontId="53" fillId="0" borderId="40" xfId="0" applyNumberFormat="1" applyFont="1" applyBorder="1"/>
    <xf numFmtId="0" fontId="36" fillId="82" borderId="7" xfId="0" applyFont="1" applyFill="1" applyBorder="1" applyAlignment="1">
      <alignment horizontal="center" vertical="center"/>
    </xf>
    <xf numFmtId="165" fontId="36" fillId="82" borderId="7" xfId="0" applyNumberFormat="1" applyFont="1" applyFill="1" applyBorder="1" applyAlignment="1">
      <alignment horizontal="center" vertical="center" wrapText="1"/>
    </xf>
    <xf numFmtId="0" fontId="51" fillId="82" borderId="7" xfId="0" applyFont="1" applyFill="1" applyBorder="1" applyAlignment="1">
      <alignment horizontal="center" vertical="center"/>
    </xf>
    <xf numFmtId="0" fontId="53" fillId="0" borderId="100" xfId="0" applyFont="1" applyBorder="1"/>
    <xf numFmtId="171" fontId="53" fillId="0" borderId="104" xfId="0" applyNumberFormat="1" applyFont="1" applyBorder="1"/>
    <xf numFmtId="9" fontId="0" fillId="0" borderId="101" xfId="12" applyFont="1" applyBorder="1"/>
    <xf numFmtId="0" fontId="47" fillId="0" borderId="15" xfId="0" applyFont="1" applyBorder="1"/>
    <xf numFmtId="171" fontId="47" fillId="0" borderId="58" xfId="0" applyNumberFormat="1" applyFont="1" applyBorder="1"/>
    <xf numFmtId="164" fontId="30" fillId="0" borderId="8" xfId="2" applyNumberFormat="1" applyFont="1" applyFill="1" applyBorder="1" applyAlignment="1">
      <alignment vertical="center"/>
    </xf>
    <xf numFmtId="164" fontId="30" fillId="0" borderId="45" xfId="2" applyNumberFormat="1" applyFont="1" applyFill="1" applyBorder="1" applyAlignment="1">
      <alignment vertical="center"/>
    </xf>
    <xf numFmtId="0" fontId="49" fillId="0" borderId="6" xfId="0" applyFont="1" applyBorder="1" applyAlignment="1">
      <alignment vertical="center" wrapText="1"/>
    </xf>
    <xf numFmtId="0" fontId="49" fillId="0" borderId="114" xfId="0" applyFont="1" applyBorder="1" applyAlignment="1">
      <alignment vertical="center" wrapText="1"/>
    </xf>
    <xf numFmtId="1" fontId="30" fillId="0" borderId="40" xfId="0" applyNumberFormat="1" applyFont="1" applyBorder="1" applyAlignment="1">
      <alignment horizontal="right" vertical="center" wrapText="1"/>
    </xf>
    <xf numFmtId="0" fontId="100" fillId="80" borderId="58" xfId="0" applyFont="1" applyFill="1" applyBorder="1" applyAlignment="1">
      <alignment horizontal="center" vertical="center" wrapText="1"/>
    </xf>
    <xf numFmtId="0" fontId="100" fillId="80" borderId="36" xfId="0" applyFont="1" applyFill="1" applyBorder="1" applyAlignment="1">
      <alignment horizontal="center" vertical="center" wrapText="1"/>
    </xf>
    <xf numFmtId="0" fontId="57" fillId="0" borderId="18" xfId="5" applyFont="1" applyBorder="1" applyAlignment="1">
      <alignment vertical="center"/>
    </xf>
    <xf numFmtId="164" fontId="57" fillId="0" borderId="19" xfId="5" applyNumberFormat="1" applyFont="1" applyBorder="1" applyAlignment="1">
      <alignment vertical="center"/>
    </xf>
    <xf numFmtId="164" fontId="30" fillId="0" borderId="19" xfId="0" applyNumberFormat="1" applyFont="1" applyBorder="1" applyAlignment="1">
      <alignment vertical="center"/>
    </xf>
    <xf numFmtId="0" fontId="57" fillId="0" borderId="24" xfId="5" applyFont="1" applyBorder="1" applyAlignment="1">
      <alignment vertical="center"/>
    </xf>
    <xf numFmtId="0" fontId="100" fillId="38" borderId="1" xfId="5" applyFont="1" applyFill="1" applyBorder="1" applyAlignment="1">
      <alignment horizontal="center" vertical="center"/>
    </xf>
    <xf numFmtId="0" fontId="100" fillId="38" borderId="2" xfId="5" applyFont="1" applyFill="1" applyBorder="1" applyAlignment="1">
      <alignment horizontal="center" vertical="center"/>
    </xf>
    <xf numFmtId="0" fontId="100" fillId="38" borderId="3" xfId="5" applyFont="1" applyFill="1" applyBorder="1" applyAlignment="1">
      <alignment horizontal="center" vertical="center"/>
    </xf>
    <xf numFmtId="0" fontId="57" fillId="0" borderId="110" xfId="5" applyFont="1" applyBorder="1" applyAlignment="1">
      <alignment vertical="center"/>
    </xf>
    <xf numFmtId="164" fontId="57" fillId="0" borderId="47" xfId="5" applyNumberFormat="1" applyFont="1" applyBorder="1" applyAlignment="1">
      <alignment vertical="center"/>
    </xf>
    <xf numFmtId="164" fontId="30" fillId="0" borderId="47" xfId="0" applyNumberFormat="1" applyFont="1" applyBorder="1" applyAlignment="1">
      <alignment vertical="center"/>
    </xf>
    <xf numFmtId="9" fontId="30" fillId="0" borderId="111" xfId="12" applyFont="1" applyBorder="1" applyAlignment="1">
      <alignment vertical="center"/>
    </xf>
    <xf numFmtId="0" fontId="66" fillId="0" borderId="1" xfId="5" applyFont="1" applyBorder="1" applyAlignment="1">
      <alignment vertical="center"/>
    </xf>
    <xf numFmtId="164" fontId="36" fillId="0" borderId="2" xfId="0" applyNumberFormat="1" applyFont="1" applyBorder="1" applyAlignment="1">
      <alignment vertical="center"/>
    </xf>
    <xf numFmtId="9" fontId="36" fillId="0" borderId="3" xfId="12" applyFont="1" applyBorder="1" applyAlignment="1">
      <alignment vertical="center"/>
    </xf>
    <xf numFmtId="0" fontId="68" fillId="0" borderId="0" xfId="0" applyFont="1" applyAlignment="1">
      <alignment horizontal="left" vertical="center"/>
    </xf>
    <xf numFmtId="9" fontId="53" fillId="0" borderId="0" xfId="12" applyFont="1"/>
    <xf numFmtId="173" fontId="53" fillId="0" borderId="0" xfId="0" applyNumberFormat="1" applyFont="1" applyAlignment="1">
      <alignment vertical="center"/>
    </xf>
    <xf numFmtId="0" fontId="37" fillId="0" borderId="7" xfId="0" applyFont="1" applyBorder="1" applyAlignment="1">
      <alignment horizontal="center" vertical="center" wrapText="1"/>
    </xf>
    <xf numFmtId="0" fontId="16" fillId="0" borderId="0" xfId="0" applyFont="1" applyAlignment="1">
      <alignment vertical="center"/>
    </xf>
    <xf numFmtId="43" fontId="36" fillId="0" borderId="0" xfId="0" applyNumberFormat="1" applyFont="1" applyAlignment="1">
      <alignment horizontal="right" vertical="center"/>
    </xf>
    <xf numFmtId="1" fontId="62" fillId="0" borderId="7" xfId="0" applyNumberFormat="1" applyFont="1" applyBorder="1" applyAlignment="1">
      <alignment horizontal="center" vertical="center" wrapText="1"/>
    </xf>
    <xf numFmtId="0" fontId="32" fillId="38" borderId="59" xfId="0" applyFont="1" applyFill="1" applyBorder="1" applyAlignment="1">
      <alignment horizontal="center" vertical="center" wrapText="1"/>
    </xf>
    <xf numFmtId="0" fontId="32" fillId="38" borderId="29" xfId="0" applyFont="1" applyFill="1" applyBorder="1" applyAlignment="1">
      <alignment horizontal="center" vertical="center" wrapText="1"/>
    </xf>
    <xf numFmtId="0" fontId="49" fillId="0" borderId="36" xfId="0" applyFont="1" applyBorder="1" applyAlignment="1">
      <alignment vertical="center" wrapText="1"/>
    </xf>
    <xf numFmtId="170" fontId="30" fillId="0" borderId="40" xfId="0" applyNumberFormat="1" applyFont="1" applyBorder="1" applyAlignment="1">
      <alignment horizontal="right" vertical="center" wrapText="1"/>
    </xf>
    <xf numFmtId="1" fontId="30" fillId="0" borderId="42" xfId="0" applyNumberFormat="1" applyFont="1" applyBorder="1" applyAlignment="1">
      <alignment vertical="center"/>
    </xf>
    <xf numFmtId="1" fontId="49" fillId="0" borderId="43" xfId="0" applyNumberFormat="1" applyFont="1" applyBorder="1" applyAlignment="1">
      <alignment vertical="center" wrapText="1"/>
    </xf>
    <xf numFmtId="0" fontId="103" fillId="80" borderId="58" xfId="0" applyFont="1" applyFill="1" applyBorder="1" applyAlignment="1">
      <alignment horizontal="center" vertical="center" wrapText="1"/>
    </xf>
    <xf numFmtId="2" fontId="94" fillId="38" borderId="59" xfId="0" applyNumberFormat="1" applyFont="1" applyFill="1" applyBorder="1" applyAlignment="1">
      <alignment horizontal="center" vertical="center" wrapText="1"/>
    </xf>
    <xf numFmtId="1" fontId="30" fillId="0" borderId="14" xfId="0" applyNumberFormat="1" applyFont="1" applyBorder="1" applyAlignment="1">
      <alignment horizontal="right" vertical="center" wrapText="1"/>
    </xf>
    <xf numFmtId="1" fontId="30" fillId="0" borderId="41" xfId="0" applyNumberFormat="1" applyFont="1" applyBorder="1" applyAlignment="1">
      <alignment horizontal="right" vertical="center" wrapText="1"/>
    </xf>
    <xf numFmtId="1" fontId="30" fillId="0" borderId="44" xfId="0" applyNumberFormat="1" applyFont="1" applyBorder="1" applyAlignment="1">
      <alignment vertical="center"/>
    </xf>
    <xf numFmtId="9" fontId="57" fillId="0" borderId="36" xfId="12" applyFont="1" applyBorder="1" applyAlignment="1">
      <alignment vertical="center"/>
    </xf>
    <xf numFmtId="9" fontId="57" fillId="0" borderId="40" xfId="12" applyFont="1" applyBorder="1" applyAlignment="1">
      <alignment vertical="center"/>
    </xf>
    <xf numFmtId="9" fontId="57" fillId="0" borderId="42" xfId="12" applyFont="1" applyBorder="1" applyAlignment="1">
      <alignment vertical="center"/>
    </xf>
    <xf numFmtId="0" fontId="30" fillId="0" borderId="24" xfId="0" quotePrefix="1" applyFont="1" applyBorder="1" applyAlignment="1">
      <alignment vertical="center" wrapText="1"/>
    </xf>
    <xf numFmtId="0" fontId="30" fillId="0" borderId="24" xfId="0" quotePrefix="1" applyFont="1" applyBorder="1" applyAlignment="1">
      <alignment vertical="center"/>
    </xf>
    <xf numFmtId="0" fontId="30" fillId="0" borderId="21" xfId="0" quotePrefix="1" applyFont="1" applyBorder="1" applyAlignment="1">
      <alignment vertical="center"/>
    </xf>
    <xf numFmtId="164" fontId="30" fillId="0" borderId="22" xfId="0" applyNumberFormat="1" applyFont="1" applyBorder="1" applyAlignment="1">
      <alignment vertical="center"/>
    </xf>
    <xf numFmtId="0" fontId="15" fillId="0" borderId="0" xfId="0" applyFont="1"/>
    <xf numFmtId="0" fontId="140" fillId="0" borderId="0" xfId="0" applyFont="1" applyAlignment="1">
      <alignment vertical="center"/>
    </xf>
    <xf numFmtId="164" fontId="30" fillId="0" borderId="0" xfId="0" applyNumberFormat="1" applyFont="1" applyAlignment="1">
      <alignment horizontal="left" vertical="center" wrapText="1"/>
    </xf>
    <xf numFmtId="0" fontId="36" fillId="0" borderId="12" xfId="0" applyFont="1" applyBorder="1" applyAlignment="1">
      <alignment vertical="center"/>
    </xf>
    <xf numFmtId="0" fontId="36" fillId="0" borderId="117" xfId="0" applyFont="1" applyBorder="1" applyAlignment="1">
      <alignment horizontal="center" vertical="center"/>
    </xf>
    <xf numFmtId="164" fontId="36" fillId="0" borderId="52" xfId="0" applyNumberFormat="1" applyFont="1" applyBorder="1" applyAlignment="1">
      <alignment vertical="center"/>
    </xf>
    <xf numFmtId="0" fontId="141" fillId="0" borderId="0" xfId="0" applyFont="1"/>
    <xf numFmtId="0" fontId="129" fillId="0" borderId="0" xfId="0" applyFont="1" applyAlignment="1">
      <alignment vertical="center"/>
    </xf>
    <xf numFmtId="0" fontId="51" fillId="68" borderId="7" xfId="0" applyFont="1" applyFill="1" applyBorder="1" applyAlignment="1">
      <alignment horizontal="center" vertical="center" wrapText="1"/>
    </xf>
    <xf numFmtId="0" fontId="36" fillId="68" borderId="7" xfId="0" applyFont="1" applyFill="1" applyBorder="1" applyAlignment="1">
      <alignment vertical="center"/>
    </xf>
    <xf numFmtId="164" fontId="51" fillId="0" borderId="0" xfId="2" applyNumberFormat="1" applyFont="1" applyBorder="1" applyAlignment="1">
      <alignment vertical="center"/>
    </xf>
    <xf numFmtId="0" fontId="140" fillId="0" borderId="0" xfId="0" applyFont="1" applyAlignment="1">
      <alignment horizontal="left" vertical="center"/>
    </xf>
    <xf numFmtId="1" fontId="36" fillId="0" borderId="7" xfId="2" applyNumberFormat="1" applyFont="1" applyBorder="1" applyAlignment="1">
      <alignment horizontal="center" vertical="center"/>
    </xf>
    <xf numFmtId="0" fontId="15" fillId="0" borderId="7" xfId="0" applyFont="1" applyBorder="1" applyAlignment="1">
      <alignment vertical="center"/>
    </xf>
    <xf numFmtId="0" fontId="142" fillId="0" borderId="0" xfId="0" applyFont="1"/>
    <xf numFmtId="0" fontId="30" fillId="10" borderId="28" xfId="0" applyFont="1" applyFill="1" applyBorder="1"/>
    <xf numFmtId="0" fontId="30" fillId="10" borderId="29" xfId="0" applyFont="1" applyFill="1" applyBorder="1"/>
    <xf numFmtId="0" fontId="30" fillId="10" borderId="0" xfId="0" applyFont="1" applyFill="1"/>
    <xf numFmtId="0" fontId="30" fillId="10" borderId="30" xfId="0" applyFont="1" applyFill="1" applyBorder="1"/>
    <xf numFmtId="0" fontId="30" fillId="10" borderId="33" xfId="0" applyFont="1" applyFill="1" applyBorder="1"/>
    <xf numFmtId="0" fontId="30" fillId="10" borderId="34" xfId="0" applyFont="1" applyFill="1" applyBorder="1"/>
    <xf numFmtId="0" fontId="30" fillId="10" borderId="35" xfId="0" applyFont="1" applyFill="1" applyBorder="1"/>
    <xf numFmtId="0" fontId="76" fillId="0" borderId="0" xfId="0" applyFont="1"/>
    <xf numFmtId="164" fontId="37" fillId="0" borderId="7" xfId="0" applyNumberFormat="1" applyFont="1" applyBorder="1" applyAlignment="1">
      <alignment vertical="center"/>
    </xf>
    <xf numFmtId="164" fontId="30" fillId="0" borderId="0" xfId="2" applyNumberFormat="1" applyFont="1" applyBorder="1" applyAlignment="1">
      <alignment horizontal="center" vertical="center"/>
    </xf>
    <xf numFmtId="0" fontId="30" fillId="0" borderId="0" xfId="0" applyFont="1" applyAlignment="1">
      <alignment horizontal="center" vertical="top" wrapText="1"/>
    </xf>
    <xf numFmtId="164" fontId="30" fillId="0" borderId="0" xfId="2" applyNumberFormat="1" applyFont="1" applyAlignment="1">
      <alignment horizontal="center" vertical="center"/>
    </xf>
    <xf numFmtId="43" fontId="30" fillId="0" borderId="0" xfId="2" applyFont="1" applyAlignment="1">
      <alignment horizontal="left" vertical="top"/>
    </xf>
    <xf numFmtId="164" fontId="53" fillId="0" borderId="7" xfId="2" applyNumberFormat="1" applyFont="1" applyBorder="1"/>
    <xf numFmtId="0" fontId="64" fillId="0" borderId="7" xfId="1" applyFont="1" applyBorder="1" applyAlignment="1">
      <alignment vertical="center" wrapText="1"/>
    </xf>
    <xf numFmtId="0" fontId="37" fillId="0" borderId="0" xfId="0" applyFont="1" applyAlignment="1">
      <alignment wrapText="1"/>
    </xf>
    <xf numFmtId="0" fontId="37" fillId="0" borderId="7" xfId="0" applyFont="1" applyBorder="1"/>
    <xf numFmtId="173" fontId="51" fillId="0" borderId="0" xfId="12" applyNumberFormat="1" applyFont="1"/>
    <xf numFmtId="0" fontId="53" fillId="0" borderId="0" xfId="0" quotePrefix="1" applyFont="1"/>
    <xf numFmtId="173" fontId="30" fillId="0" borderId="0" xfId="0" applyNumberFormat="1" applyFont="1"/>
    <xf numFmtId="173" fontId="30" fillId="0" borderId="7" xfId="0" applyNumberFormat="1" applyFont="1" applyBorder="1"/>
    <xf numFmtId="173" fontId="36" fillId="0" borderId="7" xfId="0" applyNumberFormat="1" applyFont="1" applyBorder="1"/>
    <xf numFmtId="0" fontId="57" fillId="0" borderId="7" xfId="0" applyFont="1" applyBorder="1"/>
    <xf numFmtId="1" fontId="62" fillId="0" borderId="7" xfId="0" applyNumberFormat="1" applyFont="1" applyBorder="1"/>
    <xf numFmtId="0" fontId="93" fillId="0" borderId="0" xfId="0" applyFont="1"/>
    <xf numFmtId="173" fontId="143" fillId="0" borderId="0" xfId="12" applyNumberFormat="1" applyFont="1"/>
    <xf numFmtId="0" fontId="54" fillId="0" borderId="0" xfId="0" applyFont="1"/>
    <xf numFmtId="0" fontId="129" fillId="0" borderId="0" xfId="0" quotePrefix="1" applyFont="1" applyAlignment="1">
      <alignment vertical="center"/>
    </xf>
    <xf numFmtId="0" fontId="141" fillId="0" borderId="0" xfId="0" applyFont="1" applyAlignment="1">
      <alignment vertical="center"/>
    </xf>
    <xf numFmtId="1" fontId="40" fillId="0" borderId="7" xfId="0" applyNumberFormat="1" applyFont="1" applyBorder="1" applyAlignment="1">
      <alignment horizontal="center" vertical="center"/>
    </xf>
    <xf numFmtId="0" fontId="40" fillId="66" borderId="7" xfId="0" applyFont="1" applyFill="1" applyBorder="1" applyAlignment="1">
      <alignment vertical="center"/>
    </xf>
    <xf numFmtId="164" fontId="40" fillId="66" borderId="7" xfId="0" applyNumberFormat="1" applyFont="1" applyFill="1" applyBorder="1" applyAlignment="1">
      <alignment vertical="center"/>
    </xf>
    <xf numFmtId="0" fontId="15" fillId="0" borderId="0" xfId="0" applyFont="1" applyAlignment="1">
      <alignment vertical="center"/>
    </xf>
    <xf numFmtId="0" fontId="42" fillId="0" borderId="7" xfId="0" applyFont="1" applyBorder="1" applyAlignment="1">
      <alignment horizontal="center" vertical="center" wrapText="1"/>
    </xf>
    <xf numFmtId="0" fontId="144" fillId="0" borderId="0" xfId="0" applyFont="1"/>
    <xf numFmtId="165" fontId="40" fillId="0" borderId="0" xfId="0" applyNumberFormat="1" applyFont="1" applyAlignment="1">
      <alignment horizontal="center" vertical="center"/>
    </xf>
    <xf numFmtId="0" fontId="144" fillId="0" borderId="0" xfId="0" quotePrefix="1" applyFont="1" applyAlignment="1">
      <alignment vertical="center"/>
    </xf>
    <xf numFmtId="1" fontId="36" fillId="0" borderId="7" xfId="0" applyNumberFormat="1" applyFont="1" applyBorder="1" applyAlignment="1">
      <alignment vertical="center"/>
    </xf>
    <xf numFmtId="0" fontId="144" fillId="0" borderId="0" xfId="0" applyFont="1" applyAlignment="1">
      <alignment vertical="center"/>
    </xf>
    <xf numFmtId="0" fontId="47" fillId="0" borderId="105" xfId="0" applyFont="1" applyBorder="1" applyAlignment="1">
      <alignment horizontal="left" vertical="center" wrapText="1"/>
    </xf>
    <xf numFmtId="0" fontId="37" fillId="0" borderId="103" xfId="0" applyFont="1" applyBorder="1" applyAlignment="1">
      <alignment vertical="center" wrapText="1"/>
    </xf>
    <xf numFmtId="0" fontId="36" fillId="0" borderId="13" xfId="0" applyFont="1" applyBorder="1" applyAlignment="1">
      <alignment vertical="center" wrapText="1"/>
    </xf>
    <xf numFmtId="0" fontId="37" fillId="0" borderId="51" xfId="0" quotePrefix="1" applyFont="1" applyBorder="1" applyAlignment="1">
      <alignment vertical="top" wrapText="1"/>
    </xf>
    <xf numFmtId="164" fontId="62" fillId="0" borderId="177" xfId="2" applyNumberFormat="1" applyFont="1" applyFill="1" applyBorder="1" applyAlignment="1">
      <alignment vertical="center" wrapText="1"/>
    </xf>
    <xf numFmtId="164" fontId="57" fillId="0" borderId="178" xfId="2" applyNumberFormat="1" applyFont="1" applyFill="1" applyBorder="1" applyAlignment="1">
      <alignment vertical="center"/>
    </xf>
    <xf numFmtId="176" fontId="62" fillId="0" borderId="175" xfId="2" applyNumberFormat="1" applyFont="1" applyFill="1" applyBorder="1" applyAlignment="1">
      <alignment vertical="center" wrapText="1"/>
    </xf>
    <xf numFmtId="2" fontId="57" fillId="0" borderId="176" xfId="5" applyNumberFormat="1" applyFont="1" applyBorder="1" applyAlignment="1">
      <alignment vertical="center" wrapText="1"/>
    </xf>
    <xf numFmtId="164" fontId="36" fillId="0" borderId="7" xfId="2" applyNumberFormat="1" applyFont="1" applyFill="1" applyBorder="1" applyAlignment="1">
      <alignment horizontal="right" vertical="center"/>
    </xf>
    <xf numFmtId="0" fontId="145" fillId="0" borderId="0" xfId="0" applyFont="1" applyAlignment="1">
      <alignment vertical="center"/>
    </xf>
    <xf numFmtId="164" fontId="32" fillId="59" borderId="31" xfId="2" applyNumberFormat="1" applyFont="1" applyFill="1" applyBorder="1" applyAlignment="1">
      <alignment vertical="center"/>
    </xf>
    <xf numFmtId="164" fontId="32" fillId="60" borderId="31" xfId="2" applyNumberFormat="1" applyFont="1" applyFill="1" applyBorder="1" applyAlignment="1">
      <alignment vertical="center"/>
    </xf>
    <xf numFmtId="164" fontId="32" fillId="60" borderId="32" xfId="2" applyNumberFormat="1" applyFont="1" applyFill="1" applyBorder="1" applyAlignment="1">
      <alignment vertical="center"/>
    </xf>
    <xf numFmtId="164" fontId="32" fillId="59" borderId="2" xfId="2" applyNumberFormat="1" applyFont="1" applyFill="1" applyBorder="1" applyAlignment="1">
      <alignment vertical="center"/>
    </xf>
    <xf numFmtId="164" fontId="32" fillId="60" borderId="2" xfId="2" applyNumberFormat="1" applyFont="1" applyFill="1" applyBorder="1" applyAlignment="1">
      <alignment vertical="center"/>
    </xf>
    <xf numFmtId="164" fontId="32" fillId="60" borderId="3" xfId="2" applyNumberFormat="1" applyFont="1" applyFill="1" applyBorder="1" applyAlignment="1">
      <alignment vertical="center"/>
    </xf>
    <xf numFmtId="164" fontId="100" fillId="59" borderId="3" xfId="2" applyNumberFormat="1" applyFont="1" applyFill="1" applyBorder="1" applyAlignment="1">
      <alignment vertical="center"/>
    </xf>
    <xf numFmtId="164" fontId="100" fillId="77" borderId="1" xfId="2" applyNumberFormat="1" applyFont="1" applyFill="1" applyBorder="1" applyAlignment="1">
      <alignment vertical="center"/>
    </xf>
    <xf numFmtId="164" fontId="36" fillId="66" borderId="22" xfId="2" applyNumberFormat="1" applyFont="1" applyFill="1" applyBorder="1" applyAlignment="1">
      <alignment vertical="center"/>
    </xf>
    <xf numFmtId="0" fontId="51" fillId="66" borderId="7" xfId="0" applyFont="1" applyFill="1" applyBorder="1" applyAlignment="1">
      <alignment vertical="center"/>
    </xf>
    <xf numFmtId="164" fontId="36" fillId="42" borderId="4" xfId="2" applyNumberFormat="1" applyFont="1" applyFill="1" applyBorder="1" applyAlignment="1">
      <alignment vertical="center"/>
    </xf>
    <xf numFmtId="0" fontId="36" fillId="0" borderId="24" xfId="2" applyNumberFormat="1" applyFont="1" applyBorder="1" applyAlignment="1">
      <alignment vertical="center" wrapText="1"/>
    </xf>
    <xf numFmtId="0" fontId="36" fillId="0" borderId="9" xfId="2" applyNumberFormat="1" applyFont="1" applyBorder="1" applyAlignment="1">
      <alignment vertical="center" wrapText="1"/>
    </xf>
    <xf numFmtId="164" fontId="36" fillId="42" borderId="19" xfId="2" applyNumberFormat="1" applyFont="1" applyFill="1" applyBorder="1" applyAlignment="1">
      <alignment horizontal="center" vertical="center"/>
    </xf>
    <xf numFmtId="164" fontId="36" fillId="42" borderId="20" xfId="2" applyNumberFormat="1" applyFont="1" applyFill="1" applyBorder="1" applyAlignment="1">
      <alignment horizontal="center" vertical="center"/>
    </xf>
    <xf numFmtId="0" fontId="36" fillId="44" borderId="1" xfId="0" applyFont="1" applyFill="1" applyBorder="1" applyAlignment="1">
      <alignment horizontal="center" vertical="center"/>
    </xf>
    <xf numFmtId="0" fontId="36" fillId="44" borderId="2" xfId="0" applyFont="1" applyFill="1" applyBorder="1" applyAlignment="1">
      <alignment horizontal="center" vertical="center"/>
    </xf>
    <xf numFmtId="0" fontId="30" fillId="0" borderId="110" xfId="0" quotePrefix="1" applyFont="1" applyBorder="1" applyAlignment="1">
      <alignment vertical="center"/>
    </xf>
    <xf numFmtId="0" fontId="30" fillId="0" borderId="18" xfId="0" quotePrefix="1" applyFont="1" applyBorder="1" applyAlignment="1">
      <alignment vertical="center"/>
    </xf>
    <xf numFmtId="0" fontId="15" fillId="0" borderId="0" xfId="0" quotePrefix="1" applyFont="1"/>
    <xf numFmtId="0" fontId="119" fillId="0" borderId="0" xfId="0" applyFont="1" applyAlignment="1">
      <alignment vertical="center"/>
    </xf>
    <xf numFmtId="0" fontId="62" fillId="0" borderId="180" xfId="9" applyFont="1" applyBorder="1" applyAlignment="1">
      <alignment horizontal="left" vertical="center" wrapText="1"/>
    </xf>
    <xf numFmtId="0" fontId="62" fillId="0" borderId="180" xfId="0" applyFont="1" applyBorder="1" applyAlignment="1">
      <alignment horizontal="left" vertical="center"/>
    </xf>
    <xf numFmtId="0" fontId="62" fillId="0" borderId="119" xfId="0" applyFont="1" applyBorder="1" applyAlignment="1">
      <alignment horizontal="left" vertical="center"/>
    </xf>
    <xf numFmtId="0" fontId="62" fillId="0" borderId="181" xfId="0" applyFont="1" applyBorder="1" applyAlignment="1">
      <alignment horizontal="left" vertical="center"/>
    </xf>
    <xf numFmtId="0" fontId="30" fillId="0" borderId="20" xfId="0" applyFont="1" applyBorder="1" applyAlignment="1">
      <alignment horizontal="center" vertical="center"/>
    </xf>
    <xf numFmtId="0" fontId="36" fillId="71" borderId="168" xfId="5" applyFont="1" applyFill="1" applyBorder="1" applyAlignment="1">
      <alignment horizontal="center" vertical="center" wrapText="1"/>
    </xf>
    <xf numFmtId="0" fontId="36" fillId="71" borderId="169" xfId="5" applyFont="1" applyFill="1" applyBorder="1" applyAlignment="1">
      <alignment horizontal="center" vertical="center" wrapText="1"/>
    </xf>
    <xf numFmtId="0" fontId="147" fillId="0" borderId="0" xfId="0" applyFont="1" applyAlignment="1">
      <alignment vertical="center"/>
    </xf>
    <xf numFmtId="0" fontId="14" fillId="0" borderId="7" xfId="0" applyFont="1" applyBorder="1" applyAlignment="1">
      <alignment vertical="center"/>
    </xf>
    <xf numFmtId="0" fontId="14" fillId="0" borderId="0" xfId="0" applyFont="1" applyAlignment="1">
      <alignment vertical="center"/>
    </xf>
    <xf numFmtId="0" fontId="52" fillId="0" borderId="0" xfId="0" applyFont="1" applyAlignment="1">
      <alignment horizontal="left" vertical="center" wrapText="1"/>
    </xf>
    <xf numFmtId="0" fontId="13" fillId="0" borderId="0" xfId="0" applyFont="1" applyAlignment="1">
      <alignment vertical="center"/>
    </xf>
    <xf numFmtId="0" fontId="13" fillId="0" borderId="7" xfId="0" applyFont="1" applyBorder="1" applyAlignment="1">
      <alignment vertical="center"/>
    </xf>
    <xf numFmtId="181" fontId="30" fillId="0" borderId="0" xfId="2" applyNumberFormat="1" applyFont="1" applyFill="1" applyBorder="1" applyAlignment="1">
      <alignment vertical="center"/>
    </xf>
    <xf numFmtId="0" fontId="36" fillId="44" borderId="54" xfId="0" applyFont="1" applyFill="1" applyBorder="1" applyAlignment="1">
      <alignment horizontal="center" vertical="center"/>
    </xf>
    <xf numFmtId="0" fontId="36" fillId="44" borderId="26" xfId="0" applyFont="1" applyFill="1" applyBorder="1" applyAlignment="1">
      <alignment horizontal="center" vertical="center"/>
    </xf>
    <xf numFmtId="0" fontId="12" fillId="0" borderId="0" xfId="0" applyFont="1"/>
    <xf numFmtId="0" fontId="36" fillId="73" borderId="154" xfId="5" applyFont="1" applyFill="1" applyBorder="1" applyAlignment="1">
      <alignment vertical="center" wrapText="1"/>
    </xf>
    <xf numFmtId="164" fontId="36" fillId="74" borderId="58" xfId="2" applyNumberFormat="1" applyFont="1" applyFill="1" applyBorder="1" applyAlignment="1">
      <alignment vertical="center" wrapText="1"/>
    </xf>
    <xf numFmtId="0" fontId="62" fillId="0" borderId="130" xfId="9" applyFont="1" applyBorder="1" applyAlignment="1">
      <alignment horizontal="left" vertical="center" wrapText="1"/>
    </xf>
    <xf numFmtId="0" fontId="62" fillId="0" borderId="181" xfId="9" applyFont="1" applyBorder="1" applyAlignment="1">
      <alignment horizontal="left" vertical="center" wrapText="1"/>
    </xf>
    <xf numFmtId="0" fontId="30" fillId="0" borderId="0" xfId="2" applyNumberFormat="1" applyFont="1" applyAlignment="1">
      <alignment vertical="center"/>
    </xf>
    <xf numFmtId="0" fontId="66" fillId="34" borderId="1" xfId="5" applyFont="1" applyFill="1" applyBorder="1" applyAlignment="1">
      <alignment horizontal="center" vertical="center" wrapText="1"/>
    </xf>
    <xf numFmtId="0" fontId="66" fillId="34" borderId="2" xfId="5" applyFont="1" applyFill="1" applyBorder="1" applyAlignment="1">
      <alignment horizontal="center" vertical="center" wrapText="1"/>
    </xf>
    <xf numFmtId="0" fontId="66" fillId="34" borderId="3" xfId="5" applyFont="1" applyFill="1" applyBorder="1" applyAlignment="1">
      <alignment horizontal="center" vertical="center" wrapText="1"/>
    </xf>
    <xf numFmtId="164" fontId="30" fillId="0" borderId="51" xfId="0" applyNumberFormat="1" applyFont="1" applyBorder="1" applyAlignment="1">
      <alignment vertical="center"/>
    </xf>
    <xf numFmtId="0" fontId="42" fillId="82" borderId="59" xfId="0" applyFont="1" applyFill="1" applyBorder="1" applyAlignment="1">
      <alignment horizontal="center" vertical="center"/>
    </xf>
    <xf numFmtId="180" fontId="36" fillId="71" borderId="186" xfId="5" applyNumberFormat="1" applyFont="1" applyFill="1" applyBorder="1" applyAlignment="1">
      <alignment vertical="center" wrapText="1"/>
    </xf>
    <xf numFmtId="0" fontId="36" fillId="71" borderId="58" xfId="0" applyFont="1" applyFill="1" applyBorder="1" applyAlignment="1">
      <alignment vertical="center"/>
    </xf>
    <xf numFmtId="0" fontId="124" fillId="0" borderId="6" xfId="5" applyFont="1" applyBorder="1" applyAlignment="1">
      <alignment horizontal="left" vertical="center" wrapText="1"/>
    </xf>
    <xf numFmtId="9" fontId="148" fillId="0" borderId="21" xfId="12" applyFont="1" applyBorder="1" applyAlignment="1">
      <alignment vertical="center" wrapText="1"/>
    </xf>
    <xf numFmtId="0" fontId="149" fillId="0" borderId="22" xfId="5" applyFont="1" applyBorder="1" applyAlignment="1">
      <alignment vertical="center" wrapText="1"/>
    </xf>
    <xf numFmtId="0" fontId="123" fillId="0" borderId="22" xfId="0" applyFont="1" applyBorder="1" applyAlignment="1">
      <alignment vertical="center"/>
    </xf>
    <xf numFmtId="0" fontId="123" fillId="0" borderId="13" xfId="0" applyFont="1" applyBorder="1" applyAlignment="1">
      <alignment vertical="center"/>
    </xf>
    <xf numFmtId="0" fontId="148" fillId="0" borderId="36" xfId="0" applyFont="1" applyBorder="1" applyAlignment="1">
      <alignment vertical="top" wrapText="1"/>
    </xf>
    <xf numFmtId="0" fontId="149" fillId="0" borderId="7" xfId="5" applyFont="1" applyBorder="1" applyAlignment="1">
      <alignment vertical="center" wrapText="1"/>
    </xf>
    <xf numFmtId="0" fontId="123" fillId="0" borderId="7" xfId="0" applyFont="1" applyBorder="1" applyAlignment="1">
      <alignment vertical="center"/>
    </xf>
    <xf numFmtId="43" fontId="123" fillId="0" borderId="7" xfId="2" applyFont="1" applyBorder="1" applyAlignment="1">
      <alignment vertical="center"/>
    </xf>
    <xf numFmtId="43" fontId="123" fillId="0" borderId="12" xfId="2" applyFont="1" applyBorder="1" applyAlignment="1">
      <alignment vertical="center"/>
    </xf>
    <xf numFmtId="0" fontId="148" fillId="0" borderId="40" xfId="0" applyFont="1" applyBorder="1"/>
    <xf numFmtId="0" fontId="122" fillId="0" borderId="40" xfId="0" applyFont="1" applyBorder="1" applyAlignment="1">
      <alignment vertical="center"/>
    </xf>
    <xf numFmtId="0" fontId="124" fillId="0" borderId="33" xfId="5" applyFont="1" applyBorder="1" applyAlignment="1">
      <alignment horizontal="left" vertical="center" wrapText="1"/>
    </xf>
    <xf numFmtId="9" fontId="148" fillId="0" borderId="9" xfId="12" applyFont="1" applyBorder="1" applyAlignment="1">
      <alignment vertical="center" wrapText="1"/>
    </xf>
    <xf numFmtId="0" fontId="149" fillId="0" borderId="10" xfId="5" applyFont="1" applyBorder="1" applyAlignment="1">
      <alignment vertical="center" wrapText="1"/>
    </xf>
    <xf numFmtId="9" fontId="123" fillId="0" borderId="10" xfId="0" applyNumberFormat="1" applyFont="1" applyBorder="1" applyAlignment="1">
      <alignment vertical="center"/>
    </xf>
    <xf numFmtId="9" fontId="123" fillId="0" borderId="56" xfId="0" applyNumberFormat="1" applyFont="1" applyBorder="1" applyAlignment="1">
      <alignment vertical="center"/>
    </xf>
    <xf numFmtId="0" fontId="122" fillId="0" borderId="42" xfId="0" applyFont="1" applyBorder="1" applyAlignment="1">
      <alignment vertical="center"/>
    </xf>
    <xf numFmtId="0" fontId="124" fillId="0" borderId="37" xfId="5" applyFont="1" applyBorder="1" applyAlignment="1">
      <alignment horizontal="left" vertical="center" wrapText="1"/>
    </xf>
    <xf numFmtId="176" fontId="123" fillId="0" borderId="18" xfId="2" applyNumberFormat="1" applyFont="1" applyBorder="1" applyAlignment="1">
      <alignment vertical="center" wrapText="1"/>
    </xf>
    <xf numFmtId="0" fontId="124" fillId="0" borderId="19" xfId="5" applyFont="1" applyBorder="1" applyAlignment="1">
      <alignment vertical="center" wrapText="1"/>
    </xf>
    <xf numFmtId="0" fontId="123" fillId="0" borderId="19" xfId="0" applyFont="1" applyBorder="1" applyAlignment="1">
      <alignment vertical="center"/>
    </xf>
    <xf numFmtId="0" fontId="123" fillId="0" borderId="55" xfId="0" applyFont="1" applyBorder="1" applyAlignment="1">
      <alignment vertical="center"/>
    </xf>
    <xf numFmtId="0" fontId="122" fillId="0" borderId="36" xfId="0" applyFont="1" applyBorder="1" applyAlignment="1">
      <alignment vertical="center"/>
    </xf>
    <xf numFmtId="43" fontId="124" fillId="0" borderId="24" xfId="5" applyNumberFormat="1" applyFont="1" applyBorder="1" applyAlignment="1">
      <alignment vertical="center" wrapText="1"/>
    </xf>
    <xf numFmtId="2" fontId="124" fillId="0" borderId="7" xfId="5" applyNumberFormat="1" applyFont="1" applyBorder="1" applyAlignment="1">
      <alignment vertical="center" wrapText="1"/>
    </xf>
    <xf numFmtId="0" fontId="123" fillId="0" borderId="12" xfId="0" applyFont="1" applyBorder="1" applyAlignment="1">
      <alignment vertical="center"/>
    </xf>
    <xf numFmtId="0" fontId="124" fillId="0" borderId="7" xfId="5" applyFont="1" applyBorder="1" applyAlignment="1">
      <alignment vertical="center" wrapText="1"/>
    </xf>
    <xf numFmtId="0" fontId="124" fillId="0" borderId="100" xfId="5" applyFont="1" applyBorder="1" applyAlignment="1">
      <alignment horizontal="left" vertical="center" wrapText="1"/>
    </xf>
    <xf numFmtId="43" fontId="124" fillId="0" borderId="9" xfId="5" applyNumberFormat="1" applyFont="1" applyBorder="1" applyAlignment="1">
      <alignment vertical="center" wrapText="1"/>
    </xf>
    <xf numFmtId="2" fontId="124" fillId="0" borderId="10" xfId="5" applyNumberFormat="1" applyFont="1" applyBorder="1" applyAlignment="1">
      <alignment vertical="center" wrapText="1"/>
    </xf>
    <xf numFmtId="2" fontId="123" fillId="0" borderId="10" xfId="0" applyNumberFormat="1" applyFont="1" applyBorder="1" applyAlignment="1">
      <alignment vertical="center"/>
    </xf>
    <xf numFmtId="2" fontId="123" fillId="0" borderId="56" xfId="0" applyNumberFormat="1" applyFont="1" applyBorder="1" applyAlignment="1">
      <alignment vertical="center"/>
    </xf>
    <xf numFmtId="0" fontId="116" fillId="19" borderId="184" xfId="5" applyFont="1" applyFill="1" applyBorder="1" applyAlignment="1">
      <alignment vertical="center"/>
    </xf>
    <xf numFmtId="9" fontId="30" fillId="0" borderId="108" xfId="12" applyFont="1" applyBorder="1" applyAlignment="1">
      <alignment vertical="center" wrapText="1"/>
    </xf>
    <xf numFmtId="9" fontId="53" fillId="0" borderId="20" xfId="12" applyFont="1" applyBorder="1" applyAlignment="1">
      <alignment vertical="center" wrapText="1"/>
    </xf>
    <xf numFmtId="9" fontId="30" fillId="0" borderId="18" xfId="12" applyFont="1" applyBorder="1" applyAlignment="1">
      <alignment vertical="center" wrapText="1"/>
    </xf>
    <xf numFmtId="9" fontId="53" fillId="0" borderId="19" xfId="5" applyNumberFormat="1" applyFont="1" applyBorder="1" applyAlignment="1">
      <alignment vertical="center" wrapText="1"/>
    </xf>
    <xf numFmtId="9" fontId="53" fillId="0" borderId="20" xfId="5" applyNumberFormat="1" applyFont="1" applyBorder="1" applyAlignment="1">
      <alignment vertical="center" wrapText="1"/>
    </xf>
    <xf numFmtId="9" fontId="53" fillId="0" borderId="25" xfId="12" applyFont="1" applyBorder="1" applyAlignment="1">
      <alignment vertical="center" wrapText="1"/>
    </xf>
    <xf numFmtId="0" fontId="53" fillId="0" borderId="25" xfId="5" applyFont="1" applyBorder="1" applyAlignment="1">
      <alignment vertical="center" wrapText="1"/>
    </xf>
    <xf numFmtId="9" fontId="53" fillId="0" borderId="25" xfId="5" applyNumberFormat="1" applyFont="1" applyBorder="1" applyAlignment="1">
      <alignment vertical="center" wrapText="1"/>
    </xf>
    <xf numFmtId="9" fontId="53" fillId="0" borderId="11" xfId="12" applyFont="1" applyBorder="1" applyAlignment="1">
      <alignment vertical="center" wrapText="1"/>
    </xf>
    <xf numFmtId="9" fontId="53" fillId="0" borderId="10" xfId="5" applyNumberFormat="1" applyFont="1" applyBorder="1" applyAlignment="1">
      <alignment vertical="center" wrapText="1"/>
    </xf>
    <xf numFmtId="9" fontId="53" fillId="0" borderId="11" xfId="5" applyNumberFormat="1" applyFont="1" applyBorder="1" applyAlignment="1">
      <alignment vertical="center" wrapText="1"/>
    </xf>
    <xf numFmtId="0" fontId="51" fillId="0" borderId="7" xfId="0" applyFont="1" applyBorder="1" applyAlignment="1">
      <alignment vertical="center"/>
    </xf>
    <xf numFmtId="164" fontId="30" fillId="0" borderId="23" xfId="0" applyNumberFormat="1" applyFont="1" applyBorder="1" applyAlignment="1">
      <alignment vertical="center"/>
    </xf>
    <xf numFmtId="0" fontId="92" fillId="12" borderId="104" xfId="9" applyFont="1" applyFill="1" applyBorder="1" applyAlignment="1">
      <alignment horizontal="center" vertical="center" wrapText="1"/>
    </xf>
    <xf numFmtId="164" fontId="30" fillId="0" borderId="103" xfId="0" applyNumberFormat="1" applyFont="1" applyBorder="1" applyAlignment="1">
      <alignment vertical="center"/>
    </xf>
    <xf numFmtId="164" fontId="30" fillId="0" borderId="111" xfId="0" applyNumberFormat="1" applyFont="1" applyBorder="1" applyAlignment="1">
      <alignment vertical="center"/>
    </xf>
    <xf numFmtId="0" fontId="150" fillId="12" borderId="58" xfId="9" applyFont="1" applyFill="1" applyBorder="1" applyAlignment="1">
      <alignment horizontal="center" vertical="center" wrapText="1"/>
    </xf>
    <xf numFmtId="9" fontId="30" fillId="0" borderId="2" xfId="12" applyFont="1" applyBorder="1" applyAlignment="1">
      <alignment vertical="center"/>
    </xf>
    <xf numFmtId="9" fontId="30" fillId="0" borderId="1" xfId="12" applyFont="1" applyBorder="1" applyAlignment="1">
      <alignment vertical="center"/>
    </xf>
    <xf numFmtId="9" fontId="30" fillId="0" borderId="3" xfId="12" applyFont="1" applyBorder="1" applyAlignment="1">
      <alignment vertical="center"/>
    </xf>
    <xf numFmtId="0" fontId="142" fillId="0" borderId="0" xfId="0" applyFont="1" applyAlignment="1">
      <alignment vertical="center"/>
    </xf>
    <xf numFmtId="0" fontId="117" fillId="0" borderId="118" xfId="0" applyFont="1" applyBorder="1" applyAlignment="1">
      <alignment vertical="center" wrapText="1"/>
    </xf>
    <xf numFmtId="0" fontId="55" fillId="0" borderId="121" xfId="0" applyFont="1" applyBorder="1" applyAlignment="1">
      <alignment horizontal="center" vertical="center" wrapText="1"/>
    </xf>
    <xf numFmtId="0" fontId="17" fillId="0" borderId="7" xfId="0" applyFont="1" applyBorder="1" applyAlignment="1">
      <alignment wrapText="1"/>
    </xf>
    <xf numFmtId="0" fontId="117" fillId="0" borderId="7" xfId="0" applyFont="1" applyBorder="1" applyAlignment="1">
      <alignment vertical="center" wrapText="1"/>
    </xf>
    <xf numFmtId="0" fontId="17" fillId="0" borderId="7" xfId="0" applyFont="1" applyBorder="1" applyAlignment="1">
      <alignment vertical="center" wrapText="1"/>
    </xf>
    <xf numFmtId="9" fontId="47" fillId="0" borderId="0" xfId="0" applyNumberFormat="1" applyFont="1"/>
    <xf numFmtId="0" fontId="53" fillId="0" borderId="121" xfId="0" applyFont="1" applyBorder="1" applyAlignment="1">
      <alignment vertical="center"/>
    </xf>
    <xf numFmtId="164" fontId="53" fillId="0" borderId="121" xfId="2" applyNumberFormat="1" applyFont="1" applyBorder="1" applyAlignment="1">
      <alignment vertical="center"/>
    </xf>
    <xf numFmtId="0" fontId="117" fillId="0" borderId="203" xfId="0" applyFont="1" applyBorder="1" applyAlignment="1">
      <alignment vertical="center" wrapText="1"/>
    </xf>
    <xf numFmtId="0" fontId="17" fillId="0" borderId="47" xfId="0" applyFont="1" applyBorder="1" applyAlignment="1">
      <alignment vertical="center" wrapText="1"/>
    </xf>
    <xf numFmtId="0" fontId="53" fillId="0" borderId="117" xfId="0" applyFont="1" applyBorder="1" applyAlignment="1">
      <alignment horizontal="center" vertical="center"/>
    </xf>
    <xf numFmtId="0" fontId="38" fillId="0" borderId="0" xfId="0" applyFont="1" applyAlignment="1">
      <alignment vertical="center"/>
    </xf>
    <xf numFmtId="164" fontId="37" fillId="0" borderId="0" xfId="2" applyNumberFormat="1" applyFont="1" applyFill="1" applyBorder="1" applyAlignment="1">
      <alignment vertical="center"/>
    </xf>
    <xf numFmtId="0" fontId="53" fillId="0" borderId="7" xfId="0" applyFont="1" applyBorder="1" applyAlignment="1">
      <alignment horizontal="left" vertical="center"/>
    </xf>
    <xf numFmtId="0" fontId="40" fillId="0" borderId="52" xfId="0" quotePrefix="1" applyFont="1" applyBorder="1" applyAlignment="1">
      <alignment horizontal="center" vertical="center" wrapText="1"/>
    </xf>
    <xf numFmtId="0" fontId="21" fillId="0" borderId="7" xfId="1" applyBorder="1" applyAlignment="1">
      <alignment vertical="center" wrapText="1"/>
    </xf>
    <xf numFmtId="0" fontId="21" fillId="0" borderId="47" xfId="1" applyBorder="1" applyAlignment="1">
      <alignment vertical="center" wrapText="1"/>
    </xf>
    <xf numFmtId="0" fontId="30" fillId="0" borderId="22" xfId="0" applyFont="1" applyBorder="1" applyAlignment="1">
      <alignment wrapText="1"/>
    </xf>
    <xf numFmtId="0" fontId="30" fillId="0" borderId="0" xfId="0" quotePrefix="1" applyFont="1" applyAlignment="1">
      <alignment vertical="center" wrapText="1"/>
    </xf>
    <xf numFmtId="0" fontId="151" fillId="0" borderId="0" xfId="0" applyFont="1" applyAlignment="1">
      <alignment vertical="center"/>
    </xf>
    <xf numFmtId="164" fontId="57" fillId="0" borderId="47" xfId="2" applyNumberFormat="1" applyFont="1" applyBorder="1" applyAlignment="1">
      <alignment vertical="center"/>
    </xf>
    <xf numFmtId="39" fontId="57" fillId="0" borderId="36" xfId="2" applyNumberFormat="1" applyFont="1" applyBorder="1" applyAlignment="1">
      <alignment horizontal="center" vertical="center"/>
    </xf>
    <xf numFmtId="39" fontId="57" fillId="0" borderId="40" xfId="2" applyNumberFormat="1" applyFont="1" applyBorder="1" applyAlignment="1">
      <alignment horizontal="center" vertical="center"/>
    </xf>
    <xf numFmtId="39" fontId="57" fillId="0" borderId="104" xfId="2" applyNumberFormat="1" applyFont="1" applyBorder="1" applyAlignment="1">
      <alignment horizontal="center" vertical="center"/>
    </xf>
    <xf numFmtId="39" fontId="57" fillId="0" borderId="42" xfId="2" applyNumberFormat="1" applyFont="1" applyBorder="1" applyAlignment="1">
      <alignment horizontal="center" vertical="center"/>
    </xf>
    <xf numFmtId="9" fontId="62" fillId="0" borderId="59" xfId="12" quotePrefix="1" applyFont="1" applyBorder="1" applyAlignment="1">
      <alignment horizontal="center" vertical="center"/>
    </xf>
    <xf numFmtId="9" fontId="62" fillId="0" borderId="39" xfId="12" quotePrefix="1" applyFont="1" applyBorder="1" applyAlignment="1">
      <alignment horizontal="center" vertical="center"/>
    </xf>
    <xf numFmtId="9" fontId="62" fillId="0" borderId="40" xfId="12" quotePrefix="1" applyFont="1" applyBorder="1" applyAlignment="1">
      <alignment horizontal="center" vertical="center"/>
    </xf>
    <xf numFmtId="9" fontId="62" fillId="0" borderId="8" xfId="12" applyFont="1" applyBorder="1" applyAlignment="1">
      <alignment horizontal="center" vertical="center"/>
    </xf>
    <xf numFmtId="9" fontId="62" fillId="0" borderId="8" xfId="12" quotePrefix="1" applyFont="1" applyBorder="1" applyAlignment="1">
      <alignment horizontal="center" vertical="center"/>
    </xf>
    <xf numFmtId="9" fontId="62" fillId="0" borderId="42" xfId="12" quotePrefix="1" applyFont="1" applyBorder="1" applyAlignment="1">
      <alignment horizontal="center" vertical="center"/>
    </xf>
    <xf numFmtId="9" fontId="62" fillId="0" borderId="45" xfId="12" quotePrefix="1" applyFont="1" applyBorder="1" applyAlignment="1">
      <alignment horizontal="center" vertical="center"/>
    </xf>
    <xf numFmtId="164" fontId="62" fillId="0" borderId="58" xfId="2" applyNumberFormat="1" applyFont="1" applyBorder="1" applyAlignment="1">
      <alignment vertical="center"/>
    </xf>
    <xf numFmtId="164" fontId="62" fillId="0" borderId="17" xfId="2" applyNumberFormat="1" applyFont="1" applyBorder="1" applyAlignment="1">
      <alignment vertical="center"/>
    </xf>
    <xf numFmtId="171" fontId="30" fillId="0" borderId="19" xfId="0" applyNumberFormat="1" applyFont="1" applyBorder="1" applyAlignment="1">
      <alignment vertical="center" wrapText="1"/>
    </xf>
    <xf numFmtId="171" fontId="30" fillId="0" borderId="7" xfId="0" applyNumberFormat="1" applyFont="1" applyBorder="1" applyAlignment="1">
      <alignment vertical="center"/>
    </xf>
    <xf numFmtId="166" fontId="53" fillId="0" borderId="10" xfId="2" applyNumberFormat="1" applyFont="1" applyBorder="1" applyAlignment="1">
      <alignment vertical="center"/>
    </xf>
    <xf numFmtId="166" fontId="53" fillId="0" borderId="11" xfId="2" applyNumberFormat="1" applyFont="1" applyBorder="1" applyAlignment="1">
      <alignment vertical="center"/>
    </xf>
    <xf numFmtId="173" fontId="30" fillId="0" borderId="0" xfId="0" applyNumberFormat="1" applyFont="1" applyAlignment="1">
      <alignment vertical="center"/>
    </xf>
    <xf numFmtId="176" fontId="36" fillId="30" borderId="3" xfId="2" applyNumberFormat="1" applyFont="1" applyFill="1" applyBorder="1" applyAlignment="1">
      <alignment vertical="center"/>
    </xf>
    <xf numFmtId="0" fontId="152" fillId="0" borderId="0" xfId="0" applyFont="1" applyAlignment="1">
      <alignment vertical="center"/>
    </xf>
    <xf numFmtId="0" fontId="30" fillId="0" borderId="58" xfId="0" applyFont="1" applyBorder="1" applyAlignment="1">
      <alignment vertical="center"/>
    </xf>
    <xf numFmtId="0" fontId="36" fillId="0" borderId="3" xfId="0" applyFont="1" applyBorder="1" applyAlignment="1">
      <alignment horizontal="center" vertical="center" wrapText="1"/>
    </xf>
    <xf numFmtId="0" fontId="30" fillId="0" borderId="58" xfId="0" applyFont="1" applyBorder="1" applyAlignment="1">
      <alignment vertical="center" wrapText="1"/>
    </xf>
    <xf numFmtId="0" fontId="30" fillId="0" borderId="99" xfId="0" applyFont="1" applyBorder="1" applyAlignment="1">
      <alignment horizontal="left" vertical="center" wrapText="1"/>
    </xf>
    <xf numFmtId="164" fontId="30" fillId="0" borderId="51" xfId="2" applyNumberFormat="1" applyFont="1" applyBorder="1" applyAlignment="1">
      <alignment horizontal="center" vertical="center"/>
    </xf>
    <xf numFmtId="164" fontId="30" fillId="0" borderId="22" xfId="2" applyNumberFormat="1" applyFont="1" applyBorder="1" applyAlignment="1">
      <alignment horizontal="center" vertical="center"/>
    </xf>
    <xf numFmtId="9" fontId="30" fillId="0" borderId="23" xfId="12" applyFont="1" applyBorder="1" applyAlignment="1">
      <alignment horizontal="center" vertical="center"/>
    </xf>
    <xf numFmtId="0" fontId="30" fillId="0" borderId="99" xfId="0" applyFont="1" applyBorder="1" applyAlignment="1">
      <alignment vertical="center" wrapText="1"/>
    </xf>
    <xf numFmtId="0" fontId="30" fillId="0" borderId="114" xfId="0" applyFont="1" applyBorder="1" applyAlignment="1">
      <alignment horizontal="left" vertical="center"/>
    </xf>
    <xf numFmtId="9" fontId="30" fillId="0" borderId="99" xfId="0" applyNumberFormat="1" applyFont="1" applyBorder="1" applyAlignment="1">
      <alignment horizontal="center" vertical="center"/>
    </xf>
    <xf numFmtId="0" fontId="30" fillId="0" borderId="40" xfId="0" applyFont="1" applyBorder="1" applyAlignment="1">
      <alignment horizontal="left" vertical="center" wrapText="1"/>
    </xf>
    <xf numFmtId="164" fontId="30" fillId="0" borderId="52" xfId="2" applyNumberFormat="1" applyFont="1" applyBorder="1" applyAlignment="1">
      <alignment horizontal="center" vertical="center"/>
    </xf>
    <xf numFmtId="0" fontId="30" fillId="0" borderId="40" xfId="0" applyFont="1" applyBorder="1" applyAlignment="1">
      <alignment vertical="center" wrapText="1"/>
    </xf>
    <xf numFmtId="164" fontId="30" fillId="0" borderId="52" xfId="2" applyNumberFormat="1" applyFont="1" applyBorder="1" applyAlignment="1">
      <alignment vertical="center"/>
    </xf>
    <xf numFmtId="9" fontId="30" fillId="0" borderId="40" xfId="0" applyNumberFormat="1" applyFont="1" applyBorder="1" applyAlignment="1">
      <alignment horizontal="center" vertical="center"/>
    </xf>
    <xf numFmtId="0" fontId="37" fillId="0" borderId="40" xfId="0" applyFont="1" applyBorder="1" applyAlignment="1">
      <alignment horizontal="right" vertical="center" wrapText="1"/>
    </xf>
    <xf numFmtId="164" fontId="37" fillId="0" borderId="52" xfId="2" applyNumberFormat="1" applyFont="1" applyBorder="1" applyAlignment="1">
      <alignment vertical="center"/>
    </xf>
    <xf numFmtId="0" fontId="30" fillId="0" borderId="104" xfId="0" applyFont="1" applyBorder="1" applyAlignment="1">
      <alignment horizontal="left" vertical="center" wrapText="1"/>
    </xf>
    <xf numFmtId="164" fontId="30" fillId="0" borderId="103" xfId="2" applyNumberFormat="1" applyFont="1" applyBorder="1" applyAlignment="1">
      <alignment horizontal="center" vertical="center"/>
    </xf>
    <xf numFmtId="164" fontId="30" fillId="0" borderId="47" xfId="2" applyNumberFormat="1" applyFont="1" applyBorder="1" applyAlignment="1">
      <alignment horizontal="center" vertical="center"/>
    </xf>
    <xf numFmtId="0" fontId="36" fillId="0" borderId="58" xfId="0" applyFont="1" applyBorder="1" applyAlignment="1">
      <alignment vertical="center"/>
    </xf>
    <xf numFmtId="9" fontId="36" fillId="0" borderId="3" xfId="12" applyFont="1" applyBorder="1" applyAlignment="1">
      <alignment horizontal="center" vertical="center"/>
    </xf>
    <xf numFmtId="0" fontId="51" fillId="0" borderId="58" xfId="0" applyFont="1" applyBorder="1" applyAlignment="1">
      <alignment vertical="center" wrapText="1"/>
    </xf>
    <xf numFmtId="0" fontId="30" fillId="0" borderId="104" xfId="0" applyFont="1" applyBorder="1" applyAlignment="1">
      <alignment vertical="center" wrapText="1"/>
    </xf>
    <xf numFmtId="164" fontId="30" fillId="0" borderId="103" xfId="2" applyNumberFormat="1" applyFont="1" applyBorder="1" applyAlignment="1">
      <alignment vertical="center"/>
    </xf>
    <xf numFmtId="0" fontId="30" fillId="0" borderId="0" xfId="12" applyNumberFormat="1" applyFont="1" applyBorder="1" applyAlignment="1">
      <alignment vertical="center"/>
    </xf>
    <xf numFmtId="173" fontId="30" fillId="0" borderId="0" xfId="12" applyNumberFormat="1" applyFont="1" applyBorder="1" applyAlignment="1">
      <alignment vertical="center"/>
    </xf>
    <xf numFmtId="164" fontId="36" fillId="0" borderId="122" xfId="0" applyNumberFormat="1" applyFont="1" applyBorder="1" applyAlignment="1">
      <alignment vertical="center"/>
    </xf>
    <xf numFmtId="0" fontId="51" fillId="0" borderId="61" xfId="0" applyFont="1" applyBorder="1" applyAlignment="1">
      <alignment vertical="center" wrapText="1"/>
    </xf>
    <xf numFmtId="0" fontId="51" fillId="0" borderId="115" xfId="0" applyFont="1" applyBorder="1" applyAlignment="1">
      <alignment vertical="center"/>
    </xf>
    <xf numFmtId="164" fontId="51" fillId="0" borderId="31" xfId="0" applyNumberFormat="1" applyFont="1" applyBorder="1" applyAlignment="1">
      <alignment vertical="center"/>
    </xf>
    <xf numFmtId="0" fontId="51" fillId="0" borderId="32" xfId="0" applyFont="1" applyBorder="1" applyAlignment="1">
      <alignment horizontal="center" vertical="center"/>
    </xf>
    <xf numFmtId="0" fontId="54" fillId="0" borderId="0" xfId="12" applyNumberFormat="1" applyFont="1" applyBorder="1" applyAlignment="1">
      <alignment vertical="center" wrapText="1"/>
    </xf>
    <xf numFmtId="0" fontId="36" fillId="0" borderId="15" xfId="0" applyFont="1" applyBorder="1" applyAlignment="1">
      <alignment horizontal="left" vertical="center"/>
    </xf>
    <xf numFmtId="0" fontId="30" fillId="0" borderId="100" xfId="0" applyFont="1" applyBorder="1" applyAlignment="1">
      <alignment horizontal="left" vertical="center"/>
    </xf>
    <xf numFmtId="9" fontId="30" fillId="0" borderId="104" xfId="0" applyNumberFormat="1" applyFont="1" applyBorder="1" applyAlignment="1">
      <alignment horizontal="center" vertical="center"/>
    </xf>
    <xf numFmtId="9" fontId="36" fillId="0" borderId="58" xfId="0" applyNumberFormat="1" applyFont="1" applyBorder="1" applyAlignment="1">
      <alignment horizontal="center" vertical="center"/>
    </xf>
    <xf numFmtId="164" fontId="36" fillId="0" borderId="122" xfId="2" applyNumberFormat="1" applyFont="1" applyFill="1" applyBorder="1" applyAlignment="1">
      <alignment horizontal="center" vertical="center"/>
    </xf>
    <xf numFmtId="164" fontId="36" fillId="0" borderId="2" xfId="2" applyNumberFormat="1" applyFont="1" applyBorder="1" applyAlignment="1">
      <alignment horizontal="center" vertical="center"/>
    </xf>
    <xf numFmtId="164" fontId="51" fillId="0" borderId="122" xfId="2" applyNumberFormat="1" applyFont="1" applyBorder="1" applyAlignment="1">
      <alignment horizontal="center" vertical="center"/>
    </xf>
    <xf numFmtId="164" fontId="51" fillId="0" borderId="2" xfId="2" applyNumberFormat="1" applyFont="1" applyBorder="1" applyAlignment="1">
      <alignment horizontal="center" vertical="center"/>
    </xf>
    <xf numFmtId="164" fontId="51" fillId="0" borderId="3" xfId="2" applyNumberFormat="1" applyFont="1" applyBorder="1" applyAlignment="1">
      <alignment horizontal="center" vertical="center"/>
    </xf>
    <xf numFmtId="0" fontId="54" fillId="0" borderId="0" xfId="0" applyFont="1" applyAlignment="1">
      <alignment vertical="center" wrapText="1"/>
    </xf>
    <xf numFmtId="0" fontId="154" fillId="0" borderId="0" xfId="0" applyFont="1" applyAlignment="1">
      <alignment vertical="center"/>
    </xf>
    <xf numFmtId="0" fontId="155" fillId="38" borderId="4" xfId="0" applyFont="1" applyFill="1" applyBorder="1" applyAlignment="1">
      <alignment horizontal="center" vertical="center"/>
    </xf>
    <xf numFmtId="0" fontId="155" fillId="38" borderId="27" xfId="0" applyFont="1" applyFill="1" applyBorder="1" applyAlignment="1">
      <alignment horizontal="center" vertical="center"/>
    </xf>
    <xf numFmtId="0" fontId="154" fillId="0" borderId="0" xfId="0" applyFont="1"/>
    <xf numFmtId="0" fontId="155" fillId="37" borderId="18" xfId="0" applyFont="1" applyFill="1" applyBorder="1" applyAlignment="1">
      <alignment horizontal="center" vertical="center"/>
    </xf>
    <xf numFmtId="0" fontId="155" fillId="37" borderId="123" xfId="0" applyFont="1" applyFill="1" applyBorder="1" applyAlignment="1">
      <alignment horizontal="center" vertical="center" wrapText="1"/>
    </xf>
    <xf numFmtId="0" fontId="155" fillId="37" borderId="116" xfId="0" applyFont="1" applyFill="1" applyBorder="1" applyAlignment="1">
      <alignment horizontal="center" vertical="center" wrapText="1"/>
    </xf>
    <xf numFmtId="0" fontId="156" fillId="37" borderId="27" xfId="0" applyFont="1" applyFill="1" applyBorder="1" applyAlignment="1">
      <alignment horizontal="center" vertical="center" wrapText="1"/>
    </xf>
    <xf numFmtId="0" fontId="157" fillId="0" borderId="21" xfId="0" applyFont="1" applyBorder="1" applyAlignment="1">
      <alignment vertical="center"/>
    </xf>
    <xf numFmtId="164" fontId="154" fillId="0" borderId="19" xfId="2" applyNumberFormat="1" applyFont="1" applyBorder="1" applyAlignment="1">
      <alignment vertical="center"/>
    </xf>
    <xf numFmtId="0" fontId="157" fillId="0" borderId="24" xfId="0" applyFont="1" applyBorder="1" applyAlignment="1">
      <alignment vertical="center"/>
    </xf>
    <xf numFmtId="164" fontId="157" fillId="0" borderId="7" xfId="2" applyNumberFormat="1" applyFont="1" applyFill="1" applyBorder="1" applyAlignment="1">
      <alignment vertical="center"/>
    </xf>
    <xf numFmtId="164" fontId="154" fillId="0" borderId="7" xfId="2" applyNumberFormat="1" applyFont="1" applyBorder="1" applyAlignment="1">
      <alignment vertical="center"/>
    </xf>
    <xf numFmtId="0" fontId="158" fillId="0" borderId="9" xfId="0" applyFont="1" applyBorder="1" applyAlignment="1">
      <alignment vertical="center"/>
    </xf>
    <xf numFmtId="164" fontId="158" fillId="0" borderId="10" xfId="2" applyNumberFormat="1" applyFont="1" applyBorder="1" applyAlignment="1">
      <alignment vertical="center"/>
    </xf>
    <xf numFmtId="0" fontId="154" fillId="0" borderId="1" xfId="0" applyFont="1" applyBorder="1" applyAlignment="1">
      <alignment vertical="center"/>
    </xf>
    <xf numFmtId="0" fontId="160" fillId="0" borderId="2" xfId="0" applyFont="1" applyBorder="1" applyAlignment="1">
      <alignment horizontal="center" vertical="center"/>
    </xf>
    <xf numFmtId="0" fontId="160" fillId="0" borderId="3" xfId="0" applyFont="1" applyBorder="1" applyAlignment="1">
      <alignment horizontal="center" vertical="center"/>
    </xf>
    <xf numFmtId="0" fontId="154" fillId="0" borderId="21" xfId="0" applyFont="1" applyBorder="1" applyAlignment="1">
      <alignment vertical="center"/>
    </xf>
    <xf numFmtId="0" fontId="154" fillId="0" borderId="22" xfId="0" applyFont="1" applyBorder="1" applyAlignment="1">
      <alignment vertical="center"/>
    </xf>
    <xf numFmtId="164" fontId="154" fillId="0" borderId="23" xfId="2" applyNumberFormat="1" applyFont="1" applyBorder="1" applyAlignment="1">
      <alignment vertical="center"/>
    </xf>
    <xf numFmtId="0" fontId="154" fillId="0" borderId="24" xfId="0" applyFont="1" applyBorder="1" applyAlignment="1">
      <alignment vertical="center"/>
    </xf>
    <xf numFmtId="174" fontId="154" fillId="0" borderId="7" xfId="0" applyNumberFormat="1" applyFont="1" applyBorder="1" applyAlignment="1">
      <alignment vertical="center"/>
    </xf>
    <xf numFmtId="164" fontId="154" fillId="0" borderId="25" xfId="2" applyNumberFormat="1" applyFont="1" applyBorder="1" applyAlignment="1">
      <alignment vertical="center"/>
    </xf>
    <xf numFmtId="170" fontId="154" fillId="0" borderId="0" xfId="0" applyNumberFormat="1" applyFont="1" applyAlignment="1">
      <alignment vertical="center"/>
    </xf>
    <xf numFmtId="0" fontId="154" fillId="0" borderId="110" xfId="0" applyFont="1" applyBorder="1" applyAlignment="1">
      <alignment vertical="center"/>
    </xf>
    <xf numFmtId="174" fontId="154" fillId="0" borderId="47" xfId="0" applyNumberFormat="1" applyFont="1" applyBorder="1" applyAlignment="1">
      <alignment vertical="center"/>
    </xf>
    <xf numFmtId="164" fontId="154" fillId="0" borderId="111" xfId="2" applyNumberFormat="1" applyFont="1" applyBorder="1" applyAlignment="1">
      <alignment vertical="center"/>
    </xf>
    <xf numFmtId="0" fontId="160" fillId="0" borderId="1" xfId="0" applyFont="1" applyBorder="1" applyAlignment="1">
      <alignment vertical="center"/>
    </xf>
    <xf numFmtId="168" fontId="160" fillId="0" borderId="2" xfId="0" applyNumberFormat="1" applyFont="1" applyBorder="1" applyAlignment="1">
      <alignment vertical="center"/>
    </xf>
    <xf numFmtId="164" fontId="160" fillId="0" borderId="3" xfId="2" applyNumberFormat="1" applyFont="1" applyBorder="1" applyAlignment="1">
      <alignment vertical="center"/>
    </xf>
    <xf numFmtId="0" fontId="160" fillId="0" borderId="16" xfId="0" applyFont="1" applyBorder="1" applyAlignment="1">
      <alignment vertical="center"/>
    </xf>
    <xf numFmtId="9" fontId="160" fillId="0" borderId="17" xfId="12" applyFont="1" applyBorder="1" applyAlignment="1">
      <alignment vertical="center"/>
    </xf>
    <xf numFmtId="0" fontId="159" fillId="0" borderId="15" xfId="0" applyFont="1" applyBorder="1" applyAlignment="1">
      <alignment vertical="center"/>
    </xf>
    <xf numFmtId="9" fontId="159" fillId="0" borderId="17" xfId="0" applyNumberFormat="1" applyFont="1" applyBorder="1" applyAlignment="1">
      <alignment vertical="center"/>
    </xf>
    <xf numFmtId="0" fontId="155" fillId="38" borderId="15" xfId="0" applyFont="1" applyFill="1" applyBorder="1" applyAlignment="1">
      <alignment horizontal="center" vertical="center"/>
    </xf>
    <xf numFmtId="0" fontId="155" fillId="38" borderId="3" xfId="0" applyFont="1" applyFill="1" applyBorder="1" applyAlignment="1">
      <alignment horizontal="center" vertical="center"/>
    </xf>
    <xf numFmtId="0" fontId="155" fillId="37" borderId="55" xfId="0" applyFont="1" applyFill="1" applyBorder="1" applyAlignment="1">
      <alignment horizontal="center" vertical="center" wrapText="1"/>
    </xf>
    <xf numFmtId="0" fontId="156" fillId="37" borderId="20" xfId="0" applyFont="1" applyFill="1" applyBorder="1" applyAlignment="1">
      <alignment horizontal="center" vertical="center" wrapText="1"/>
    </xf>
    <xf numFmtId="0" fontId="161" fillId="37" borderId="3" xfId="0" applyFont="1" applyFill="1" applyBorder="1" applyAlignment="1">
      <alignment horizontal="center" vertical="center" wrapText="1"/>
    </xf>
    <xf numFmtId="0" fontId="162" fillId="0" borderId="24" xfId="0" applyFont="1" applyBorder="1" applyAlignment="1">
      <alignment vertical="center"/>
    </xf>
    <xf numFmtId="0" fontId="31" fillId="0" borderId="9" xfId="0" applyFont="1" applyBorder="1" applyAlignment="1">
      <alignment vertical="center"/>
    </xf>
    <xf numFmtId="0" fontId="155" fillId="37" borderId="1" xfId="0" applyFont="1" applyFill="1" applyBorder="1" applyAlignment="1">
      <alignment horizontal="center" vertical="center"/>
    </xf>
    <xf numFmtId="0" fontId="155" fillId="37" borderId="2" xfId="0" applyFont="1" applyFill="1" applyBorder="1" applyAlignment="1">
      <alignment horizontal="center" vertical="center" wrapText="1"/>
    </xf>
    <xf numFmtId="9" fontId="165" fillId="0" borderId="25" xfId="12" applyFont="1" applyBorder="1" applyAlignment="1">
      <alignment horizontal="center" vertical="center"/>
    </xf>
    <xf numFmtId="177" fontId="30" fillId="0" borderId="0" xfId="0" applyNumberFormat="1" applyFont="1" applyAlignment="1">
      <alignment vertical="center"/>
    </xf>
    <xf numFmtId="176" fontId="30" fillId="0" borderId="0" xfId="2" applyNumberFormat="1" applyFont="1" applyAlignment="1">
      <alignment vertical="center"/>
    </xf>
    <xf numFmtId="0" fontId="40" fillId="84" borderId="24" xfId="0" applyFont="1" applyFill="1" applyBorder="1" applyAlignment="1">
      <alignment horizontal="center" vertical="center"/>
    </xf>
    <xf numFmtId="0" fontId="0" fillId="0" borderId="25" xfId="0" applyBorder="1"/>
    <xf numFmtId="171" fontId="30" fillId="0" borderId="19" xfId="0" applyNumberFormat="1" applyFont="1" applyBorder="1" applyAlignment="1">
      <alignment horizontal="right" vertical="center" wrapText="1"/>
    </xf>
    <xf numFmtId="171" fontId="30" fillId="0" borderId="7" xfId="0" applyNumberFormat="1" applyFont="1" applyBorder="1" applyAlignment="1">
      <alignment horizontal="right" vertical="center"/>
    </xf>
    <xf numFmtId="0" fontId="94" fillId="3" borderId="18" xfId="0" applyFont="1" applyFill="1" applyBorder="1" applyAlignment="1">
      <alignment horizontal="left" vertical="center" wrapText="1"/>
    </xf>
    <xf numFmtId="0" fontId="94" fillId="3" borderId="19" xfId="0" applyFont="1" applyFill="1" applyBorder="1" applyAlignment="1">
      <alignment horizontal="left" vertical="center" wrapText="1"/>
    </xf>
    <xf numFmtId="43" fontId="30" fillId="0" borderId="10" xfId="2" applyFont="1" applyFill="1" applyBorder="1" applyAlignment="1">
      <alignment vertical="center"/>
    </xf>
    <xf numFmtId="0" fontId="166" fillId="0" borderId="10" xfId="0" applyFont="1" applyBorder="1" applyAlignment="1">
      <alignment horizontal="center" vertical="center" wrapText="1"/>
    </xf>
    <xf numFmtId="9" fontId="166" fillId="0" borderId="11" xfId="0" applyNumberFormat="1" applyFont="1" applyBorder="1" applyAlignment="1">
      <alignment horizontal="center" vertical="center" wrapText="1"/>
    </xf>
    <xf numFmtId="0" fontId="167" fillId="84" borderId="19" xfId="0" applyFont="1" applyFill="1" applyBorder="1" applyAlignment="1">
      <alignment horizontal="center" vertical="center" wrapText="1"/>
    </xf>
    <xf numFmtId="0" fontId="167" fillId="84" borderId="20" xfId="0" applyFont="1" applyFill="1" applyBorder="1" applyAlignment="1">
      <alignment horizontal="center" vertical="center" wrapText="1"/>
    </xf>
    <xf numFmtId="9" fontId="36" fillId="30" borderId="3" xfId="12" applyFont="1" applyFill="1" applyBorder="1" applyAlignment="1">
      <alignment vertical="center"/>
    </xf>
    <xf numFmtId="0" fontId="47" fillId="70" borderId="204" xfId="5" applyFont="1" applyFill="1" applyBorder="1" applyAlignment="1">
      <alignment horizontal="center" vertical="center" wrapText="1"/>
    </xf>
    <xf numFmtId="0" fontId="47" fillId="68" borderId="76" xfId="5" applyFont="1" applyFill="1" applyBorder="1" applyAlignment="1">
      <alignment horizontal="center" vertical="center" wrapText="1"/>
    </xf>
    <xf numFmtId="0" fontId="47" fillId="70" borderId="76" xfId="5" applyFont="1" applyFill="1" applyBorder="1" applyAlignment="1">
      <alignment horizontal="center" vertical="center" wrapText="1"/>
    </xf>
    <xf numFmtId="0" fontId="47" fillId="83" borderId="77" xfId="5" applyFont="1" applyFill="1" applyBorder="1" applyAlignment="1">
      <alignment horizontal="center" vertical="center" wrapText="1"/>
    </xf>
    <xf numFmtId="164" fontId="124" fillId="0" borderId="2" xfId="2" applyNumberFormat="1" applyFont="1" applyFill="1" applyBorder="1" applyAlignment="1">
      <alignment vertical="center"/>
    </xf>
    <xf numFmtId="0" fontId="42" fillId="0" borderId="36" xfId="0" applyFont="1" applyBorder="1" applyAlignment="1">
      <alignment horizontal="center" vertical="center"/>
    </xf>
    <xf numFmtId="164" fontId="57" fillId="0" borderId="18" xfId="2" applyNumberFormat="1" applyFont="1" applyFill="1" applyBorder="1" applyAlignment="1">
      <alignment vertical="center"/>
    </xf>
    <xf numFmtId="164" fontId="57" fillId="0" borderId="19" xfId="2" applyNumberFormat="1" applyFont="1" applyFill="1" applyBorder="1" applyAlignment="1">
      <alignment vertical="center"/>
    </xf>
    <xf numFmtId="164" fontId="57" fillId="0" borderId="55" xfId="2" applyNumberFormat="1" applyFont="1" applyFill="1" applyBorder="1" applyAlignment="1">
      <alignment vertical="center"/>
    </xf>
    <xf numFmtId="0" fontId="123" fillId="0" borderId="15" xfId="9" applyFont="1" applyBorder="1" applyAlignment="1">
      <alignment horizontal="left" vertical="center" wrapText="1"/>
    </xf>
    <xf numFmtId="164" fontId="123" fillId="0" borderId="1" xfId="2" applyNumberFormat="1" applyFont="1" applyFill="1" applyBorder="1" applyAlignment="1">
      <alignment vertical="center"/>
    </xf>
    <xf numFmtId="164" fontId="123" fillId="0" borderId="2" xfId="2" applyNumberFormat="1" applyFont="1" applyFill="1" applyBorder="1" applyAlignment="1">
      <alignment vertical="center"/>
    </xf>
    <xf numFmtId="164" fontId="123" fillId="0" borderId="57" xfId="2" applyNumberFormat="1" applyFont="1" applyFill="1" applyBorder="1" applyAlignment="1">
      <alignment vertical="center"/>
    </xf>
    <xf numFmtId="0" fontId="148" fillId="0" borderId="58" xfId="0" quotePrefix="1" applyFont="1" applyBorder="1"/>
    <xf numFmtId="0" fontId="22" fillId="0" borderId="36" xfId="0" applyFont="1" applyBorder="1" applyAlignment="1">
      <alignment vertical="center"/>
    </xf>
    <xf numFmtId="0" fontId="123" fillId="0" borderId="33" xfId="9" applyFont="1" applyBorder="1" applyAlignment="1">
      <alignment horizontal="left" vertical="center" wrapText="1"/>
    </xf>
    <xf numFmtId="164" fontId="123" fillId="0" borderId="33" xfId="2" applyNumberFormat="1" applyFont="1" applyFill="1" applyBorder="1" applyAlignment="1">
      <alignment vertical="center"/>
    </xf>
    <xf numFmtId="164" fontId="123" fillId="0" borderId="31" xfId="2" applyNumberFormat="1" applyFont="1" applyFill="1" applyBorder="1" applyAlignment="1">
      <alignment vertical="center"/>
    </xf>
    <xf numFmtId="164" fontId="123" fillId="0" borderId="112" xfId="2" applyNumberFormat="1" applyFont="1" applyFill="1" applyBorder="1" applyAlignment="1">
      <alignment vertical="center"/>
    </xf>
    <xf numFmtId="0" fontId="148" fillId="0" borderId="61" xfId="0" applyFont="1" applyBorder="1" applyAlignment="1">
      <alignment vertical="top" wrapText="1"/>
    </xf>
    <xf numFmtId="171" fontId="62" fillId="0" borderId="0" xfId="0" applyNumberFormat="1" applyFont="1" applyAlignment="1">
      <alignment wrapText="1"/>
    </xf>
    <xf numFmtId="1" fontId="62" fillId="0" borderId="0" xfId="0" applyNumberFormat="1" applyFont="1"/>
    <xf numFmtId="0" fontId="57" fillId="0" borderId="25" xfId="5" quotePrefix="1" applyFont="1" applyBorder="1" applyAlignment="1">
      <alignment vertical="center" wrapText="1"/>
    </xf>
    <xf numFmtId="0" fontId="103" fillId="48" borderId="15" xfId="9" applyFont="1" applyFill="1" applyBorder="1" applyAlignment="1">
      <alignment horizontal="center" vertical="center" wrapText="1"/>
    </xf>
    <xf numFmtId="0" fontId="160" fillId="0" borderId="50" xfId="0" applyFont="1" applyBorder="1" applyAlignment="1">
      <alignment vertical="center"/>
    </xf>
    <xf numFmtId="164" fontId="160" fillId="0" borderId="32" xfId="2" applyNumberFormat="1" applyFont="1" applyBorder="1" applyAlignment="1">
      <alignment vertical="center"/>
    </xf>
    <xf numFmtId="0" fontId="154" fillId="0" borderId="18" xfId="0" applyFont="1" applyBorder="1" applyAlignment="1">
      <alignment vertical="center"/>
    </xf>
    <xf numFmtId="164" fontId="154" fillId="0" borderId="20" xfId="2" applyNumberFormat="1" applyFont="1" applyBorder="1" applyAlignment="1">
      <alignment vertical="center"/>
    </xf>
    <xf numFmtId="164" fontId="50" fillId="0" borderId="111" xfId="2" applyNumberFormat="1" applyFont="1" applyBorder="1" applyAlignment="1">
      <alignment vertical="center"/>
    </xf>
    <xf numFmtId="164" fontId="160" fillId="0" borderId="2" xfId="2" applyNumberFormat="1" applyFont="1" applyBorder="1" applyAlignment="1">
      <alignment vertical="center"/>
    </xf>
    <xf numFmtId="0" fontId="154" fillId="0" borderId="54" xfId="0" applyFont="1" applyBorder="1" applyAlignment="1">
      <alignment vertical="center"/>
    </xf>
    <xf numFmtId="0" fontId="160" fillId="0" borderId="26" xfId="0" applyFont="1" applyBorder="1" applyAlignment="1">
      <alignment horizontal="center" vertical="center"/>
    </xf>
    <xf numFmtId="0" fontId="160" fillId="0" borderId="27" xfId="0" applyFont="1" applyBorder="1" applyAlignment="1">
      <alignment horizontal="center" vertical="center"/>
    </xf>
    <xf numFmtId="164" fontId="160" fillId="0" borderId="31" xfId="2" applyNumberFormat="1" applyFont="1" applyBorder="1" applyAlignment="1">
      <alignment vertical="center"/>
    </xf>
    <xf numFmtId="0" fontId="154" fillId="0" borderId="9" xfId="0" applyFont="1" applyBorder="1" applyAlignment="1">
      <alignment vertical="center"/>
    </xf>
    <xf numFmtId="164" fontId="154" fillId="0" borderId="10" xfId="2" applyNumberFormat="1" applyFont="1" applyBorder="1" applyAlignment="1">
      <alignment vertical="center"/>
    </xf>
    <xf numFmtId="164" fontId="154" fillId="0" borderId="11" xfId="2" applyNumberFormat="1" applyFont="1" applyBorder="1" applyAlignment="1">
      <alignment vertical="center"/>
    </xf>
    <xf numFmtId="0" fontId="48" fillId="0" borderId="0" xfId="0" applyFont="1"/>
    <xf numFmtId="0" fontId="36" fillId="0" borderId="59" xfId="9" applyFont="1" applyBorder="1" applyAlignment="1">
      <alignment horizontal="center" vertical="center" wrapText="1"/>
    </xf>
    <xf numFmtId="9" fontId="30" fillId="0" borderId="7" xfId="0" applyNumberFormat="1" applyFont="1" applyBorder="1" applyAlignment="1">
      <alignment horizontal="center"/>
    </xf>
    <xf numFmtId="176" fontId="30" fillId="0" borderId="24" xfId="2" applyNumberFormat="1" applyFont="1" applyBorder="1" applyAlignment="1">
      <alignment vertical="center" wrapText="1"/>
    </xf>
    <xf numFmtId="0" fontId="36" fillId="32" borderId="110" xfId="0" applyFont="1" applyFill="1" applyBorder="1" applyAlignment="1">
      <alignment horizontal="center" vertical="center" wrapText="1"/>
    </xf>
    <xf numFmtId="173" fontId="30" fillId="0" borderId="111" xfId="12" applyNumberFormat="1" applyFont="1" applyBorder="1" applyAlignment="1">
      <alignment vertical="center"/>
    </xf>
    <xf numFmtId="0" fontId="32" fillId="6" borderId="36" xfId="5" applyFont="1" applyFill="1" applyBorder="1" applyAlignment="1">
      <alignment horizontal="center" vertical="center"/>
    </xf>
    <xf numFmtId="0" fontId="32" fillId="6" borderId="40" xfId="5" applyFont="1" applyFill="1" applyBorder="1" applyAlignment="1">
      <alignment horizontal="center" vertical="center"/>
    </xf>
    <xf numFmtId="0" fontId="32" fillId="6" borderId="42" xfId="5" applyFont="1" applyFill="1" applyBorder="1" applyAlignment="1">
      <alignment horizontal="center" vertical="center"/>
    </xf>
    <xf numFmtId="164" fontId="53" fillId="0" borderId="122" xfId="2" applyNumberFormat="1" applyFont="1" applyFill="1" applyBorder="1" applyAlignment="1">
      <alignment vertical="center"/>
    </xf>
    <xf numFmtId="0" fontId="32" fillId="6" borderId="58" xfId="5" applyFont="1" applyFill="1" applyBorder="1" applyAlignment="1">
      <alignment horizontal="center" vertical="center"/>
    </xf>
    <xf numFmtId="0" fontId="30" fillId="0" borderId="135" xfId="5" applyFont="1" applyBorder="1" applyAlignment="1">
      <alignment horizontal="left" vertical="center" wrapText="1"/>
    </xf>
    <xf numFmtId="9" fontId="30" fillId="0" borderId="205" xfId="12" applyFont="1" applyFill="1" applyBorder="1" applyAlignment="1">
      <alignment horizontal="right" vertical="center"/>
    </xf>
    <xf numFmtId="0" fontId="30" fillId="0" borderId="206" xfId="5" applyFont="1" applyBorder="1" applyAlignment="1">
      <alignment vertical="center" wrapText="1"/>
    </xf>
    <xf numFmtId="9" fontId="30" fillId="0" borderId="207" xfId="12" applyFont="1" applyFill="1" applyBorder="1" applyAlignment="1">
      <alignment horizontal="right" vertical="center"/>
    </xf>
    <xf numFmtId="0" fontId="30" fillId="0" borderId="208" xfId="5" applyFont="1" applyBorder="1" applyAlignment="1">
      <alignment vertical="center" wrapText="1"/>
    </xf>
    <xf numFmtId="9" fontId="30" fillId="0" borderId="209" xfId="12" applyFont="1" applyFill="1" applyBorder="1" applyAlignment="1">
      <alignment horizontal="right" vertical="center"/>
    </xf>
    <xf numFmtId="0" fontId="30" fillId="0" borderId="210" xfId="5" applyFont="1" applyBorder="1" applyAlignment="1">
      <alignment vertical="center" wrapText="1"/>
    </xf>
    <xf numFmtId="9" fontId="30" fillId="0" borderId="211" xfId="12" applyFont="1" applyFill="1" applyBorder="1" applyAlignment="1">
      <alignment horizontal="right" vertical="center"/>
    </xf>
    <xf numFmtId="0" fontId="57" fillId="39" borderId="0" xfId="5" applyFont="1" applyFill="1" applyAlignment="1">
      <alignment vertical="center"/>
    </xf>
    <xf numFmtId="0" fontId="57" fillId="39" borderId="0" xfId="5" quotePrefix="1" applyFont="1" applyFill="1" applyAlignment="1">
      <alignment vertical="center"/>
    </xf>
    <xf numFmtId="9" fontId="10" fillId="0" borderId="7" xfId="0" applyNumberFormat="1" applyFont="1" applyBorder="1" applyAlignment="1">
      <alignment horizontal="right" vertical="center"/>
    </xf>
    <xf numFmtId="9" fontId="0" fillId="0" borderId="7" xfId="0" applyNumberFormat="1" applyBorder="1" applyAlignment="1">
      <alignment horizontal="right" vertical="center"/>
    </xf>
    <xf numFmtId="0" fontId="57" fillId="0" borderId="0" xfId="5" quotePrefix="1" applyFont="1" applyAlignment="1">
      <alignment horizontal="left" vertical="center" wrapText="1"/>
    </xf>
    <xf numFmtId="0" fontId="30" fillId="12" borderId="36" xfId="4" applyFont="1" applyFill="1" applyBorder="1" applyAlignment="1">
      <alignment vertical="center" wrapText="1"/>
    </xf>
    <xf numFmtId="0" fontId="30" fillId="12" borderId="40" xfId="4" applyFont="1" applyFill="1" applyBorder="1" applyAlignment="1">
      <alignment vertical="center" wrapText="1"/>
    </xf>
    <xf numFmtId="0" fontId="30" fillId="12" borderId="42" xfId="4" applyFont="1" applyFill="1" applyBorder="1" applyAlignment="1">
      <alignment vertical="center" wrapText="1"/>
    </xf>
    <xf numFmtId="0" fontId="168" fillId="0" borderId="0" xfId="0" applyFont="1" applyAlignment="1">
      <alignment vertical="center"/>
    </xf>
    <xf numFmtId="0" fontId="53" fillId="0" borderId="24" xfId="5" applyFont="1" applyBorder="1" applyAlignment="1">
      <alignment vertical="center"/>
    </xf>
    <xf numFmtId="0" fontId="70" fillId="48" borderId="54" xfId="0" applyFont="1" applyFill="1" applyBorder="1" applyAlignment="1">
      <alignment horizontal="center" vertical="center"/>
    </xf>
    <xf numFmtId="170" fontId="30" fillId="0" borderId="20" xfId="0" applyNumberFormat="1" applyFont="1" applyBorder="1" applyAlignment="1">
      <alignment vertical="center"/>
    </xf>
    <xf numFmtId="170" fontId="30" fillId="0" borderId="25" xfId="0" applyNumberFormat="1" applyFont="1" applyBorder="1" applyAlignment="1">
      <alignment vertical="center"/>
    </xf>
    <xf numFmtId="0" fontId="51" fillId="0" borderId="9" xfId="0" applyFont="1" applyBorder="1" applyAlignment="1">
      <alignment vertical="center"/>
    </xf>
    <xf numFmtId="9" fontId="51" fillId="0" borderId="11" xfId="12" applyFont="1" applyBorder="1" applyAlignment="1">
      <alignment vertical="center"/>
    </xf>
    <xf numFmtId="170" fontId="53" fillId="0" borderId="19" xfId="5" applyNumberFormat="1" applyFont="1" applyBorder="1" applyAlignment="1">
      <alignment vertical="center"/>
    </xf>
    <xf numFmtId="170" fontId="53" fillId="0" borderId="7" xfId="5" applyNumberFormat="1" applyFont="1" applyBorder="1" applyAlignment="1">
      <alignment vertical="center"/>
    </xf>
    <xf numFmtId="9" fontId="55" fillId="0" borderId="10" xfId="12" applyFont="1" applyBorder="1" applyAlignment="1">
      <alignment vertical="center"/>
    </xf>
    <xf numFmtId="0" fontId="57" fillId="0" borderId="0" xfId="5" applyFont="1" applyAlignment="1">
      <alignment vertical="center" wrapText="1"/>
    </xf>
    <xf numFmtId="0" fontId="65" fillId="19" borderId="29" xfId="5" applyFont="1" applyFill="1" applyBorder="1" applyAlignment="1">
      <alignment horizontal="center" vertical="center"/>
    </xf>
    <xf numFmtId="9" fontId="117" fillId="0" borderId="0" xfId="12" applyFont="1" applyBorder="1" applyAlignment="1">
      <alignment vertical="center"/>
    </xf>
    <xf numFmtId="0" fontId="57" fillId="0" borderId="0" xfId="5" applyFont="1" applyAlignment="1">
      <alignment horizontal="left" vertical="center"/>
    </xf>
    <xf numFmtId="0" fontId="57" fillId="0" borderId="0" xfId="5" quotePrefix="1" applyFont="1" applyAlignment="1">
      <alignment vertical="center"/>
    </xf>
    <xf numFmtId="0" fontId="93" fillId="0" borderId="0" xfId="5" quotePrefix="1" applyFont="1" applyAlignment="1">
      <alignment vertical="center"/>
    </xf>
    <xf numFmtId="0" fontId="57" fillId="0" borderId="0" xfId="5" quotePrefix="1" applyFont="1" applyAlignment="1">
      <alignment horizontal="left" vertical="center"/>
    </xf>
    <xf numFmtId="0" fontId="93" fillId="0" borderId="0" xfId="5" applyFont="1" applyAlignment="1">
      <alignment vertical="center"/>
    </xf>
    <xf numFmtId="9" fontId="0" fillId="0" borderId="0" xfId="12" applyFont="1"/>
    <xf numFmtId="165" fontId="130" fillId="0" borderId="7" xfId="0" applyNumberFormat="1" applyFont="1" applyBorder="1" applyAlignment="1">
      <alignment vertical="center"/>
    </xf>
    <xf numFmtId="165" fontId="129" fillId="0" borderId="7" xfId="0" applyNumberFormat="1" applyFont="1" applyBorder="1" applyAlignment="1">
      <alignment horizontal="center" vertical="center"/>
    </xf>
    <xf numFmtId="9" fontId="129" fillId="0" borderId="7" xfId="12" applyFont="1" applyBorder="1" applyAlignment="1">
      <alignment horizontal="center" vertical="center"/>
    </xf>
    <xf numFmtId="0" fontId="94" fillId="3" borderId="19" xfId="0" applyFont="1" applyFill="1" applyBorder="1" applyAlignment="1">
      <alignment horizontal="center" vertical="center" wrapText="1"/>
    </xf>
    <xf numFmtId="0" fontId="94" fillId="3" borderId="20" xfId="0" applyFont="1" applyFill="1" applyBorder="1" applyAlignment="1">
      <alignment horizontal="left" vertical="center" wrapText="1"/>
    </xf>
    <xf numFmtId="165" fontId="129" fillId="0" borderId="25" xfId="0" applyNumberFormat="1" applyFont="1" applyBorder="1" applyAlignment="1">
      <alignment horizontal="center" vertical="center"/>
    </xf>
    <xf numFmtId="9" fontId="129" fillId="0" borderId="25" xfId="12" applyFont="1" applyBorder="1" applyAlignment="1">
      <alignment horizontal="center" vertical="center"/>
    </xf>
    <xf numFmtId="165" fontId="130" fillId="0" borderId="10" xfId="0" applyNumberFormat="1" applyFont="1" applyBorder="1" applyAlignment="1">
      <alignment vertical="center"/>
    </xf>
    <xf numFmtId="9" fontId="129" fillId="0" borderId="10" xfId="12" applyFont="1" applyBorder="1" applyAlignment="1">
      <alignment horizontal="center" vertical="center"/>
    </xf>
    <xf numFmtId="9" fontId="129" fillId="0" borderId="11" xfId="12" applyFont="1" applyBorder="1" applyAlignment="1">
      <alignment horizontal="center" vertical="center"/>
    </xf>
    <xf numFmtId="0" fontId="169" fillId="0" borderId="0" xfId="0" applyFont="1" applyAlignment="1">
      <alignment vertical="center"/>
    </xf>
    <xf numFmtId="0" fontId="170" fillId="0" borderId="0" xfId="0" applyFont="1" applyAlignment="1">
      <alignment vertical="center"/>
    </xf>
    <xf numFmtId="0" fontId="57" fillId="0" borderId="0" xfId="0" applyFont="1" applyAlignment="1">
      <alignment horizontal="left" vertical="center" wrapText="1"/>
    </xf>
    <xf numFmtId="0" fontId="37" fillId="0" borderId="0" xfId="0" quotePrefix="1" applyFont="1" applyAlignment="1">
      <alignment vertical="center"/>
    </xf>
    <xf numFmtId="0" fontId="9" fillId="0" borderId="0" xfId="0" applyFont="1"/>
    <xf numFmtId="0" fontId="9" fillId="0" borderId="0" xfId="0" applyFont="1" applyAlignment="1">
      <alignment wrapText="1"/>
    </xf>
    <xf numFmtId="0" fontId="55" fillId="0" borderId="0" xfId="5" applyFont="1" applyAlignment="1">
      <alignment vertical="center"/>
    </xf>
    <xf numFmtId="9" fontId="57" fillId="0" borderId="0" xfId="5" applyNumberFormat="1" applyFont="1" applyAlignment="1">
      <alignment vertical="center"/>
    </xf>
    <xf numFmtId="9" fontId="0" fillId="0" borderId="0" xfId="0" applyNumberFormat="1"/>
    <xf numFmtId="0" fontId="30" fillId="0" borderId="20" xfId="0" applyFont="1" applyBorder="1" applyAlignment="1">
      <alignment vertical="top" wrapText="1"/>
    </xf>
    <xf numFmtId="0" fontId="133" fillId="38" borderId="0" xfId="0" applyFont="1" applyFill="1" applyAlignment="1">
      <alignment vertical="center"/>
    </xf>
    <xf numFmtId="0" fontId="30" fillId="38" borderId="0" xfId="0" applyFont="1" applyFill="1" applyAlignment="1">
      <alignment vertical="center"/>
    </xf>
    <xf numFmtId="0" fontId="36" fillId="38" borderId="0" xfId="0" applyFont="1" applyFill="1" applyAlignment="1">
      <alignment horizontal="center" vertical="center"/>
    </xf>
    <xf numFmtId="0" fontId="36" fillId="38" borderId="0" xfId="0" applyFont="1" applyFill="1" applyAlignment="1">
      <alignment vertical="center"/>
    </xf>
    <xf numFmtId="0" fontId="172" fillId="38" borderId="0" xfId="0" applyFont="1" applyFill="1" applyAlignment="1">
      <alignment vertical="center"/>
    </xf>
    <xf numFmtId="0" fontId="171" fillId="38" borderId="0" xfId="0" applyFont="1" applyFill="1" applyAlignment="1">
      <alignment vertical="center"/>
    </xf>
    <xf numFmtId="0" fontId="173" fillId="38" borderId="0" xfId="0" applyFont="1" applyFill="1" applyAlignment="1">
      <alignment vertical="center"/>
    </xf>
    <xf numFmtId="9" fontId="57" fillId="0" borderId="0" xfId="12" applyFont="1" applyBorder="1"/>
    <xf numFmtId="9" fontId="57" fillId="0" borderId="7" xfId="12" applyFont="1" applyBorder="1" applyAlignment="1">
      <alignment vertical="center"/>
    </xf>
    <xf numFmtId="9" fontId="66" fillId="0" borderId="7" xfId="12" applyFont="1" applyBorder="1" applyAlignment="1">
      <alignment vertical="center"/>
    </xf>
    <xf numFmtId="0" fontId="8" fillId="0" borderId="0" xfId="0" applyFont="1" applyAlignment="1">
      <alignment vertical="center"/>
    </xf>
    <xf numFmtId="9" fontId="40" fillId="0" borderId="3" xfId="0" applyNumberFormat="1" applyFont="1" applyBorder="1" applyAlignment="1">
      <alignment vertical="center"/>
    </xf>
    <xf numFmtId="0" fontId="52" fillId="52" borderId="15" xfId="8" applyFont="1" applyFill="1" applyBorder="1" applyAlignment="1">
      <alignment horizontal="center" vertical="center" wrapText="1"/>
    </xf>
    <xf numFmtId="9" fontId="30" fillId="0" borderId="20" xfId="0" applyNumberFormat="1" applyFont="1" applyBorder="1" applyAlignment="1">
      <alignment horizontal="center" vertical="center"/>
    </xf>
    <xf numFmtId="0" fontId="40" fillId="0" borderId="1" xfId="0" applyFont="1" applyBorder="1" applyAlignment="1">
      <alignment vertical="center" wrapText="1"/>
    </xf>
    <xf numFmtId="43" fontId="30" fillId="0" borderId="3" xfId="2" applyFont="1" applyBorder="1" applyAlignment="1">
      <alignment horizontal="center" vertical="center"/>
    </xf>
    <xf numFmtId="1" fontId="49" fillId="0" borderId="0" xfId="0" applyNumberFormat="1" applyFont="1" applyAlignment="1">
      <alignment vertical="center" wrapText="1"/>
    </xf>
    <xf numFmtId="9" fontId="57" fillId="0" borderId="0" xfId="12" applyFont="1" applyBorder="1" applyAlignment="1">
      <alignment vertical="center"/>
    </xf>
    <xf numFmtId="1" fontId="143" fillId="0" borderId="0" xfId="0" applyNumberFormat="1" applyFont="1" applyAlignment="1">
      <alignment vertical="center"/>
    </xf>
    <xf numFmtId="0" fontId="143" fillId="0" borderId="7" xfId="0" applyFont="1" applyBorder="1" applyAlignment="1">
      <alignment horizontal="center" vertical="center" wrapText="1"/>
    </xf>
    <xf numFmtId="9" fontId="54" fillId="0" borderId="7" xfId="12" applyFont="1" applyBorder="1" applyAlignment="1">
      <alignment horizontal="center" vertical="center"/>
    </xf>
    <xf numFmtId="9" fontId="54" fillId="0" borderId="7" xfId="0" applyNumberFormat="1" applyFont="1" applyBorder="1" applyAlignment="1">
      <alignment horizontal="center" vertical="center"/>
    </xf>
    <xf numFmtId="0" fontId="62" fillId="0" borderId="7" xfId="0" applyFont="1" applyBorder="1" applyAlignment="1">
      <alignment vertical="top" wrapText="1"/>
    </xf>
    <xf numFmtId="164" fontId="85" fillId="0" borderId="99" xfId="2" applyNumberFormat="1" applyFont="1" applyBorder="1" applyAlignment="1">
      <alignment horizontal="right" vertical="center"/>
    </xf>
    <xf numFmtId="164" fontId="30" fillId="0" borderId="109" xfId="2" applyNumberFormat="1" applyFont="1" applyFill="1" applyBorder="1" applyAlignment="1">
      <alignment horizontal="right" vertical="center"/>
    </xf>
    <xf numFmtId="0" fontId="146" fillId="38" borderId="0" xfId="0" applyFont="1" applyFill="1" applyAlignment="1">
      <alignment horizontal="left" vertical="center"/>
    </xf>
    <xf numFmtId="164" fontId="30" fillId="0" borderId="31" xfId="2" applyNumberFormat="1" applyFont="1" applyBorder="1" applyAlignment="1">
      <alignment vertical="center"/>
    </xf>
    <xf numFmtId="9" fontId="53" fillId="0" borderId="7" xfId="12" applyFont="1" applyBorder="1" applyAlignment="1">
      <alignment vertical="center"/>
    </xf>
    <xf numFmtId="2" fontId="53" fillId="0" borderId="7" xfId="0" applyNumberFormat="1" applyFont="1" applyBorder="1" applyAlignment="1">
      <alignment vertical="center"/>
    </xf>
    <xf numFmtId="0" fontId="47" fillId="0" borderId="22" xfId="0" applyFont="1" applyBorder="1" applyAlignment="1">
      <alignment vertical="center"/>
    </xf>
    <xf numFmtId="164" fontId="47" fillId="0" borderId="22" xfId="0" applyNumberFormat="1" applyFont="1" applyBorder="1" applyAlignment="1">
      <alignment vertical="center"/>
    </xf>
    <xf numFmtId="0" fontId="117" fillId="0" borderId="7" xfId="0" quotePrefix="1" applyFont="1" applyBorder="1" applyAlignment="1">
      <alignment vertical="center"/>
    </xf>
    <xf numFmtId="0" fontId="37" fillId="0" borderId="7" xfId="0" quotePrefix="1" applyFont="1" applyBorder="1" applyAlignment="1">
      <alignment vertical="center"/>
    </xf>
    <xf numFmtId="0" fontId="117" fillId="0" borderId="7" xfId="0" quotePrefix="1" applyFont="1" applyBorder="1" applyAlignment="1">
      <alignment horizontal="left" vertical="center"/>
    </xf>
    <xf numFmtId="164" fontId="53" fillId="0" borderId="7" xfId="2" applyNumberFormat="1" applyFont="1" applyFill="1" applyBorder="1" applyAlignment="1">
      <alignment vertical="center"/>
    </xf>
    <xf numFmtId="164" fontId="53" fillId="0" borderId="117" xfId="2" applyNumberFormat="1" applyFont="1" applyFill="1" applyBorder="1" applyAlignment="1">
      <alignment vertical="center"/>
    </xf>
    <xf numFmtId="164" fontId="53" fillId="0" borderId="121" xfId="2" applyNumberFormat="1" applyFont="1" applyFill="1" applyBorder="1" applyAlignment="1">
      <alignment vertical="center"/>
    </xf>
    <xf numFmtId="0" fontId="30" fillId="0" borderId="17" xfId="0" applyFont="1" applyBorder="1" applyAlignment="1">
      <alignment vertical="center"/>
    </xf>
    <xf numFmtId="2" fontId="30" fillId="0" borderId="15" xfId="0" applyNumberFormat="1" applyFont="1" applyBorder="1" applyAlignment="1">
      <alignment vertical="center"/>
    </xf>
    <xf numFmtId="0" fontId="53" fillId="0" borderId="12" xfId="0" applyFont="1" applyBorder="1" applyAlignment="1">
      <alignment vertical="center"/>
    </xf>
    <xf numFmtId="0" fontId="53" fillId="0" borderId="52" xfId="0" applyFont="1" applyBorder="1" applyAlignment="1">
      <alignment vertical="center"/>
    </xf>
    <xf numFmtId="164" fontId="30" fillId="0" borderId="159" xfId="2" applyNumberFormat="1" applyFont="1" applyBorder="1" applyAlignment="1">
      <alignment vertical="center"/>
    </xf>
    <xf numFmtId="164" fontId="30" fillId="0" borderId="158" xfId="2" applyNumberFormat="1" applyFont="1" applyBorder="1" applyAlignment="1">
      <alignment vertical="center"/>
    </xf>
    <xf numFmtId="164" fontId="30" fillId="0" borderId="212" xfId="2" applyNumberFormat="1" applyFont="1" applyBorder="1" applyAlignment="1">
      <alignment vertical="center"/>
    </xf>
    <xf numFmtId="0" fontId="30" fillId="0" borderId="33" xfId="9" applyFont="1" applyBorder="1" applyAlignment="1">
      <alignment horizontal="left" vertical="center" wrapText="1"/>
    </xf>
    <xf numFmtId="164" fontId="30" fillId="0" borderId="115" xfId="2" applyNumberFormat="1" applyFont="1" applyBorder="1" applyAlignment="1">
      <alignment vertical="center" wrapText="1"/>
    </xf>
    <xf numFmtId="164" fontId="53" fillId="0" borderId="31" xfId="2" applyNumberFormat="1" applyFont="1" applyBorder="1" applyAlignment="1">
      <alignment vertical="center" wrapText="1"/>
    </xf>
    <xf numFmtId="164" fontId="30" fillId="0" borderId="32" xfId="2" applyNumberFormat="1" applyFont="1" applyBorder="1" applyAlignment="1">
      <alignment vertical="center"/>
    </xf>
    <xf numFmtId="164" fontId="30" fillId="0" borderId="50" xfId="2" applyNumberFormat="1" applyFont="1" applyBorder="1" applyAlignment="1">
      <alignment vertical="center" wrapText="1"/>
    </xf>
    <xf numFmtId="164" fontId="30" fillId="0" borderId="50" xfId="2" applyNumberFormat="1" applyFont="1" applyFill="1" applyBorder="1" applyAlignment="1">
      <alignment vertical="center" wrapText="1"/>
    </xf>
    <xf numFmtId="164" fontId="53" fillId="0" borderId="31" xfId="2" applyNumberFormat="1" applyFont="1" applyFill="1" applyBorder="1" applyAlignment="1">
      <alignment vertical="center" wrapText="1"/>
    </xf>
    <xf numFmtId="164" fontId="30" fillId="0" borderId="31" xfId="2" applyNumberFormat="1" applyFont="1" applyFill="1" applyBorder="1" applyAlignment="1">
      <alignment vertical="center"/>
    </xf>
    <xf numFmtId="164" fontId="30" fillId="0" borderId="32" xfId="2" applyNumberFormat="1" applyFont="1" applyFill="1" applyBorder="1" applyAlignment="1">
      <alignment vertical="center"/>
    </xf>
    <xf numFmtId="0" fontId="30" fillId="0" borderId="18" xfId="9" applyFont="1" applyBorder="1" applyAlignment="1">
      <alignment horizontal="right" vertical="center" wrapText="1"/>
    </xf>
    <xf numFmtId="0" fontId="30" fillId="0" borderId="19" xfId="9" applyFont="1" applyBorder="1" applyAlignment="1">
      <alignment horizontal="right" vertical="center" wrapText="1"/>
    </xf>
    <xf numFmtId="0" fontId="30" fillId="0" borderId="20" xfId="9" applyFont="1" applyBorder="1" applyAlignment="1">
      <alignment horizontal="right" vertical="center" wrapText="1"/>
    </xf>
    <xf numFmtId="164" fontId="30" fillId="0" borderId="213" xfId="2" applyNumberFormat="1" applyFont="1" applyBorder="1" applyAlignment="1">
      <alignment vertical="center"/>
    </xf>
    <xf numFmtId="164" fontId="30" fillId="0" borderId="214" xfId="2" applyNumberFormat="1" applyFont="1" applyBorder="1" applyAlignment="1">
      <alignment vertical="center"/>
    </xf>
    <xf numFmtId="164" fontId="30" fillId="0" borderId="215" xfId="2" applyNumberFormat="1" applyFont="1" applyBorder="1" applyAlignment="1">
      <alignment vertical="center"/>
    </xf>
    <xf numFmtId="176" fontId="30" fillId="0" borderId="175" xfId="2" applyNumberFormat="1" applyFont="1" applyBorder="1" applyAlignment="1">
      <alignment vertical="center"/>
    </xf>
    <xf numFmtId="2" fontId="53" fillId="0" borderId="121" xfId="5" applyNumberFormat="1" applyFont="1" applyBorder="1" applyAlignment="1">
      <alignment vertical="center" wrapText="1"/>
    </xf>
    <xf numFmtId="43" fontId="30" fillId="0" borderId="121" xfId="2" applyFont="1" applyBorder="1" applyAlignment="1">
      <alignment vertical="center"/>
    </xf>
    <xf numFmtId="2" fontId="30" fillId="0" borderId="121" xfId="0" applyNumberFormat="1" applyFont="1" applyBorder="1" applyAlignment="1">
      <alignment vertical="center"/>
    </xf>
    <xf numFmtId="2" fontId="30" fillId="0" borderId="176" xfId="0" applyNumberFormat="1" applyFont="1" applyBorder="1" applyAlignment="1">
      <alignment vertical="center"/>
    </xf>
    <xf numFmtId="180" fontId="94" fillId="59" borderId="1" xfId="2" applyNumberFormat="1" applyFont="1" applyFill="1" applyBorder="1" applyAlignment="1">
      <alignment vertical="center"/>
    </xf>
    <xf numFmtId="0" fontId="30" fillId="0" borderId="37" xfId="9" applyFont="1" applyBorder="1" applyAlignment="1">
      <alignment horizontal="left" vertical="center" wrapText="1"/>
    </xf>
    <xf numFmtId="1" fontId="30" fillId="0" borderId="19" xfId="9" applyNumberFormat="1" applyFont="1" applyBorder="1" applyAlignment="1">
      <alignment horizontal="right" vertical="center" wrapText="1"/>
    </xf>
    <xf numFmtId="180" fontId="94" fillId="48" borderId="2" xfId="2" applyNumberFormat="1" applyFont="1" applyFill="1" applyBorder="1" applyAlignment="1">
      <alignment vertical="center" wrapText="1"/>
    </xf>
    <xf numFmtId="180" fontId="94" fillId="60" borderId="2" xfId="5" applyNumberFormat="1" applyFont="1" applyFill="1" applyBorder="1" applyAlignment="1">
      <alignment vertical="center" wrapText="1"/>
    </xf>
    <xf numFmtId="180" fontId="94" fillId="58" borderId="2" xfId="5" applyNumberFormat="1" applyFont="1" applyFill="1" applyBorder="1" applyAlignment="1">
      <alignment vertical="center" wrapText="1"/>
    </xf>
    <xf numFmtId="180" fontId="94" fillId="58" borderId="3" xfId="5" applyNumberFormat="1" applyFont="1" applyFill="1" applyBorder="1" applyAlignment="1">
      <alignment vertical="center" wrapText="1"/>
    </xf>
    <xf numFmtId="0" fontId="66" fillId="34" borderId="54" xfId="5" applyFont="1" applyFill="1" applyBorder="1" applyAlignment="1">
      <alignment horizontal="center" vertical="center" wrapText="1"/>
    </xf>
    <xf numFmtId="0" fontId="66" fillId="34" borderId="27" xfId="5" applyFont="1" applyFill="1" applyBorder="1" applyAlignment="1">
      <alignment horizontal="center" vertical="center" wrapText="1"/>
    </xf>
    <xf numFmtId="0" fontId="143" fillId="12" borderId="43" xfId="9" applyFont="1" applyFill="1" applyBorder="1" applyAlignment="1">
      <alignment horizontal="center" vertical="center" wrapText="1"/>
    </xf>
    <xf numFmtId="0" fontId="49" fillId="12" borderId="6" xfId="9" applyFont="1" applyFill="1" applyBorder="1" applyAlignment="1">
      <alignment horizontal="center" vertical="center" wrapText="1"/>
    </xf>
    <xf numFmtId="9" fontId="54" fillId="0" borderId="9" xfId="12" applyFont="1" applyBorder="1" applyAlignment="1">
      <alignment vertical="center"/>
    </xf>
    <xf numFmtId="9" fontId="54" fillId="0" borderId="11" xfId="12" applyFont="1" applyBorder="1" applyAlignment="1">
      <alignment vertical="center"/>
    </xf>
    <xf numFmtId="1" fontId="30" fillId="0" borderId="20" xfId="9" applyNumberFormat="1" applyFont="1" applyBorder="1" applyAlignment="1">
      <alignment horizontal="right" vertical="center" wrapText="1"/>
    </xf>
    <xf numFmtId="0" fontId="175" fillId="0" borderId="21" xfId="0" applyFont="1" applyBorder="1" applyAlignment="1">
      <alignment vertical="center"/>
    </xf>
    <xf numFmtId="164" fontId="175" fillId="0" borderId="19" xfId="2" applyNumberFormat="1" applyFont="1" applyBorder="1" applyAlignment="1">
      <alignment vertical="center"/>
    </xf>
    <xf numFmtId="9" fontId="176" fillId="0" borderId="27" xfId="12" applyFont="1" applyBorder="1" applyAlignment="1">
      <alignment horizontal="center" vertical="center"/>
    </xf>
    <xf numFmtId="0" fontId="175" fillId="0" borderId="24" xfId="0" applyFont="1" applyBorder="1" applyAlignment="1">
      <alignment vertical="center"/>
    </xf>
    <xf numFmtId="164" fontId="175" fillId="0" borderId="7" xfId="2" applyNumberFormat="1" applyFont="1" applyFill="1" applyBorder="1" applyAlignment="1">
      <alignment vertical="center"/>
    </xf>
    <xf numFmtId="9" fontId="176" fillId="0" borderId="25" xfId="12" applyFont="1" applyBorder="1" applyAlignment="1">
      <alignment horizontal="center" vertical="center"/>
    </xf>
    <xf numFmtId="164" fontId="175" fillId="0" borderId="7" xfId="2" applyNumberFormat="1" applyFont="1" applyBorder="1" applyAlignment="1">
      <alignment vertical="center"/>
    </xf>
    <xf numFmtId="9" fontId="176" fillId="0" borderId="25" xfId="12" applyFont="1" applyFill="1" applyBorder="1" applyAlignment="1">
      <alignment horizontal="center" vertical="center"/>
    </xf>
    <xf numFmtId="0" fontId="177" fillId="0" borderId="9" xfId="0" applyFont="1" applyBorder="1" applyAlignment="1">
      <alignment vertical="center"/>
    </xf>
    <xf numFmtId="164" fontId="177" fillId="0" borderId="10" xfId="2" applyNumberFormat="1" applyFont="1" applyBorder="1" applyAlignment="1">
      <alignment vertical="center"/>
    </xf>
    <xf numFmtId="9" fontId="178" fillId="0" borderId="11" xfId="0" applyNumberFormat="1" applyFont="1" applyBorder="1" applyAlignment="1">
      <alignment horizontal="center" vertical="center"/>
    </xf>
    <xf numFmtId="9" fontId="176" fillId="0" borderId="111" xfId="12" applyFont="1" applyFill="1" applyBorder="1" applyAlignment="1">
      <alignment horizontal="center" vertical="center"/>
    </xf>
    <xf numFmtId="0" fontId="175" fillId="0" borderId="110" xfId="0" applyFont="1" applyBorder="1" applyAlignment="1">
      <alignment vertical="center"/>
    </xf>
    <xf numFmtId="164" fontId="175" fillId="0" borderId="0" xfId="2" applyNumberFormat="1" applyFont="1" applyFill="1" applyBorder="1" applyAlignment="1">
      <alignment vertical="center"/>
    </xf>
    <xf numFmtId="164" fontId="175" fillId="0" borderId="47" xfId="2" applyNumberFormat="1" applyFont="1" applyFill="1" applyBorder="1" applyAlignment="1">
      <alignment vertical="center"/>
    </xf>
    <xf numFmtId="164" fontId="177" fillId="0" borderId="10" xfId="2" applyNumberFormat="1" applyFont="1" applyFill="1" applyBorder="1" applyAlignment="1">
      <alignment vertical="center"/>
    </xf>
    <xf numFmtId="0" fontId="33" fillId="0" borderId="0" xfId="0" applyFont="1" applyAlignment="1">
      <alignment horizontal="left" vertical="center" wrapText="1"/>
    </xf>
    <xf numFmtId="0" fontId="36" fillId="66" borderId="58" xfId="0" applyFont="1" applyFill="1" applyBorder="1" applyAlignment="1">
      <alignment vertical="center"/>
    </xf>
    <xf numFmtId="0" fontId="36" fillId="72" borderId="54" xfId="0" applyFont="1" applyFill="1" applyBorder="1" applyAlignment="1">
      <alignment horizontal="center" vertical="center"/>
    </xf>
    <xf numFmtId="0" fontId="47" fillId="72" borderId="27" xfId="0" applyFont="1" applyFill="1" applyBorder="1" applyAlignment="1">
      <alignment horizontal="center" vertical="center"/>
    </xf>
    <xf numFmtId="0" fontId="36" fillId="0" borderId="58" xfId="8" applyFont="1" applyBorder="1" applyAlignment="1">
      <alignment horizontal="center" vertical="center" wrapText="1"/>
    </xf>
    <xf numFmtId="0" fontId="30" fillId="0" borderId="1" xfId="5" applyFont="1" applyBorder="1" applyAlignment="1">
      <alignment vertical="center" wrapText="1"/>
    </xf>
    <xf numFmtId="0" fontId="36" fillId="0" borderId="12" xfId="0" applyFont="1" applyBorder="1" applyAlignment="1">
      <alignment horizontal="center" vertical="center"/>
    </xf>
    <xf numFmtId="0" fontId="36" fillId="0" borderId="52" xfId="0" applyFont="1" applyBorder="1" applyAlignment="1">
      <alignment horizontal="center" vertical="center"/>
    </xf>
    <xf numFmtId="0" fontId="37" fillId="0" borderId="0" xfId="0" quotePrefix="1" applyFont="1" applyAlignment="1">
      <alignment horizontal="left" vertical="center" wrapText="1"/>
    </xf>
    <xf numFmtId="164" fontId="30" fillId="0" borderId="14" xfId="2" applyNumberFormat="1" applyFont="1" applyBorder="1" applyAlignment="1">
      <alignment horizontal="left" vertical="center" indent="2"/>
    </xf>
    <xf numFmtId="0" fontId="179" fillId="0" borderId="0" xfId="0" applyFont="1" applyAlignment="1">
      <alignment vertical="center" wrapText="1"/>
    </xf>
    <xf numFmtId="0" fontId="179" fillId="0" borderId="0" xfId="0" applyFont="1" applyAlignment="1">
      <alignment horizontal="left" vertical="center" wrapText="1"/>
    </xf>
    <xf numFmtId="0" fontId="52" fillId="0" borderId="0" xfId="0" applyFont="1" applyAlignment="1">
      <alignment vertical="center" wrapText="1"/>
    </xf>
    <xf numFmtId="9" fontId="30" fillId="0" borderId="14" xfId="0" applyNumberFormat="1" applyFont="1" applyBorder="1" applyAlignment="1">
      <alignment vertical="center"/>
    </xf>
    <xf numFmtId="9" fontId="30" fillId="0" borderId="7" xfId="2" applyNumberFormat="1" applyFont="1" applyBorder="1" applyAlignment="1">
      <alignment horizontal="center" vertical="center"/>
    </xf>
    <xf numFmtId="2" fontId="53" fillId="0" borderId="7" xfId="0" applyNumberFormat="1" applyFont="1" applyBorder="1" applyAlignment="1">
      <alignment horizontal="center" vertical="center"/>
    </xf>
    <xf numFmtId="9" fontId="53" fillId="0" borderId="14" xfId="12" applyFont="1" applyBorder="1" applyAlignment="1">
      <alignment vertical="center"/>
    </xf>
    <xf numFmtId="0" fontId="53" fillId="0" borderId="14" xfId="0" applyFont="1" applyBorder="1" applyAlignment="1">
      <alignment vertical="center"/>
    </xf>
    <xf numFmtId="164" fontId="53" fillId="0" borderId="14" xfId="0" applyNumberFormat="1" applyFont="1" applyBorder="1" applyAlignment="1">
      <alignment vertical="center"/>
    </xf>
    <xf numFmtId="0" fontId="53" fillId="0" borderId="51" xfId="0" applyFont="1" applyBorder="1" applyAlignment="1">
      <alignment vertical="center"/>
    </xf>
    <xf numFmtId="176" fontId="37" fillId="0" borderId="7" xfId="2" applyNumberFormat="1" applyFont="1" applyBorder="1" applyAlignment="1">
      <alignment vertical="center"/>
    </xf>
    <xf numFmtId="0" fontId="47" fillId="0" borderId="0" xfId="0" applyFont="1" applyAlignment="1">
      <alignment vertical="center" wrapText="1"/>
    </xf>
    <xf numFmtId="164" fontId="36" fillId="0" borderId="0" xfId="2" applyNumberFormat="1" applyFont="1" applyFill="1" applyBorder="1" applyAlignment="1">
      <alignment vertical="center"/>
    </xf>
    <xf numFmtId="9" fontId="36" fillId="0" borderId="0" xfId="12" applyFont="1" applyAlignment="1">
      <alignment horizontal="center" vertical="center"/>
    </xf>
    <xf numFmtId="1" fontId="36" fillId="72" borderId="177" xfId="0" applyNumberFormat="1" applyFont="1" applyFill="1" applyBorder="1" applyAlignment="1">
      <alignment horizontal="center" vertical="center" wrapText="1"/>
    </xf>
    <xf numFmtId="1" fontId="36" fillId="72" borderId="178" xfId="0" applyNumberFormat="1" applyFont="1" applyFill="1" applyBorder="1" applyAlignment="1">
      <alignment horizontal="center" vertical="center" wrapText="1"/>
    </xf>
    <xf numFmtId="1" fontId="36" fillId="72" borderId="202" xfId="0" applyNumberFormat="1" applyFont="1" applyFill="1" applyBorder="1" applyAlignment="1">
      <alignment horizontal="center" vertical="center" wrapText="1"/>
    </xf>
    <xf numFmtId="0" fontId="51" fillId="72" borderId="59" xfId="0" applyFont="1" applyFill="1" applyBorder="1" applyAlignment="1">
      <alignment horizontal="center" vertical="center"/>
    </xf>
    <xf numFmtId="164" fontId="62" fillId="0" borderId="177" xfId="2" applyNumberFormat="1" applyFont="1" applyFill="1" applyBorder="1" applyAlignment="1">
      <alignment vertical="center"/>
    </xf>
    <xf numFmtId="164" fontId="62" fillId="0" borderId="178" xfId="2" applyNumberFormat="1" applyFont="1" applyFill="1" applyBorder="1" applyAlignment="1">
      <alignment vertical="center"/>
    </xf>
    <xf numFmtId="164" fontId="62" fillId="0" borderId="202" xfId="2" applyNumberFormat="1" applyFont="1" applyFill="1" applyBorder="1" applyAlignment="1">
      <alignment vertical="center"/>
    </xf>
    <xf numFmtId="0" fontId="54" fillId="0" borderId="58" xfId="0" quotePrefix="1" applyFont="1" applyBorder="1"/>
    <xf numFmtId="164" fontId="62" fillId="0" borderId="86" xfId="2" applyNumberFormat="1" applyFont="1" applyFill="1" applyBorder="1" applyAlignment="1">
      <alignment vertical="center"/>
    </xf>
    <xf numFmtId="164" fontId="62" fillId="0" borderId="87" xfId="2" applyNumberFormat="1" applyFont="1" applyFill="1" applyBorder="1" applyAlignment="1">
      <alignment vertical="center"/>
    </xf>
    <xf numFmtId="164" fontId="62" fillId="0" borderId="163" xfId="2" applyNumberFormat="1" applyFont="1" applyFill="1" applyBorder="1" applyAlignment="1">
      <alignment vertical="center"/>
    </xf>
    <xf numFmtId="0" fontId="54" fillId="0" borderId="36" xfId="0" applyFont="1" applyBorder="1" applyAlignment="1">
      <alignment vertical="top" wrapText="1"/>
    </xf>
    <xf numFmtId="164" fontId="62" fillId="0" borderId="90" xfId="2" applyNumberFormat="1" applyFont="1" applyFill="1" applyBorder="1" applyAlignment="1">
      <alignment vertical="center"/>
    </xf>
    <xf numFmtId="164" fontId="62" fillId="0" borderId="91" xfId="2" applyNumberFormat="1" applyFont="1" applyFill="1" applyBorder="1" applyAlignment="1">
      <alignment vertical="center"/>
    </xf>
    <xf numFmtId="164" fontId="62" fillId="0" borderId="164" xfId="2" applyNumberFormat="1" applyFont="1" applyFill="1" applyBorder="1" applyAlignment="1">
      <alignment vertical="center"/>
    </xf>
    <xf numFmtId="0" fontId="54" fillId="0" borderId="42" xfId="0" applyFont="1" applyBorder="1" applyAlignment="1">
      <alignment vertical="top" wrapText="1"/>
    </xf>
    <xf numFmtId="9" fontId="62" fillId="0" borderId="86" xfId="12" applyFont="1" applyFill="1" applyBorder="1" applyAlignment="1">
      <alignment vertical="center"/>
    </xf>
    <xf numFmtId="9" fontId="62" fillId="0" borderId="87" xfId="0" applyNumberFormat="1" applyFont="1" applyBorder="1" applyAlignment="1">
      <alignment vertical="center"/>
    </xf>
    <xf numFmtId="9" fontId="62" fillId="0" borderId="163" xfId="12" applyFont="1" applyFill="1" applyBorder="1" applyAlignment="1">
      <alignment vertical="center"/>
    </xf>
    <xf numFmtId="0" fontId="54" fillId="0" borderId="36" xfId="0" applyFont="1" applyBorder="1"/>
    <xf numFmtId="9" fontId="62" fillId="0" borderId="88" xfId="12" applyFont="1" applyFill="1" applyBorder="1" applyAlignment="1">
      <alignment vertical="center"/>
    </xf>
    <xf numFmtId="9" fontId="62" fillId="0" borderId="89" xfId="2" applyNumberFormat="1" applyFont="1" applyFill="1" applyBorder="1" applyAlignment="1">
      <alignment vertical="center"/>
    </xf>
    <xf numFmtId="9" fontId="62" fillId="0" borderId="118" xfId="12" applyFont="1" applyFill="1" applyBorder="1" applyAlignment="1">
      <alignment vertical="center"/>
    </xf>
    <xf numFmtId="0" fontId="54" fillId="0" borderId="40" xfId="0" applyFont="1" applyBorder="1"/>
    <xf numFmtId="9" fontId="62" fillId="0" borderId="89" xfId="0" applyNumberFormat="1" applyFont="1" applyBorder="1" applyAlignment="1">
      <alignment horizontal="center" vertical="center"/>
    </xf>
    <xf numFmtId="9" fontId="62" fillId="0" borderId="89" xfId="0" applyNumberFormat="1" applyFont="1" applyBorder="1" applyAlignment="1">
      <alignment vertical="center"/>
    </xf>
    <xf numFmtId="0" fontId="62" fillId="0" borderId="88" xfId="0" applyFont="1" applyBorder="1" applyAlignment="1">
      <alignment vertical="center"/>
    </xf>
    <xf numFmtId="0" fontId="62" fillId="0" borderId="118" xfId="0" applyFont="1" applyBorder="1" applyAlignment="1">
      <alignment vertical="center"/>
    </xf>
    <xf numFmtId="9" fontId="62" fillId="0" borderId="90" xfId="12" applyFont="1" applyFill="1" applyBorder="1" applyAlignment="1">
      <alignment vertical="center"/>
    </xf>
    <xf numFmtId="9" fontId="62" fillId="0" borderId="91" xfId="0" applyNumberFormat="1" applyFont="1" applyBorder="1" applyAlignment="1">
      <alignment vertical="center"/>
    </xf>
    <xf numFmtId="0" fontId="62" fillId="0" borderId="90" xfId="0" applyFont="1" applyBorder="1" applyAlignment="1">
      <alignment vertical="center"/>
    </xf>
    <xf numFmtId="9" fontId="62" fillId="0" borderId="164" xfId="0" applyNumberFormat="1" applyFont="1" applyBorder="1" applyAlignment="1">
      <alignment vertical="center"/>
    </xf>
    <xf numFmtId="0" fontId="54" fillId="0" borderId="42" xfId="0" applyFont="1" applyBorder="1"/>
    <xf numFmtId="176" fontId="62" fillId="0" borderId="86" xfId="2" applyNumberFormat="1" applyFont="1" applyBorder="1" applyAlignment="1">
      <alignment vertical="center" wrapText="1"/>
    </xf>
    <xf numFmtId="176" fontId="62" fillId="0" borderId="163" xfId="2" applyNumberFormat="1" applyFont="1" applyBorder="1" applyAlignment="1">
      <alignment vertical="center" wrapText="1"/>
    </xf>
    <xf numFmtId="176" fontId="62" fillId="0" borderId="88" xfId="2" applyNumberFormat="1" applyFont="1" applyBorder="1" applyAlignment="1">
      <alignment vertical="center" wrapText="1"/>
    </xf>
    <xf numFmtId="176" fontId="62" fillId="0" borderId="118" xfId="2" applyNumberFormat="1" applyFont="1" applyBorder="1" applyAlignment="1">
      <alignment vertical="center" wrapText="1"/>
    </xf>
    <xf numFmtId="43" fontId="57" fillId="0" borderId="88" xfId="5" applyNumberFormat="1" applyFont="1" applyBorder="1" applyAlignment="1">
      <alignment vertical="center" wrapText="1"/>
    </xf>
    <xf numFmtId="172" fontId="57" fillId="0" borderId="89" xfId="5" applyNumberFormat="1" applyFont="1" applyBorder="1" applyAlignment="1">
      <alignment vertical="center" wrapText="1"/>
    </xf>
    <xf numFmtId="43" fontId="57" fillId="0" borderId="175" xfId="5" applyNumberFormat="1" applyFont="1" applyBorder="1" applyAlignment="1">
      <alignment vertical="center" wrapText="1"/>
    </xf>
    <xf numFmtId="176" fontId="62" fillId="0" borderId="90" xfId="2" applyNumberFormat="1" applyFont="1" applyBorder="1" applyAlignment="1">
      <alignment vertical="center" wrapText="1"/>
    </xf>
    <xf numFmtId="43" fontId="62" fillId="0" borderId="164" xfId="2" applyFont="1" applyBorder="1" applyAlignment="1">
      <alignment vertical="center" wrapText="1"/>
    </xf>
    <xf numFmtId="0" fontId="54" fillId="0" borderId="104" xfId="0" applyFont="1" applyBorder="1"/>
    <xf numFmtId="0" fontId="36" fillId="73" borderId="129" xfId="5" applyFont="1" applyFill="1" applyBorder="1" applyAlignment="1">
      <alignment vertical="center" wrapText="1"/>
    </xf>
    <xf numFmtId="164" fontId="36" fillId="74" borderId="200" xfId="2" applyNumberFormat="1" applyFont="1" applyFill="1" applyBorder="1" applyAlignment="1">
      <alignment vertical="center" wrapText="1"/>
    </xf>
    <xf numFmtId="164" fontId="36" fillId="74" borderId="201" xfId="2" applyNumberFormat="1" applyFont="1" applyFill="1" applyBorder="1" applyAlignment="1">
      <alignment vertical="center" wrapText="1"/>
    </xf>
    <xf numFmtId="164" fontId="36" fillId="74" borderId="199" xfId="2" applyNumberFormat="1" applyFont="1" applyFill="1" applyBorder="1" applyAlignment="1">
      <alignment vertical="center" wrapText="1"/>
    </xf>
    <xf numFmtId="164" fontId="36" fillId="74" borderId="202" xfId="2" applyNumberFormat="1" applyFont="1" applyFill="1" applyBorder="1" applyAlignment="1">
      <alignment vertical="center" wrapText="1"/>
    </xf>
    <xf numFmtId="0" fontId="37" fillId="71" borderId="58" xfId="0" applyFont="1" applyFill="1" applyBorder="1"/>
    <xf numFmtId="0" fontId="180" fillId="0" borderId="1" xfId="0" applyFont="1" applyBorder="1" applyAlignment="1">
      <alignment vertical="center" wrapText="1"/>
    </xf>
    <xf numFmtId="164" fontId="180" fillId="0" borderId="122" xfId="0" applyNumberFormat="1" applyFont="1" applyBorder="1" applyAlignment="1">
      <alignment vertical="center"/>
    </xf>
    <xf numFmtId="0" fontId="180" fillId="0" borderId="17" xfId="0" applyFont="1" applyBorder="1" applyAlignment="1">
      <alignment vertical="center"/>
    </xf>
    <xf numFmtId="0" fontId="48" fillId="0" borderId="0" xfId="0" applyFont="1" applyAlignment="1">
      <alignment vertical="center"/>
    </xf>
    <xf numFmtId="0" fontId="53" fillId="0" borderId="7" xfId="0" applyFont="1" applyBorder="1" applyAlignment="1">
      <alignment vertical="top" wrapText="1"/>
    </xf>
    <xf numFmtId="0" fontId="117" fillId="0" borderId="7" xfId="0" applyFont="1" applyBorder="1" applyAlignment="1">
      <alignment vertical="top" wrapText="1"/>
    </xf>
    <xf numFmtId="165" fontId="30" fillId="0" borderId="7" xfId="0" applyNumberFormat="1" applyFont="1" applyBorder="1" applyAlignment="1">
      <alignment horizontal="center" vertical="center"/>
    </xf>
    <xf numFmtId="0" fontId="62" fillId="0" borderId="0" xfId="0" quotePrefix="1" applyFont="1" applyAlignment="1">
      <alignment horizontal="left" vertical="center"/>
    </xf>
    <xf numFmtId="172" fontId="53" fillId="0" borderId="0" xfId="0" applyNumberFormat="1" applyFont="1" applyAlignment="1">
      <alignment horizontal="center" vertical="center"/>
    </xf>
    <xf numFmtId="0" fontId="114" fillId="0" borderId="0" xfId="0" applyFont="1"/>
    <xf numFmtId="0" fontId="181" fillId="0" borderId="0" xfId="0" applyFont="1"/>
    <xf numFmtId="9" fontId="53" fillId="0" borderId="7" xfId="0" applyNumberFormat="1" applyFont="1" applyBorder="1" applyAlignment="1">
      <alignment vertical="center"/>
    </xf>
    <xf numFmtId="9" fontId="57" fillId="0" borderId="7" xfId="0" applyNumberFormat="1" applyFont="1" applyBorder="1" applyAlignment="1">
      <alignment vertical="center"/>
    </xf>
    <xf numFmtId="0" fontId="182" fillId="0" borderId="0" xfId="0" applyFont="1" applyAlignment="1">
      <alignment vertical="center" wrapText="1"/>
    </xf>
    <xf numFmtId="0" fontId="36" fillId="0" borderId="7" xfId="0" quotePrefix="1" applyFont="1" applyBorder="1" applyAlignment="1">
      <alignment horizontal="left" vertical="center" wrapText="1"/>
    </xf>
    <xf numFmtId="173" fontId="30" fillId="0" borderId="7" xfId="0" applyNumberFormat="1" applyFont="1" applyBorder="1" applyAlignment="1">
      <alignment horizontal="center" vertical="center"/>
    </xf>
    <xf numFmtId="9" fontId="30" fillId="0" borderId="7" xfId="0" applyNumberFormat="1" applyFont="1" applyBorder="1" applyAlignment="1">
      <alignment horizontal="center" vertical="center" wrapText="1"/>
    </xf>
    <xf numFmtId="0" fontId="52" fillId="0" borderId="0" xfId="0" applyFont="1"/>
    <xf numFmtId="0" fontId="36" fillId="0" borderId="20" xfId="0" applyFont="1" applyBorder="1" applyAlignment="1">
      <alignment horizontal="center" vertical="center"/>
    </xf>
    <xf numFmtId="0" fontId="6" fillId="0" borderId="7" xfId="0" applyFont="1" applyBorder="1"/>
    <xf numFmtId="0" fontId="6" fillId="0" borderId="7" xfId="0" applyFont="1" applyBorder="1" applyAlignment="1">
      <alignment vertical="center"/>
    </xf>
    <xf numFmtId="0" fontId="6" fillId="0" borderId="7" xfId="0" applyFont="1" applyBorder="1" applyAlignment="1">
      <alignment horizontal="left" vertical="center"/>
    </xf>
    <xf numFmtId="0" fontId="30" fillId="0" borderId="7" xfId="0" applyFont="1" applyBorder="1" applyAlignment="1">
      <alignment horizontal="left" vertical="top"/>
    </xf>
    <xf numFmtId="164" fontId="6" fillId="0" borderId="7" xfId="0" applyNumberFormat="1" applyFont="1" applyBorder="1" applyAlignment="1">
      <alignment vertical="center"/>
    </xf>
    <xf numFmtId="2" fontId="6" fillId="0" borderId="7" xfId="0" applyNumberFormat="1" applyFont="1" applyBorder="1" applyAlignment="1">
      <alignment vertical="center"/>
    </xf>
    <xf numFmtId="0" fontId="6" fillId="0" borderId="0" xfId="0" applyFont="1" applyAlignment="1">
      <alignment vertical="center"/>
    </xf>
    <xf numFmtId="164" fontId="6" fillId="0" borderId="7" xfId="0" applyNumberFormat="1" applyFont="1" applyBorder="1" applyAlignment="1">
      <alignment horizontal="center" vertical="center"/>
    </xf>
    <xf numFmtId="0" fontId="6" fillId="0" borderId="7" xfId="0" applyFont="1" applyBorder="1" applyAlignment="1">
      <alignment horizontal="right" vertical="center"/>
    </xf>
    <xf numFmtId="2" fontId="40" fillId="0" borderId="7" xfId="0" applyNumberFormat="1" applyFont="1" applyBorder="1" applyAlignment="1">
      <alignment vertical="center"/>
    </xf>
    <xf numFmtId="0" fontId="6" fillId="0" borderId="0" xfId="0" applyFont="1" applyAlignment="1">
      <alignment horizontal="center" vertical="center"/>
    </xf>
    <xf numFmtId="0" fontId="6" fillId="0" borderId="0" xfId="0" applyFont="1"/>
    <xf numFmtId="2" fontId="6" fillId="0" borderId="0" xfId="0" applyNumberFormat="1" applyFont="1" applyAlignment="1">
      <alignment vertical="center"/>
    </xf>
    <xf numFmtId="2" fontId="85" fillId="0" borderId="7" xfId="0" applyNumberFormat="1" applyFont="1" applyBorder="1" applyAlignment="1">
      <alignment horizontal="center" vertical="center"/>
    </xf>
    <xf numFmtId="2" fontId="6" fillId="0" borderId="7" xfId="0" applyNumberFormat="1" applyFont="1" applyBorder="1" applyAlignment="1">
      <alignment horizontal="center"/>
    </xf>
    <xf numFmtId="0" fontId="114" fillId="0" borderId="0" xfId="0" applyFont="1" applyAlignment="1">
      <alignment vertical="center"/>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0" fillId="0" borderId="5" xfId="0" applyBorder="1"/>
    <xf numFmtId="0" fontId="0" fillId="0" borderId="30" xfId="0" applyBorder="1"/>
    <xf numFmtId="0" fontId="6" fillId="0" borderId="5" xfId="0" applyFont="1" applyBorder="1" applyAlignment="1">
      <alignment vertical="center"/>
    </xf>
    <xf numFmtId="0" fontId="6" fillId="0" borderId="24" xfId="0" applyFont="1" applyBorder="1" applyAlignment="1">
      <alignment vertical="center" wrapText="1"/>
    </xf>
    <xf numFmtId="164" fontId="6" fillId="0" borderId="7" xfId="0" applyNumberFormat="1" applyFont="1" applyBorder="1" applyAlignment="1">
      <alignment vertical="center" wrapText="1"/>
    </xf>
    <xf numFmtId="0" fontId="6" fillId="0" borderId="7" xfId="0" applyFont="1" applyBorder="1" applyAlignment="1">
      <alignment vertical="center" wrapText="1"/>
    </xf>
    <xf numFmtId="10" fontId="6" fillId="0" borderId="7" xfId="0" applyNumberFormat="1" applyFont="1" applyBorder="1" applyAlignment="1">
      <alignment horizontal="center" vertical="center" wrapText="1"/>
    </xf>
    <xf numFmtId="0" fontId="6" fillId="0" borderId="25" xfId="0" applyFont="1" applyBorder="1" applyAlignment="1">
      <alignment wrapText="1"/>
    </xf>
    <xf numFmtId="0" fontId="6" fillId="0" borderId="7" xfId="0" applyFont="1" applyBorder="1" applyAlignment="1">
      <alignment horizontal="left" vertical="center" wrapText="1"/>
    </xf>
    <xf numFmtId="0" fontId="6" fillId="0" borderId="25" xfId="0" applyFont="1" applyBorder="1" applyAlignment="1">
      <alignment horizontal="left" vertical="center" wrapText="1"/>
    </xf>
    <xf numFmtId="2" fontId="40" fillId="0" borderId="7" xfId="0" applyNumberFormat="1" applyFont="1" applyBorder="1" applyAlignment="1">
      <alignment vertical="center" wrapText="1"/>
    </xf>
    <xf numFmtId="0" fontId="40" fillId="0" borderId="7" xfId="0" applyFont="1" applyBorder="1" applyAlignment="1">
      <alignment vertical="center" wrapText="1"/>
    </xf>
    <xf numFmtId="0" fontId="0" fillId="0" borderId="5" xfId="0" applyBorder="1" applyAlignment="1">
      <alignment wrapText="1"/>
    </xf>
    <xf numFmtId="0" fontId="0" fillId="0" borderId="30" xfId="0" applyBorder="1" applyAlignment="1">
      <alignment wrapText="1"/>
    </xf>
    <xf numFmtId="0" fontId="40" fillId="0" borderId="24" xfId="0" applyFont="1" applyBorder="1" applyAlignment="1">
      <alignment horizontal="center" vertical="center" wrapText="1"/>
    </xf>
    <xf numFmtId="0" fontId="40" fillId="0" borderId="25" xfId="0" applyFont="1" applyBorder="1" applyAlignment="1">
      <alignment horizontal="center" vertical="center" wrapText="1"/>
    </xf>
    <xf numFmtId="10" fontId="6" fillId="0" borderId="0" xfId="0" applyNumberFormat="1" applyFont="1" applyAlignment="1">
      <alignment horizontal="center" vertical="center" wrapText="1"/>
    </xf>
    <xf numFmtId="0" fontId="6" fillId="0" borderId="30" xfId="0" applyFont="1" applyBorder="1" applyAlignment="1">
      <alignment wrapText="1"/>
    </xf>
    <xf numFmtId="0" fontId="6" fillId="0" borderId="0" xfId="0" applyFont="1" applyAlignment="1">
      <alignment vertical="center" wrapText="1"/>
    </xf>
    <xf numFmtId="0" fontId="6" fillId="0" borderId="5" xfId="0" applyFont="1" applyBorder="1" applyAlignment="1">
      <alignment vertical="center" wrapText="1"/>
    </xf>
    <xf numFmtId="0" fontId="6" fillId="0" borderId="30" xfId="0" applyFont="1" applyBorder="1" applyAlignment="1">
      <alignment vertical="center" wrapText="1"/>
    </xf>
    <xf numFmtId="0" fontId="6" fillId="0" borderId="24" xfId="0" applyFont="1" applyBorder="1" applyAlignment="1">
      <alignment horizontal="left" vertical="center" wrapText="1"/>
    </xf>
    <xf numFmtId="0" fontId="6" fillId="0" borderId="25" xfId="0" applyFont="1" applyBorder="1" applyAlignment="1">
      <alignment vertical="center" wrapText="1"/>
    </xf>
    <xf numFmtId="2" fontId="40" fillId="0" borderId="10" xfId="0" applyNumberFormat="1" applyFont="1" applyBorder="1" applyAlignment="1">
      <alignment vertical="center" wrapText="1"/>
    </xf>
    <xf numFmtId="0" fontId="40" fillId="0" borderId="10" xfId="0" applyFont="1" applyBorder="1" applyAlignment="1">
      <alignment vertical="center" wrapText="1"/>
    </xf>
    <xf numFmtId="0" fontId="6" fillId="0" borderId="10" xfId="0" applyFont="1" applyBorder="1" applyAlignment="1">
      <alignment vertical="center" wrapText="1"/>
    </xf>
    <xf numFmtId="10" fontId="6" fillId="0" borderId="10" xfId="0" applyNumberFormat="1" applyFont="1" applyBorder="1" applyAlignment="1">
      <alignment horizontal="center" vertical="center" wrapText="1"/>
    </xf>
    <xf numFmtId="0" fontId="6" fillId="0" borderId="11" xfId="0" applyFont="1" applyBorder="1" applyAlignment="1">
      <alignment vertical="center" wrapText="1"/>
    </xf>
    <xf numFmtId="0" fontId="6" fillId="0" borderId="5" xfId="0" applyFont="1" applyBorder="1"/>
    <xf numFmtId="0" fontId="57" fillId="0" borderId="5" xfId="5" applyFont="1" applyBorder="1" applyAlignment="1">
      <alignment vertical="center"/>
    </xf>
    <xf numFmtId="0" fontId="44" fillId="0" borderId="0" xfId="0" applyFont="1"/>
    <xf numFmtId="0" fontId="44" fillId="0" borderId="0" xfId="0" applyFont="1" applyAlignment="1">
      <alignment horizontal="center" vertical="center"/>
    </xf>
    <xf numFmtId="0" fontId="93" fillId="0" borderId="30" xfId="5" applyFont="1" applyBorder="1" applyAlignment="1">
      <alignment vertical="center"/>
    </xf>
    <xf numFmtId="0" fontId="44" fillId="0" borderId="0" xfId="0" applyFont="1" applyAlignment="1">
      <alignment vertical="center"/>
    </xf>
    <xf numFmtId="166" fontId="6" fillId="0" borderId="7" xfId="0" applyNumberFormat="1" applyFont="1" applyBorder="1" applyAlignment="1">
      <alignment vertical="center" wrapText="1"/>
    </xf>
    <xf numFmtId="43" fontId="6" fillId="0" borderId="7" xfId="0" applyNumberFormat="1" applyFont="1" applyBorder="1" applyAlignment="1">
      <alignment horizontal="center" vertical="center"/>
    </xf>
    <xf numFmtId="184" fontId="6" fillId="0" borderId="7" xfId="0" applyNumberFormat="1" applyFont="1" applyBorder="1" applyAlignment="1">
      <alignment horizontal="center" vertical="center" wrapText="1"/>
    </xf>
    <xf numFmtId="184" fontId="6" fillId="0" borderId="7" xfId="0" applyNumberFormat="1" applyFont="1" applyBorder="1" applyAlignment="1">
      <alignment horizontal="center" vertical="center"/>
    </xf>
    <xf numFmtId="0" fontId="30" fillId="0" borderId="100" xfId="5" applyFont="1" applyBorder="1" applyAlignment="1">
      <alignment horizontal="left" vertical="center" wrapText="1"/>
    </xf>
    <xf numFmtId="9" fontId="57" fillId="0" borderId="101" xfId="12" applyFont="1" applyBorder="1" applyAlignment="1">
      <alignment horizontal="right" vertical="center"/>
    </xf>
    <xf numFmtId="185" fontId="6" fillId="0" borderId="10" xfId="0" applyNumberFormat="1" applyFont="1" applyBorder="1" applyAlignment="1">
      <alignment horizontal="center" vertical="center"/>
    </xf>
    <xf numFmtId="0" fontId="63" fillId="0" borderId="0" xfId="0" applyFont="1" applyAlignment="1">
      <alignment vertical="center"/>
    </xf>
    <xf numFmtId="164" fontId="53" fillId="0" borderId="7" xfId="0" applyNumberFormat="1" applyFont="1" applyBorder="1" applyAlignment="1">
      <alignment vertical="center"/>
    </xf>
    <xf numFmtId="171" fontId="53" fillId="0" borderId="7" xfId="0" applyNumberFormat="1" applyFont="1" applyBorder="1" applyAlignment="1">
      <alignment vertical="center"/>
    </xf>
    <xf numFmtId="43" fontId="47" fillId="0" borderId="7" xfId="0" applyNumberFormat="1" applyFont="1" applyBorder="1" applyAlignment="1">
      <alignment vertical="center"/>
    </xf>
    <xf numFmtId="9" fontId="53" fillId="0" borderId="7" xfId="12" applyFont="1" applyFill="1" applyBorder="1" applyAlignment="1">
      <alignment horizontal="center" vertical="center"/>
    </xf>
    <xf numFmtId="172" fontId="53" fillId="0" borderId="0" xfId="0" applyNumberFormat="1" applyFont="1" applyAlignment="1">
      <alignment vertical="center"/>
    </xf>
    <xf numFmtId="186" fontId="53" fillId="0" borderId="0" xfId="0" applyNumberFormat="1" applyFont="1" applyAlignment="1">
      <alignment horizontal="center" vertical="center" wrapText="1"/>
    </xf>
    <xf numFmtId="0" fontId="53" fillId="0" borderId="7" xfId="0" applyFont="1" applyBorder="1" applyAlignment="1">
      <alignment horizontal="left" vertical="center" wrapText="1"/>
    </xf>
    <xf numFmtId="0" fontId="140" fillId="0" borderId="0" xfId="0" applyFont="1"/>
    <xf numFmtId="166" fontId="51" fillId="0" borderId="7" xfId="0" applyNumberFormat="1" applyFont="1" applyBorder="1" applyAlignment="1">
      <alignment vertical="center"/>
    </xf>
    <xf numFmtId="0" fontId="36" fillId="85" borderId="61" xfId="8" applyFont="1" applyFill="1" applyBorder="1" applyAlignment="1">
      <alignment horizontal="center" vertical="center" wrapText="1"/>
    </xf>
    <xf numFmtId="0" fontId="36" fillId="86" borderId="50" xfId="5" applyFont="1" applyFill="1" applyBorder="1" applyAlignment="1">
      <alignment vertical="center" wrapText="1"/>
    </xf>
    <xf numFmtId="164" fontId="36" fillId="86" borderId="32" xfId="2" applyNumberFormat="1" applyFont="1" applyFill="1" applyBorder="1" applyAlignment="1">
      <alignment vertical="center"/>
    </xf>
    <xf numFmtId="0" fontId="30" fillId="0" borderId="1" xfId="5" applyFont="1" applyBorder="1" applyAlignment="1">
      <alignment horizontal="left" vertical="center" wrapText="1"/>
    </xf>
    <xf numFmtId="43" fontId="30" fillId="0" borderId="3" xfId="2" applyFont="1" applyFill="1" applyBorder="1" applyAlignment="1">
      <alignment vertical="center"/>
    </xf>
    <xf numFmtId="9" fontId="30" fillId="0" borderId="3" xfId="12" applyFont="1" applyBorder="1" applyAlignment="1">
      <alignment horizontal="center" vertical="center"/>
    </xf>
    <xf numFmtId="0" fontId="33" fillId="0" borderId="0" xfId="0" applyFont="1" applyAlignment="1">
      <alignment horizontal="left" vertical="center"/>
    </xf>
    <xf numFmtId="0" fontId="5" fillId="0" borderId="52" xfId="0" quotePrefix="1" applyFont="1" applyBorder="1" applyAlignment="1">
      <alignment horizontal="left" vertical="center" wrapText="1"/>
    </xf>
    <xf numFmtId="0" fontId="115" fillId="0" borderId="0" xfId="0" quotePrefix="1" applyFont="1" applyAlignment="1">
      <alignment horizontal="center" vertical="center"/>
    </xf>
    <xf numFmtId="164" fontId="62" fillId="0" borderId="18" xfId="2" applyNumberFormat="1" applyFont="1" applyBorder="1" applyAlignment="1">
      <alignment vertical="center"/>
    </xf>
    <xf numFmtId="164" fontId="62" fillId="0" borderId="20" xfId="2" applyNumberFormat="1" applyFont="1" applyBorder="1" applyAlignment="1">
      <alignment vertical="center"/>
    </xf>
    <xf numFmtId="164" fontId="62" fillId="0" borderId="24" xfId="2" applyNumberFormat="1" applyFont="1" applyBorder="1" applyAlignment="1">
      <alignment vertical="center"/>
    </xf>
    <xf numFmtId="164" fontId="62" fillId="0" borderId="25" xfId="2" applyNumberFormat="1" applyFont="1" applyBorder="1" applyAlignment="1">
      <alignment vertical="center"/>
    </xf>
    <xf numFmtId="9" fontId="30" fillId="0" borderId="25" xfId="0" applyNumberFormat="1" applyFont="1" applyBorder="1" applyAlignment="1">
      <alignment horizontal="center" vertical="center"/>
    </xf>
    <xf numFmtId="9" fontId="30" fillId="0" borderId="11" xfId="0" applyNumberFormat="1" applyFont="1" applyBorder="1" applyAlignment="1">
      <alignment horizontal="center" vertical="center"/>
    </xf>
    <xf numFmtId="1" fontId="53" fillId="0" borderId="7" xfId="0" applyNumberFormat="1" applyFont="1" applyBorder="1" applyAlignment="1">
      <alignment horizontal="center" vertical="center"/>
    </xf>
    <xf numFmtId="0" fontId="55" fillId="0" borderId="7" xfId="0" applyFont="1" applyBorder="1" applyAlignment="1">
      <alignment horizontal="center" vertical="center"/>
    </xf>
    <xf numFmtId="0" fontId="117" fillId="0" borderId="7" xfId="0" quotePrefix="1" applyFont="1" applyBorder="1" applyAlignment="1">
      <alignment horizontal="left" vertical="center" wrapText="1"/>
    </xf>
    <xf numFmtId="0" fontId="117" fillId="0" borderId="0" xfId="0" applyFont="1" applyAlignment="1">
      <alignment horizontal="center" vertical="center" wrapText="1"/>
    </xf>
    <xf numFmtId="0" fontId="117" fillId="0" borderId="0" xfId="0" applyFont="1" applyAlignment="1">
      <alignment vertical="center" wrapText="1"/>
    </xf>
    <xf numFmtId="0" fontId="0" fillId="0" borderId="0" xfId="0" applyAlignment="1">
      <alignment horizontal="center" vertical="center"/>
    </xf>
    <xf numFmtId="0" fontId="43" fillId="0" borderId="15" xfId="0" applyFont="1" applyBorder="1" applyAlignment="1">
      <alignment vertical="center"/>
    </xf>
    <xf numFmtId="0" fontId="43" fillId="0" borderId="58" xfId="0" applyFont="1" applyBorder="1" applyAlignment="1">
      <alignment horizontal="center" vertical="center"/>
    </xf>
    <xf numFmtId="0" fontId="36" fillId="47" borderId="54" xfId="0" applyFont="1" applyFill="1" applyBorder="1" applyAlignment="1">
      <alignment horizontal="center" vertical="center" wrapText="1"/>
    </xf>
    <xf numFmtId="0" fontId="36" fillId="47" borderId="123" xfId="0" applyFont="1" applyFill="1" applyBorder="1" applyAlignment="1">
      <alignment horizontal="center" vertical="center" wrapText="1"/>
    </xf>
    <xf numFmtId="0" fontId="36" fillId="47" borderId="26" xfId="0" applyFont="1" applyFill="1" applyBorder="1" applyAlignment="1">
      <alignment horizontal="center" vertical="center" wrapText="1"/>
    </xf>
    <xf numFmtId="9" fontId="36" fillId="47" borderId="26" xfId="12" applyFont="1" applyFill="1" applyBorder="1" applyAlignment="1">
      <alignment horizontal="center" vertical="center" wrapText="1"/>
    </xf>
    <xf numFmtId="9" fontId="36" fillId="47" borderId="27" xfId="12" applyFont="1" applyFill="1" applyBorder="1" applyAlignment="1">
      <alignment horizontal="center" vertical="center" wrapText="1"/>
    </xf>
    <xf numFmtId="0" fontId="42" fillId="0" borderId="7" xfId="0" applyFont="1" applyBorder="1" applyAlignment="1">
      <alignment vertical="center"/>
    </xf>
    <xf numFmtId="0" fontId="51" fillId="0" borderId="7" xfId="0" applyFont="1" applyBorder="1" applyAlignment="1">
      <alignment horizontal="left" vertical="center"/>
    </xf>
    <xf numFmtId="9" fontId="51" fillId="0" borderId="7" xfId="12" applyFont="1" applyBorder="1" applyAlignment="1">
      <alignment horizontal="left" vertical="center"/>
    </xf>
    <xf numFmtId="164" fontId="157" fillId="0" borderId="22" xfId="2" applyNumberFormat="1" applyFont="1" applyFill="1" applyBorder="1" applyAlignment="1">
      <alignment vertical="center"/>
    </xf>
    <xf numFmtId="9" fontId="165" fillId="0" borderId="23" xfId="12" applyFont="1" applyFill="1" applyBorder="1" applyAlignment="1">
      <alignment horizontal="center" vertical="center"/>
    </xf>
    <xf numFmtId="164" fontId="158" fillId="0" borderId="10" xfId="2" applyNumberFormat="1" applyFont="1" applyFill="1" applyBorder="1" applyAlignment="1">
      <alignment vertical="center"/>
    </xf>
    <xf numFmtId="0" fontId="4" fillId="0" borderId="7" xfId="0" applyFont="1" applyBorder="1" applyAlignment="1">
      <alignment vertical="center"/>
    </xf>
    <xf numFmtId="9" fontId="51" fillId="0" borderId="7" xfId="12" applyFont="1" applyFill="1" applyBorder="1"/>
    <xf numFmtId="180" fontId="30" fillId="0" borderId="7" xfId="0" applyNumberFormat="1" applyFont="1" applyBorder="1" applyAlignment="1">
      <alignment vertical="center"/>
    </xf>
    <xf numFmtId="180" fontId="36" fillId="0" borderId="7" xfId="0" applyNumberFormat="1" applyFont="1" applyBorder="1" applyAlignment="1">
      <alignment vertical="center"/>
    </xf>
    <xf numFmtId="0" fontId="120" fillId="0" borderId="0" xfId="0" applyFont="1" applyAlignment="1">
      <alignment vertical="center"/>
    </xf>
    <xf numFmtId="0" fontId="118" fillId="0" borderId="0" xfId="0" applyFont="1" applyAlignment="1">
      <alignment vertical="center"/>
    </xf>
    <xf numFmtId="0" fontId="51" fillId="0" borderId="0" xfId="0" applyFont="1" applyAlignment="1">
      <alignment horizontal="left" vertical="center"/>
    </xf>
    <xf numFmtId="9" fontId="51" fillId="0" borderId="0" xfId="12" applyFont="1" applyBorder="1" applyAlignment="1">
      <alignment horizontal="left" vertical="center"/>
    </xf>
    <xf numFmtId="9" fontId="154" fillId="0" borderId="0" xfId="12" applyFont="1"/>
    <xf numFmtId="1" fontId="30" fillId="0" borderId="7" xfId="2" applyNumberFormat="1" applyFont="1" applyBorder="1"/>
    <xf numFmtId="164" fontId="36" fillId="0" borderId="7" xfId="2" applyNumberFormat="1" applyFont="1" applyBorder="1"/>
    <xf numFmtId="9" fontId="30" fillId="0" borderId="7" xfId="12" applyFont="1" applyBorder="1"/>
    <xf numFmtId="9" fontId="51" fillId="0" borderId="7" xfId="12" applyFont="1" applyBorder="1"/>
    <xf numFmtId="9" fontId="51" fillId="0" borderId="47" xfId="12" applyFont="1" applyBorder="1"/>
    <xf numFmtId="0" fontId="51" fillId="0" borderId="47" xfId="0" applyFont="1" applyBorder="1" applyAlignment="1">
      <alignment vertical="center"/>
    </xf>
    <xf numFmtId="43" fontId="30" fillId="0" borderId="163" xfId="0" applyNumberFormat="1" applyFont="1" applyBorder="1" applyAlignment="1">
      <alignment vertical="center"/>
    </xf>
    <xf numFmtId="43" fontId="30" fillId="0" borderId="118" xfId="0" applyNumberFormat="1" applyFont="1" applyBorder="1" applyAlignment="1">
      <alignment vertical="center"/>
    </xf>
    <xf numFmtId="43" fontId="30" fillId="0" borderId="164" xfId="0" applyNumberFormat="1" applyFont="1" applyBorder="1" applyAlignment="1">
      <alignment vertical="center"/>
    </xf>
    <xf numFmtId="0" fontId="175" fillId="0" borderId="24" xfId="0" applyFont="1" applyBorder="1" applyAlignment="1">
      <alignment horizontal="left" vertical="center"/>
    </xf>
    <xf numFmtId="0" fontId="175" fillId="0" borderId="18" xfId="0" applyFont="1" applyBorder="1" applyAlignment="1">
      <alignment horizontal="left" vertical="center"/>
    </xf>
    <xf numFmtId="0" fontId="177" fillId="0" borderId="9" xfId="0" applyFont="1" applyBorder="1" applyAlignment="1">
      <alignment horizontal="left" vertical="center"/>
    </xf>
    <xf numFmtId="164" fontId="177" fillId="0" borderId="10" xfId="0" applyNumberFormat="1" applyFont="1" applyBorder="1" applyAlignment="1">
      <alignment horizontal="left" vertical="center"/>
    </xf>
    <xf numFmtId="9" fontId="30" fillId="0" borderId="7" xfId="12" applyFont="1" applyBorder="1" applyAlignment="1">
      <alignment horizontal="center"/>
    </xf>
    <xf numFmtId="0" fontId="37" fillId="0" borderId="24" xfId="0" applyFont="1" applyBorder="1" applyAlignment="1">
      <alignment horizontal="right" vertical="center"/>
    </xf>
    <xf numFmtId="9" fontId="37" fillId="0" borderId="7" xfId="12" applyFont="1" applyBorder="1" applyAlignment="1">
      <alignment vertical="center"/>
    </xf>
    <xf numFmtId="0" fontId="30" fillId="0" borderId="12" xfId="0" applyFont="1" applyBorder="1" applyAlignment="1">
      <alignment horizontal="left" vertical="center"/>
    </xf>
    <xf numFmtId="9" fontId="36" fillId="0" borderId="7" xfId="0" applyNumberFormat="1" applyFont="1" applyBorder="1" applyAlignment="1">
      <alignment vertical="center"/>
    </xf>
    <xf numFmtId="187" fontId="30" fillId="0" borderId="0" xfId="0" applyNumberFormat="1" applyFont="1" applyAlignment="1">
      <alignment vertical="center"/>
    </xf>
    <xf numFmtId="9" fontId="36" fillId="0" borderId="0" xfId="12" applyFont="1"/>
    <xf numFmtId="0" fontId="184" fillId="0" borderId="0" xfId="0" applyFont="1"/>
    <xf numFmtId="0" fontId="186" fillId="0" borderId="0" xfId="0" applyFont="1" applyAlignment="1">
      <alignment vertical="center"/>
    </xf>
    <xf numFmtId="43" fontId="30" fillId="0" borderId="0" xfId="0" applyNumberFormat="1" applyFont="1" applyAlignment="1">
      <alignment horizontal="left" vertical="top" wrapText="1"/>
    </xf>
    <xf numFmtId="168" fontId="53" fillId="0" borderId="0" xfId="0" applyNumberFormat="1" applyFont="1" applyAlignment="1">
      <alignment horizontal="center" vertical="center" wrapText="1"/>
    </xf>
    <xf numFmtId="0" fontId="55" fillId="0" borderId="7" xfId="0" applyFont="1" applyBorder="1" applyAlignment="1">
      <alignment vertical="center"/>
    </xf>
    <xf numFmtId="168" fontId="55" fillId="0" borderId="7" xfId="0" applyNumberFormat="1" applyFont="1" applyBorder="1" applyAlignment="1">
      <alignment horizontal="center" vertical="center" wrapText="1"/>
    </xf>
    <xf numFmtId="0" fontId="30" fillId="0" borderId="0" xfId="0" applyFont="1" applyAlignment="1">
      <alignment justifyLastLine="1"/>
    </xf>
    <xf numFmtId="0" fontId="162" fillId="0" borderId="18" xfId="0" applyFont="1" applyBorder="1" applyAlignment="1">
      <alignment vertical="center"/>
    </xf>
    <xf numFmtId="164" fontId="162" fillId="0" borderId="19" xfId="2" applyNumberFormat="1" applyFont="1" applyBorder="1" applyAlignment="1">
      <alignment vertical="center"/>
    </xf>
    <xf numFmtId="1" fontId="162" fillId="0" borderId="19" xfId="0" applyNumberFormat="1" applyFont="1" applyBorder="1" applyAlignment="1">
      <alignment horizontal="center" vertical="center"/>
    </xf>
    <xf numFmtId="164" fontId="162" fillId="0" borderId="7" xfId="2" applyNumberFormat="1" applyFont="1" applyBorder="1" applyAlignment="1">
      <alignment vertical="center"/>
    </xf>
    <xf numFmtId="164" fontId="31" fillId="0" borderId="10" xfId="2" applyNumberFormat="1" applyFont="1" applyBorder="1" applyAlignment="1">
      <alignment vertical="center"/>
    </xf>
    <xf numFmtId="1" fontId="37" fillId="0" borderId="7" xfId="0" applyNumberFormat="1" applyFont="1" applyBorder="1" applyAlignment="1">
      <alignment vertical="center"/>
    </xf>
    <xf numFmtId="43" fontId="53" fillId="0" borderId="0" xfId="2" applyFont="1"/>
    <xf numFmtId="164" fontId="53" fillId="0" borderId="0" xfId="2" applyNumberFormat="1" applyFont="1"/>
    <xf numFmtId="168" fontId="53" fillId="0" borderId="0" xfId="0" applyNumberFormat="1" applyFont="1" applyAlignment="1">
      <alignment vertical="center"/>
    </xf>
    <xf numFmtId="9" fontId="187" fillId="0" borderId="11" xfId="12" applyFont="1" applyFill="1" applyBorder="1" applyAlignment="1">
      <alignment horizontal="center" vertical="center"/>
    </xf>
    <xf numFmtId="168" fontId="30" fillId="0" borderId="7" xfId="0" applyNumberFormat="1" applyFont="1" applyBorder="1" applyAlignment="1">
      <alignment vertical="center"/>
    </xf>
    <xf numFmtId="3" fontId="30" fillId="0" borderId="7" xfId="0" applyNumberFormat="1" applyFont="1" applyBorder="1" applyAlignment="1">
      <alignment vertical="center"/>
    </xf>
    <xf numFmtId="168" fontId="36" fillId="0" borderId="0" xfId="0" applyNumberFormat="1" applyFont="1" applyAlignment="1">
      <alignment vertical="center"/>
    </xf>
    <xf numFmtId="2" fontId="53" fillId="0" borderId="0" xfId="0" applyNumberFormat="1" applyFont="1" applyAlignment="1">
      <alignment vertical="center"/>
    </xf>
    <xf numFmtId="0" fontId="40" fillId="0" borderId="7" xfId="0" applyFont="1" applyBorder="1" applyAlignment="1">
      <alignment horizontal="left" vertical="center"/>
    </xf>
    <xf numFmtId="0" fontId="44" fillId="0" borderId="7" xfId="0" applyFont="1" applyBorder="1" applyAlignment="1">
      <alignment vertical="center"/>
    </xf>
    <xf numFmtId="0" fontId="189" fillId="0" borderId="0" xfId="0" applyFont="1"/>
    <xf numFmtId="0" fontId="30" fillId="0" borderId="0" xfId="0" applyFont="1" applyAlignment="1">
      <alignment horizontal="right" vertical="center"/>
    </xf>
    <xf numFmtId="164" fontId="51" fillId="0" borderId="0" xfId="0" applyNumberFormat="1" applyFont="1" applyAlignment="1">
      <alignment vertical="center"/>
    </xf>
    <xf numFmtId="43" fontId="51" fillId="0" borderId="0" xfId="2" applyFont="1"/>
    <xf numFmtId="183" fontId="30" fillId="0" borderId="0" xfId="0" applyNumberFormat="1" applyFont="1" applyAlignment="1">
      <alignment vertical="center"/>
    </xf>
    <xf numFmtId="0" fontId="190" fillId="0" borderId="0" xfId="0" applyFont="1" applyAlignment="1">
      <alignment vertical="center"/>
    </xf>
    <xf numFmtId="0" fontId="30" fillId="61" borderId="4" xfId="0" applyFont="1" applyFill="1" applyBorder="1" applyAlignment="1">
      <alignment vertical="center"/>
    </xf>
    <xf numFmtId="0" fontId="47" fillId="62" borderId="75" xfId="0" applyFont="1" applyFill="1" applyBorder="1" applyAlignment="1">
      <alignment horizontal="center" vertical="center" wrapText="1"/>
    </xf>
    <xf numFmtId="0" fontId="47" fillId="62" borderId="76" xfId="0" applyFont="1" applyFill="1" applyBorder="1" applyAlignment="1">
      <alignment horizontal="center" vertical="center" wrapText="1"/>
    </xf>
    <xf numFmtId="0" fontId="47" fillId="62" borderId="165" xfId="0" applyFont="1" applyFill="1" applyBorder="1" applyAlignment="1">
      <alignment horizontal="center" vertical="center" wrapText="1"/>
    </xf>
    <xf numFmtId="0" fontId="47" fillId="62" borderId="148" xfId="0" applyFont="1" applyFill="1" applyBorder="1" applyAlignment="1">
      <alignment horizontal="center" vertical="center" wrapText="1"/>
    </xf>
    <xf numFmtId="0" fontId="47" fillId="62" borderId="136" xfId="0" applyFont="1" applyFill="1" applyBorder="1" applyAlignment="1">
      <alignment horizontal="center" vertical="center" wrapText="1"/>
    </xf>
    <xf numFmtId="0" fontId="30" fillId="0" borderId="163" xfId="0" applyFont="1" applyBorder="1" applyAlignment="1">
      <alignment horizontal="center" vertical="center"/>
    </xf>
    <xf numFmtId="0" fontId="30" fillId="0" borderId="164" xfId="0" applyFont="1" applyBorder="1" applyAlignment="1">
      <alignment horizontal="center" vertical="center"/>
    </xf>
    <xf numFmtId="164" fontId="30" fillId="0" borderId="156" xfId="0" applyNumberFormat="1" applyFont="1" applyBorder="1" applyAlignment="1">
      <alignment vertical="center"/>
    </xf>
    <xf numFmtId="164" fontId="30" fillId="0" borderId="157" xfId="0" applyNumberFormat="1" applyFont="1" applyBorder="1" applyAlignment="1">
      <alignment vertical="center"/>
    </xf>
    <xf numFmtId="0" fontId="53" fillId="0" borderId="7" xfId="0" applyFont="1" applyBorder="1" applyAlignment="1">
      <alignment horizontal="right" vertical="center"/>
    </xf>
    <xf numFmtId="0" fontId="30" fillId="0" borderId="0" xfId="0" applyFont="1" applyAlignment="1">
      <alignment horizontal="right"/>
    </xf>
    <xf numFmtId="0" fontId="63" fillId="0" borderId="0" xfId="0" applyFont="1"/>
    <xf numFmtId="0" fontId="30" fillId="0" borderId="105" xfId="0" applyFont="1" applyBorder="1"/>
    <xf numFmtId="0" fontId="30" fillId="0" borderId="102" xfId="0" applyFont="1" applyBorder="1"/>
    <xf numFmtId="0" fontId="30" fillId="0" borderId="103" xfId="0" applyFont="1" applyBorder="1"/>
    <xf numFmtId="0" fontId="30" fillId="0" borderId="106" xfId="0" applyFont="1" applyBorder="1"/>
    <xf numFmtId="0" fontId="30" fillId="0" borderId="107" xfId="0" applyFont="1" applyBorder="1"/>
    <xf numFmtId="0" fontId="30" fillId="0" borderId="13" xfId="0" applyFont="1" applyBorder="1" applyAlignment="1">
      <alignment horizontal="left" vertical="center" wrapText="1"/>
    </xf>
    <xf numFmtId="0" fontId="30" fillId="0" borderId="14" xfId="0" applyFont="1" applyBorder="1" applyAlignment="1">
      <alignment horizontal="left" vertical="center" wrapText="1"/>
    </xf>
    <xf numFmtId="0" fontId="36" fillId="0" borderId="22" xfId="0" applyFont="1" applyBorder="1" applyAlignment="1">
      <alignment vertical="center"/>
    </xf>
    <xf numFmtId="164" fontId="36" fillId="0" borderId="22" xfId="0" applyNumberFormat="1" applyFont="1" applyBorder="1" applyAlignment="1">
      <alignment vertical="center"/>
    </xf>
    <xf numFmtId="164" fontId="51" fillId="0" borderId="7" xfId="0" applyNumberFormat="1" applyFont="1" applyBorder="1" applyAlignment="1">
      <alignment vertical="center"/>
    </xf>
    <xf numFmtId="173" fontId="30" fillId="0" borderId="7" xfId="12" applyNumberFormat="1" applyFont="1" applyBorder="1"/>
    <xf numFmtId="2" fontId="51" fillId="0" borderId="7" xfId="0" applyNumberFormat="1" applyFont="1" applyBorder="1" applyAlignment="1">
      <alignment vertical="center"/>
    </xf>
    <xf numFmtId="176" fontId="36" fillId="0" borderId="7" xfId="0" applyNumberFormat="1" applyFont="1" applyBorder="1" applyAlignment="1">
      <alignment vertical="center"/>
    </xf>
    <xf numFmtId="176" fontId="36" fillId="0" borderId="0" xfId="0" applyNumberFormat="1" applyFont="1" applyAlignment="1">
      <alignment vertical="center"/>
    </xf>
    <xf numFmtId="166" fontId="30" fillId="0" borderId="7" xfId="2" applyNumberFormat="1" applyFont="1" applyFill="1" applyBorder="1" applyAlignment="1">
      <alignment vertical="center"/>
    </xf>
    <xf numFmtId="166" fontId="51" fillId="0" borderId="7" xfId="2" applyNumberFormat="1" applyFont="1" applyBorder="1" applyAlignment="1">
      <alignment vertical="center"/>
    </xf>
    <xf numFmtId="0" fontId="52" fillId="0" borderId="7" xfId="0" applyFont="1" applyBorder="1" applyAlignment="1">
      <alignment horizontal="center" vertical="center" wrapText="1"/>
    </xf>
    <xf numFmtId="164" fontId="30" fillId="0" borderId="7" xfId="2" applyNumberFormat="1" applyFont="1" applyBorder="1" applyAlignment="1">
      <alignment horizontal="center"/>
    </xf>
    <xf numFmtId="0" fontId="30" fillId="0" borderId="216" xfId="0" applyFont="1" applyBorder="1" applyAlignment="1">
      <alignment vertical="center"/>
    </xf>
    <xf numFmtId="164" fontId="30" fillId="0" borderId="217" xfId="2" applyNumberFormat="1" applyFont="1" applyBorder="1" applyAlignment="1">
      <alignment vertical="center"/>
    </xf>
    <xf numFmtId="164" fontId="30" fillId="0" borderId="217" xfId="2" applyNumberFormat="1" applyFont="1" applyFill="1" applyBorder="1" applyAlignment="1">
      <alignment vertical="center"/>
    </xf>
    <xf numFmtId="164" fontId="30" fillId="0" borderId="217" xfId="0" applyNumberFormat="1" applyFont="1" applyBorder="1" applyAlignment="1">
      <alignment vertical="center"/>
    </xf>
    <xf numFmtId="0" fontId="30" fillId="0" borderId="218" xfId="0" applyFont="1" applyBorder="1" applyAlignment="1">
      <alignment horizontal="center" vertical="center"/>
    </xf>
    <xf numFmtId="0" fontId="3" fillId="0" borderId="0" xfId="0" applyFont="1"/>
    <xf numFmtId="164" fontId="0" fillId="0" borderId="0" xfId="0" applyNumberFormat="1"/>
    <xf numFmtId="166" fontId="53" fillId="0" borderId="7" xfId="0" applyNumberFormat="1" applyFont="1" applyBorder="1" applyAlignment="1">
      <alignment horizontal="center" vertical="center"/>
    </xf>
    <xf numFmtId="9" fontId="44" fillId="0" borderId="7" xfId="0" applyNumberFormat="1" applyFont="1" applyBorder="1" applyAlignment="1">
      <alignment vertical="center"/>
    </xf>
    <xf numFmtId="164" fontId="0" fillId="0" borderId="7" xfId="0" applyNumberFormat="1" applyBorder="1" applyAlignment="1">
      <alignment vertical="center"/>
    </xf>
    <xf numFmtId="0" fontId="30" fillId="12" borderId="7" xfId="4" applyFont="1" applyFill="1" applyBorder="1" applyAlignment="1">
      <alignment vertical="center" wrapText="1"/>
    </xf>
    <xf numFmtId="0" fontId="53" fillId="0" borderId="7" xfId="5" applyFont="1" applyBorder="1" applyAlignment="1">
      <alignment vertical="center"/>
    </xf>
    <xf numFmtId="9" fontId="55" fillId="0" borderId="7" xfId="12" applyFont="1" applyBorder="1" applyAlignment="1">
      <alignment vertical="center"/>
    </xf>
    <xf numFmtId="0" fontId="70" fillId="48" borderId="7" xfId="0" applyFont="1" applyFill="1" applyBorder="1" applyAlignment="1">
      <alignment horizontal="center" vertical="center"/>
    </xf>
    <xf numFmtId="0" fontId="53" fillId="0" borderId="0" xfId="5" applyFont="1" applyAlignment="1">
      <alignment vertical="center" wrapText="1"/>
    </xf>
    <xf numFmtId="0" fontId="36" fillId="66" borderId="129" xfId="0" applyFont="1" applyFill="1" applyBorder="1" applyAlignment="1">
      <alignment vertical="center"/>
    </xf>
    <xf numFmtId="0" fontId="36" fillId="66" borderId="98" xfId="0" applyFont="1" applyFill="1" applyBorder="1" applyAlignment="1">
      <alignment vertical="center"/>
    </xf>
    <xf numFmtId="0" fontId="117" fillId="0" borderId="7" xfId="5" applyFont="1" applyBorder="1" applyAlignment="1">
      <alignment horizontal="left" vertical="center" wrapText="1"/>
    </xf>
    <xf numFmtId="9" fontId="117" fillId="0" borderId="7" xfId="12" applyFont="1" applyBorder="1" applyAlignment="1">
      <alignment vertical="center"/>
    </xf>
    <xf numFmtId="9" fontId="117" fillId="0" borderId="7" xfId="12" applyFont="1" applyFill="1" applyBorder="1" applyAlignment="1">
      <alignment vertical="center"/>
    </xf>
    <xf numFmtId="9" fontId="55" fillId="0" borderId="0" xfId="12" applyFont="1" applyBorder="1" applyAlignment="1">
      <alignment vertical="center"/>
    </xf>
    <xf numFmtId="9" fontId="51" fillId="0" borderId="0" xfId="12" applyFont="1" applyBorder="1" applyAlignment="1">
      <alignment vertical="center"/>
    </xf>
    <xf numFmtId="9" fontId="3" fillId="0" borderId="0" xfId="0" applyNumberFormat="1" applyFont="1"/>
    <xf numFmtId="9" fontId="37" fillId="0" borderId="7" xfId="0" applyNumberFormat="1" applyFont="1" applyBorder="1" applyAlignment="1">
      <alignment vertical="center"/>
    </xf>
    <xf numFmtId="9" fontId="30" fillId="0" borderId="11" xfId="2" applyNumberFormat="1" applyFont="1" applyBorder="1" applyAlignment="1">
      <alignment horizontal="center" vertical="center"/>
    </xf>
    <xf numFmtId="0" fontId="185" fillId="38" borderId="0" xfId="0" applyFont="1" applyFill="1" applyAlignment="1">
      <alignment horizontal="left" vertical="center"/>
    </xf>
    <xf numFmtId="0" fontId="37" fillId="0" borderId="10" xfId="0" applyFont="1" applyBorder="1" applyAlignment="1">
      <alignment vertical="center"/>
    </xf>
    <xf numFmtId="9" fontId="37" fillId="0" borderId="10" xfId="12" applyFont="1" applyBorder="1" applyAlignment="1">
      <alignment vertical="center"/>
    </xf>
    <xf numFmtId="0" fontId="44" fillId="0" borderId="50" xfId="0" applyFont="1" applyBorder="1" applyAlignment="1">
      <alignment vertical="center"/>
    </xf>
    <xf numFmtId="9" fontId="37" fillId="0" borderId="31" xfId="12" applyFont="1" applyBorder="1" applyAlignment="1">
      <alignment vertical="center"/>
    </xf>
    <xf numFmtId="0" fontId="37" fillId="0" borderId="31" xfId="0" applyFont="1" applyBorder="1" applyAlignment="1">
      <alignment vertical="center"/>
    </xf>
    <xf numFmtId="164" fontId="36" fillId="0" borderId="47" xfId="0" applyNumberFormat="1" applyFont="1" applyBorder="1" applyAlignment="1">
      <alignment vertical="center"/>
    </xf>
    <xf numFmtId="0" fontId="36" fillId="0" borderId="47" xfId="0" applyFont="1" applyBorder="1" applyAlignment="1">
      <alignment vertical="center"/>
    </xf>
    <xf numFmtId="0" fontId="44" fillId="0" borderId="9" xfId="0" applyFont="1" applyBorder="1" applyAlignment="1">
      <alignment horizontal="right" vertical="center"/>
    </xf>
    <xf numFmtId="0" fontId="37" fillId="0" borderId="24" xfId="0" quotePrefix="1" applyFont="1" applyBorder="1" applyAlignment="1">
      <alignment horizontal="right" vertical="center"/>
    </xf>
    <xf numFmtId="0" fontId="157" fillId="0" borderId="18" xfId="0" applyFont="1" applyBorder="1" applyAlignment="1">
      <alignment vertical="center"/>
    </xf>
    <xf numFmtId="164" fontId="157" fillId="0" borderId="19" xfId="2" applyNumberFormat="1" applyFont="1" applyBorder="1" applyAlignment="1">
      <alignment vertical="center"/>
    </xf>
    <xf numFmtId="9" fontId="165" fillId="0" borderId="20" xfId="12" applyFont="1" applyBorder="1" applyAlignment="1">
      <alignment horizontal="center" vertical="center"/>
    </xf>
    <xf numFmtId="164" fontId="158" fillId="0" borderId="31" xfId="2" applyNumberFormat="1" applyFont="1" applyBorder="1" applyAlignment="1">
      <alignment vertical="center"/>
    </xf>
    <xf numFmtId="166" fontId="157" fillId="0" borderId="19" xfId="2" applyNumberFormat="1" applyFont="1" applyBorder="1" applyAlignment="1">
      <alignment vertical="center"/>
    </xf>
    <xf numFmtId="166" fontId="157" fillId="0" borderId="22" xfId="2" applyNumberFormat="1" applyFont="1" applyBorder="1" applyAlignment="1">
      <alignment vertical="center"/>
    </xf>
    <xf numFmtId="9" fontId="57" fillId="0" borderId="5" xfId="12" applyFont="1" applyBorder="1"/>
    <xf numFmtId="2" fontId="30" fillId="0" borderId="0" xfId="0" applyNumberFormat="1" applyFont="1"/>
    <xf numFmtId="0" fontId="36" fillId="0" borderId="18" xfId="0" applyFont="1" applyBorder="1" applyAlignment="1">
      <alignment vertical="center"/>
    </xf>
    <xf numFmtId="0" fontId="36" fillId="0" borderId="19" xfId="0" applyFont="1" applyBorder="1" applyAlignment="1">
      <alignment vertical="center"/>
    </xf>
    <xf numFmtId="0" fontId="36" fillId="0" borderId="20" xfId="0" applyFont="1" applyBorder="1" applyAlignment="1">
      <alignment vertical="center"/>
    </xf>
    <xf numFmtId="0" fontId="36" fillId="0" borderId="24" xfId="0" applyFont="1" applyBorder="1" applyAlignment="1">
      <alignment horizontal="center" vertical="center"/>
    </xf>
    <xf numFmtId="1" fontId="30" fillId="0" borderId="10" xfId="0" applyNumberFormat="1" applyFont="1" applyBorder="1" applyAlignment="1">
      <alignment vertical="center"/>
    </xf>
    <xf numFmtId="1" fontId="30" fillId="0" borderId="11" xfId="0" applyNumberFormat="1" applyFont="1" applyBorder="1" applyAlignment="1">
      <alignment vertical="center"/>
    </xf>
    <xf numFmtId="0" fontId="36" fillId="0" borderId="118" xfId="0" applyFont="1" applyBorder="1" applyAlignment="1">
      <alignment horizontal="right" vertical="center"/>
    </xf>
    <xf numFmtId="9" fontId="30" fillId="0" borderId="174" xfId="0" applyNumberFormat="1" applyFont="1" applyBorder="1" applyAlignment="1">
      <alignment vertical="center"/>
    </xf>
    <xf numFmtId="0" fontId="191" fillId="0" borderId="0" xfId="0" applyFont="1" applyAlignment="1">
      <alignment horizontal="justify" vertical="center"/>
    </xf>
    <xf numFmtId="0" fontId="192" fillId="0" borderId="0" xfId="0" applyFont="1" applyAlignment="1">
      <alignment horizontal="left" vertical="center"/>
    </xf>
    <xf numFmtId="0" fontId="193" fillId="0" borderId="7" xfId="0" applyFont="1" applyBorder="1" applyAlignment="1">
      <alignment horizontal="center" vertical="center" wrapText="1"/>
    </xf>
    <xf numFmtId="0" fontId="193" fillId="0" borderId="7" xfId="0" applyFont="1" applyBorder="1" applyAlignment="1">
      <alignment horizontal="left" vertical="center" wrapText="1"/>
    </xf>
    <xf numFmtId="0" fontId="194" fillId="0" borderId="7" xfId="0" applyFont="1" applyBorder="1" applyAlignment="1">
      <alignment horizontal="center" vertical="center" wrapText="1"/>
    </xf>
    <xf numFmtId="0" fontId="30" fillId="0" borderId="24" xfId="0" applyFont="1" applyBorder="1" applyAlignment="1">
      <alignment horizontal="left" vertical="center"/>
    </xf>
    <xf numFmtId="164" fontId="30" fillId="0" borderId="10" xfId="2" applyNumberFormat="1" applyFont="1" applyBorder="1"/>
    <xf numFmtId="0" fontId="36" fillId="0" borderId="21" xfId="0" quotePrefix="1" applyFont="1" applyBorder="1" applyAlignment="1">
      <alignment vertical="center" wrapText="1"/>
    </xf>
    <xf numFmtId="170" fontId="36" fillId="0" borderId="22" xfId="0" applyNumberFormat="1" applyFont="1" applyBorder="1" applyAlignment="1">
      <alignment vertical="center"/>
    </xf>
    <xf numFmtId="9" fontId="37" fillId="0" borderId="0" xfId="12" applyFont="1" applyAlignment="1">
      <alignment horizontal="center" vertical="center"/>
    </xf>
    <xf numFmtId="0" fontId="38" fillId="0" borderId="15" xfId="0" applyFont="1" applyBorder="1" applyAlignment="1">
      <alignment horizontal="left" vertical="center"/>
    </xf>
    <xf numFmtId="0" fontId="195" fillId="0" borderId="4" xfId="0" applyFont="1" applyBorder="1" applyAlignment="1">
      <alignment horizontal="left" vertical="center"/>
    </xf>
    <xf numFmtId="0" fontId="196" fillId="0" borderId="37" xfId="0" applyFont="1" applyBorder="1" applyAlignment="1">
      <alignment vertical="center" wrapText="1"/>
    </xf>
    <xf numFmtId="9" fontId="196" fillId="88" borderId="36" xfId="0" applyNumberFormat="1" applyFont="1" applyFill="1" applyBorder="1" applyAlignment="1">
      <alignment horizontal="center" vertical="center"/>
    </xf>
    <xf numFmtId="0" fontId="196" fillId="0" borderId="114" xfId="0" applyFont="1" applyBorder="1" applyAlignment="1">
      <alignment vertical="center" wrapText="1"/>
    </xf>
    <xf numFmtId="9" fontId="196" fillId="88" borderId="99" xfId="0" applyNumberFormat="1" applyFont="1" applyFill="1" applyBorder="1" applyAlignment="1">
      <alignment horizontal="center" vertical="center"/>
    </xf>
    <xf numFmtId="0" fontId="196" fillId="0" borderId="6" xfId="0" applyFont="1" applyBorder="1" applyAlignment="1">
      <alignment vertical="center" wrapText="1"/>
    </xf>
    <xf numFmtId="9" fontId="196" fillId="88" borderId="40" xfId="0" applyNumberFormat="1" applyFont="1" applyFill="1" applyBorder="1" applyAlignment="1">
      <alignment horizontal="center" vertical="center"/>
    </xf>
    <xf numFmtId="9" fontId="196" fillId="87" borderId="40" xfId="0" applyNumberFormat="1" applyFont="1" applyFill="1" applyBorder="1" applyAlignment="1">
      <alignment horizontal="center" vertical="center"/>
    </xf>
    <xf numFmtId="0" fontId="196" fillId="0" borderId="100" xfId="0" applyFont="1" applyBorder="1" applyAlignment="1">
      <alignment vertical="center" wrapText="1"/>
    </xf>
    <xf numFmtId="9" fontId="196" fillId="87" borderId="104" xfId="0" applyNumberFormat="1" applyFont="1" applyFill="1" applyBorder="1" applyAlignment="1">
      <alignment horizontal="center" vertical="center"/>
    </xf>
    <xf numFmtId="0" fontId="195" fillId="0" borderId="15" xfId="0" applyFont="1" applyBorder="1" applyAlignment="1">
      <alignment horizontal="left" vertical="center"/>
    </xf>
    <xf numFmtId="9" fontId="38" fillId="0" borderId="58" xfId="0" applyNumberFormat="1" applyFont="1" applyBorder="1" applyAlignment="1">
      <alignment horizontal="center" vertical="center"/>
    </xf>
    <xf numFmtId="9" fontId="196" fillId="89" borderId="99" xfId="0" applyNumberFormat="1" applyFont="1" applyFill="1" applyBorder="1" applyAlignment="1">
      <alignment horizontal="center" vertical="center"/>
    </xf>
    <xf numFmtId="0" fontId="196" fillId="0" borderId="43" xfId="0" applyFont="1" applyBorder="1" applyAlignment="1">
      <alignment vertical="center" wrapText="1"/>
    </xf>
    <xf numFmtId="9" fontId="196" fillId="0" borderId="42" xfId="0" applyNumberFormat="1" applyFont="1" applyBorder="1" applyAlignment="1">
      <alignment horizontal="center" vertical="center"/>
    </xf>
    <xf numFmtId="0" fontId="161" fillId="37" borderId="7" xfId="0" applyFont="1" applyFill="1" applyBorder="1" applyAlignment="1">
      <alignment horizontal="center" vertical="center" wrapText="1"/>
    </xf>
    <xf numFmtId="0" fontId="161" fillId="37" borderId="30" xfId="0" applyFont="1" applyFill="1" applyBorder="1" applyAlignment="1">
      <alignment horizontal="center" vertical="center" wrapText="1"/>
    </xf>
    <xf numFmtId="0" fontId="161" fillId="37" borderId="49" xfId="0" applyFont="1" applyFill="1" applyBorder="1" applyAlignment="1">
      <alignment horizontal="center" vertical="center" wrapText="1"/>
    </xf>
    <xf numFmtId="1" fontId="162" fillId="0" borderId="7" xfId="0" applyNumberFormat="1" applyFont="1" applyBorder="1" applyAlignment="1">
      <alignment horizontal="center" vertical="center"/>
    </xf>
    <xf numFmtId="9" fontId="163" fillId="0" borderId="7" xfId="12" applyFont="1" applyBorder="1" applyAlignment="1">
      <alignment horizontal="center" vertical="center"/>
    </xf>
    <xf numFmtId="1" fontId="31" fillId="0" borderId="10" xfId="0" applyNumberFormat="1" applyFont="1" applyBorder="1" applyAlignment="1">
      <alignment horizontal="center" vertical="center"/>
    </xf>
    <xf numFmtId="9" fontId="164" fillId="0" borderId="10" xfId="12" applyFont="1" applyBorder="1" applyAlignment="1">
      <alignment horizontal="center" vertical="center"/>
    </xf>
    <xf numFmtId="0" fontId="50" fillId="0" borderId="7" xfId="0" applyFont="1" applyBorder="1" applyAlignment="1">
      <alignment vertical="center"/>
    </xf>
    <xf numFmtId="0" fontId="50" fillId="0" borderId="25" xfId="0" applyFont="1" applyBorder="1" applyAlignment="1">
      <alignment vertical="center"/>
    </xf>
    <xf numFmtId="0" fontId="50" fillId="0" borderId="10" xfId="0" applyFont="1" applyBorder="1" applyAlignment="1">
      <alignment vertical="center"/>
    </xf>
    <xf numFmtId="0" fontId="50" fillId="0" borderId="11" xfId="0" applyFont="1" applyBorder="1" applyAlignment="1">
      <alignment vertical="center"/>
    </xf>
    <xf numFmtId="9" fontId="198" fillId="0" borderId="19" xfId="12" applyFont="1" applyBorder="1" applyAlignment="1">
      <alignment horizontal="center" vertical="center"/>
    </xf>
    <xf numFmtId="9" fontId="198" fillId="0" borderId="20" xfId="12" applyFont="1" applyBorder="1" applyAlignment="1">
      <alignment horizontal="center" vertical="center"/>
    </xf>
    <xf numFmtId="9" fontId="0" fillId="0" borderId="7" xfId="12" applyFont="1" applyBorder="1" applyAlignment="1">
      <alignment vertical="center"/>
    </xf>
    <xf numFmtId="0" fontId="36" fillId="0" borderId="10" xfId="0" applyFont="1" applyBorder="1" applyAlignment="1">
      <alignment vertical="center"/>
    </xf>
    <xf numFmtId="0" fontId="100" fillId="37" borderId="7" xfId="0" applyFont="1" applyFill="1" applyBorder="1" applyAlignment="1">
      <alignment horizontal="center" vertical="center"/>
    </xf>
    <xf numFmtId="9" fontId="198" fillId="0" borderId="7" xfId="12" applyFont="1" applyBorder="1" applyAlignment="1">
      <alignment horizontal="center" vertical="center"/>
    </xf>
    <xf numFmtId="0" fontId="51" fillId="0" borderId="20" xfId="0" applyFont="1" applyBorder="1" applyAlignment="1">
      <alignment horizontal="center" vertical="center"/>
    </xf>
    <xf numFmtId="9" fontId="51" fillId="0" borderId="25" xfId="12" applyFont="1" applyBorder="1"/>
    <xf numFmtId="164" fontId="51" fillId="0" borderId="11" xfId="0" applyNumberFormat="1" applyFont="1" applyBorder="1" applyAlignment="1">
      <alignment vertical="center"/>
    </xf>
    <xf numFmtId="9" fontId="36" fillId="0" borderId="10" xfId="0" applyNumberFormat="1" applyFont="1" applyBorder="1" applyAlignment="1">
      <alignment vertical="center"/>
    </xf>
    <xf numFmtId="9" fontId="198" fillId="0" borderId="25" xfId="12" applyFont="1" applyBorder="1" applyAlignment="1">
      <alignment horizontal="center" vertical="center"/>
    </xf>
    <xf numFmtId="9" fontId="198" fillId="0" borderId="0" xfId="12" applyFont="1" applyAlignment="1">
      <alignment horizontal="center" vertical="center"/>
    </xf>
    <xf numFmtId="0" fontId="188" fillId="0" borderId="7" xfId="0" applyFont="1" applyBorder="1" applyAlignment="1">
      <alignment vertical="center"/>
    </xf>
    <xf numFmtId="9" fontId="188" fillId="0" borderId="7" xfId="12" applyFont="1" applyBorder="1" applyAlignment="1">
      <alignment vertical="center"/>
    </xf>
    <xf numFmtId="9" fontId="176" fillId="0" borderId="7" xfId="12" applyFont="1" applyBorder="1" applyAlignment="1">
      <alignment horizontal="center" vertical="center"/>
    </xf>
    <xf numFmtId="173" fontId="176" fillId="0" borderId="7" xfId="12" applyNumberFormat="1" applyFont="1" applyBorder="1" applyAlignment="1">
      <alignment horizontal="center" vertical="center"/>
    </xf>
    <xf numFmtId="9" fontId="176" fillId="0" borderId="19" xfId="12" applyFont="1" applyBorder="1" applyAlignment="1">
      <alignment horizontal="center" vertical="center"/>
    </xf>
    <xf numFmtId="9" fontId="178" fillId="0" borderId="10" xfId="12" applyFont="1" applyBorder="1" applyAlignment="1">
      <alignment horizontal="center" vertical="center"/>
    </xf>
    <xf numFmtId="173" fontId="188" fillId="0" borderId="7" xfId="12" applyNumberFormat="1" applyFont="1" applyBorder="1" applyAlignment="1">
      <alignment vertical="center"/>
    </xf>
    <xf numFmtId="166" fontId="30" fillId="0" borderId="0" xfId="2" applyNumberFormat="1" applyFont="1" applyAlignment="1">
      <alignment horizontal="center" vertical="center"/>
    </xf>
    <xf numFmtId="164" fontId="162" fillId="0" borderId="19" xfId="2" applyNumberFormat="1" applyFont="1" applyFill="1" applyBorder="1" applyAlignment="1">
      <alignment vertical="center"/>
    </xf>
    <xf numFmtId="164" fontId="162" fillId="0" borderId="7" xfId="2" applyNumberFormat="1" applyFont="1" applyFill="1" applyBorder="1" applyAlignment="1">
      <alignment vertical="center"/>
    </xf>
    <xf numFmtId="0" fontId="100" fillId="37" borderId="18" xfId="0" applyFont="1" applyFill="1" applyBorder="1" applyAlignment="1">
      <alignment horizontal="center" vertical="center"/>
    </xf>
    <xf numFmtId="0" fontId="100" fillId="37" borderId="24" xfId="0" applyFont="1" applyFill="1" applyBorder="1" applyAlignment="1">
      <alignment horizontal="center" vertical="center"/>
    </xf>
    <xf numFmtId="0" fontId="161" fillId="37" borderId="25" xfId="0" applyFont="1" applyFill="1" applyBorder="1" applyAlignment="1">
      <alignment horizontal="center" vertical="center" wrapText="1"/>
    </xf>
    <xf numFmtId="0" fontId="188" fillId="0" borderId="24" xfId="0" applyFont="1" applyBorder="1" applyAlignment="1">
      <alignment vertical="center"/>
    </xf>
    <xf numFmtId="9" fontId="188" fillId="0" borderId="25" xfId="12" applyFont="1" applyBorder="1" applyAlignment="1">
      <alignment vertical="center"/>
    </xf>
    <xf numFmtId="0" fontId="188" fillId="0" borderId="9" xfId="0" applyFont="1" applyBorder="1" applyAlignment="1">
      <alignment vertical="center"/>
    </xf>
    <xf numFmtId="9" fontId="188" fillId="0" borderId="10" xfId="12" applyFont="1" applyBorder="1" applyAlignment="1">
      <alignment vertical="center"/>
    </xf>
    <xf numFmtId="9" fontId="188" fillId="0" borderId="11" xfId="12" applyFont="1" applyBorder="1" applyAlignment="1">
      <alignment vertical="center"/>
    </xf>
    <xf numFmtId="0" fontId="0" fillId="0" borderId="24" xfId="0" applyBorder="1" applyAlignment="1">
      <alignment vertical="center"/>
    </xf>
    <xf numFmtId="9" fontId="0" fillId="0" borderId="25" xfId="12" applyFont="1" applyBorder="1" applyAlignment="1">
      <alignment vertical="center"/>
    </xf>
    <xf numFmtId="0" fontId="2" fillId="0" borderId="9" xfId="0" applyFont="1" applyBorder="1" applyAlignment="1">
      <alignment vertical="center"/>
    </xf>
    <xf numFmtId="9" fontId="0" fillId="0" borderId="10" xfId="12" applyFont="1" applyBorder="1" applyAlignment="1">
      <alignment vertical="center"/>
    </xf>
    <xf numFmtId="9" fontId="0" fillId="0" borderId="11" xfId="12" applyFont="1" applyBorder="1" applyAlignment="1">
      <alignment vertical="center"/>
    </xf>
    <xf numFmtId="9" fontId="187" fillId="0" borderId="11" xfId="12" applyFont="1" applyBorder="1" applyAlignment="1">
      <alignment horizontal="center" vertical="center"/>
    </xf>
    <xf numFmtId="0" fontId="1" fillId="0" borderId="0" xfId="0" applyFont="1"/>
    <xf numFmtId="164" fontId="30" fillId="0" borderId="7" xfId="0" applyNumberFormat="1" applyFont="1" applyBorder="1" applyAlignment="1">
      <alignment vertical="center" wrapText="1"/>
    </xf>
    <xf numFmtId="164" fontId="36" fillId="0" borderId="7" xfId="0" applyNumberFormat="1" applyFont="1" applyBorder="1" applyAlignment="1">
      <alignment vertical="center" wrapText="1"/>
    </xf>
    <xf numFmtId="0" fontId="51" fillId="0" borderId="19" xfId="0" applyFont="1" applyBorder="1" applyAlignment="1">
      <alignment horizontal="center" vertical="center"/>
    </xf>
    <xf numFmtId="9" fontId="36" fillId="0" borderId="25" xfId="12" applyFont="1" applyFill="1" applyBorder="1"/>
    <xf numFmtId="164" fontId="51" fillId="0" borderId="10" xfId="0" applyNumberFormat="1" applyFont="1" applyBorder="1" applyAlignment="1">
      <alignment vertical="center"/>
    </xf>
    <xf numFmtId="164" fontId="36" fillId="0" borderId="10" xfId="2" applyNumberFormat="1" applyFont="1" applyFill="1" applyBorder="1"/>
    <xf numFmtId="9" fontId="36" fillId="0" borderId="11" xfId="12" applyFont="1" applyFill="1" applyBorder="1"/>
    <xf numFmtId="0" fontId="65" fillId="0" borderId="0" xfId="0" applyFont="1" applyAlignment="1">
      <alignment vertical="center"/>
    </xf>
    <xf numFmtId="164" fontId="51" fillId="0" borderId="7" xfId="12" applyNumberFormat="1" applyFont="1" applyFill="1" applyBorder="1"/>
    <xf numFmtId="0" fontId="36" fillId="0" borderId="9" xfId="0" applyFont="1" applyBorder="1" applyAlignment="1">
      <alignment horizontal="center" vertical="center"/>
    </xf>
    <xf numFmtId="9" fontId="0" fillId="0" borderId="7" xfId="12" applyFont="1" applyBorder="1"/>
    <xf numFmtId="164" fontId="30" fillId="0" borderId="10" xfId="0" applyNumberFormat="1" applyFont="1" applyBorder="1" applyAlignment="1">
      <alignment vertical="center"/>
    </xf>
    <xf numFmtId="0" fontId="183" fillId="0" borderId="0" xfId="0" applyFont="1" applyAlignment="1">
      <alignment vertical="center"/>
    </xf>
    <xf numFmtId="0" fontId="199" fillId="0" borderId="7" xfId="0" applyFont="1" applyBorder="1" applyAlignment="1">
      <alignment vertical="center"/>
    </xf>
    <xf numFmtId="9" fontId="199" fillId="87" borderId="7" xfId="0" applyNumberFormat="1" applyFont="1" applyFill="1" applyBorder="1" applyAlignment="1">
      <alignment horizontal="center" vertical="center" wrapText="1"/>
    </xf>
    <xf numFmtId="9" fontId="199" fillId="88" borderId="7" xfId="0" applyNumberFormat="1" applyFont="1" applyFill="1" applyBorder="1" applyAlignment="1">
      <alignment horizontal="center" vertical="center" wrapText="1"/>
    </xf>
    <xf numFmtId="0" fontId="199" fillId="0" borderId="7" xfId="0" applyFont="1" applyBorder="1" applyAlignment="1">
      <alignment vertical="center" wrapText="1"/>
    </xf>
    <xf numFmtId="9" fontId="199" fillId="89" borderId="7" xfId="0" applyNumberFormat="1" applyFont="1" applyFill="1" applyBorder="1" applyAlignment="1">
      <alignment horizontal="center" vertical="center"/>
    </xf>
    <xf numFmtId="0" fontId="43" fillId="0" borderId="15" xfId="0" applyFont="1" applyBorder="1" applyAlignment="1">
      <alignment horizontal="left" vertical="center"/>
    </xf>
    <xf numFmtId="0" fontId="188" fillId="0" borderId="114" xfId="0" applyFont="1" applyBorder="1" applyAlignment="1">
      <alignment vertical="center" wrapText="1"/>
    </xf>
    <xf numFmtId="0" fontId="188" fillId="0" borderId="6" xfId="0" applyFont="1" applyBorder="1" applyAlignment="1">
      <alignment vertical="center" wrapText="1"/>
    </xf>
    <xf numFmtId="0" fontId="188" fillId="0" borderId="100" xfId="0" applyFont="1" applyBorder="1" applyAlignment="1">
      <alignment vertical="center" wrapText="1"/>
    </xf>
    <xf numFmtId="0" fontId="188" fillId="0" borderId="114" xfId="0" applyFont="1" applyBorder="1" applyAlignment="1">
      <alignment vertical="center"/>
    </xf>
    <xf numFmtId="0" fontId="188" fillId="0" borderId="43" xfId="0" applyFont="1" applyBorder="1" applyAlignment="1">
      <alignment vertical="center"/>
    </xf>
    <xf numFmtId="9" fontId="188" fillId="88" borderId="36" xfId="0" applyNumberFormat="1" applyFont="1" applyFill="1" applyBorder="1" applyAlignment="1">
      <alignment horizontal="center" vertical="center" wrapText="1"/>
    </xf>
    <xf numFmtId="9" fontId="188" fillId="88" borderId="40" xfId="0" applyNumberFormat="1" applyFont="1" applyFill="1" applyBorder="1" applyAlignment="1">
      <alignment horizontal="center" vertical="center" wrapText="1"/>
    </xf>
    <xf numFmtId="9" fontId="188" fillId="87" borderId="40" xfId="0" applyNumberFormat="1" applyFont="1" applyFill="1" applyBorder="1" applyAlignment="1">
      <alignment horizontal="center" vertical="center" wrapText="1"/>
    </xf>
    <xf numFmtId="9" fontId="188" fillId="87" borderId="104" xfId="0" applyNumberFormat="1" applyFont="1" applyFill="1" applyBorder="1" applyAlignment="1">
      <alignment horizontal="center" vertical="center" wrapText="1"/>
    </xf>
    <xf numFmtId="9" fontId="188" fillId="89" borderId="99" xfId="0" applyNumberFormat="1" applyFont="1" applyFill="1" applyBorder="1" applyAlignment="1">
      <alignment horizontal="center" vertical="center"/>
    </xf>
    <xf numFmtId="9" fontId="188" fillId="0" borderId="42" xfId="0" applyNumberFormat="1" applyFont="1" applyBorder="1" applyAlignment="1">
      <alignment horizontal="center" vertical="center"/>
    </xf>
    <xf numFmtId="10" fontId="36" fillId="0" borderId="0" xfId="12" applyNumberFormat="1" applyFont="1"/>
    <xf numFmtId="0" fontId="2" fillId="0" borderId="7" xfId="0" applyFont="1" applyBorder="1"/>
    <xf numFmtId="164" fontId="0" fillId="0" borderId="7" xfId="2" applyNumberFormat="1" applyFont="1" applyBorder="1"/>
    <xf numFmtId="164" fontId="154" fillId="0" borderId="46" xfId="2" applyNumberFormat="1" applyFont="1" applyFill="1" applyBorder="1" applyAlignment="1">
      <alignment vertical="center"/>
    </xf>
    <xf numFmtId="10" fontId="30" fillId="0" borderId="0" xfId="12" applyNumberFormat="1" applyFont="1"/>
    <xf numFmtId="173" fontId="51" fillId="0" borderId="7" xfId="12" applyNumberFormat="1" applyFont="1" applyFill="1" applyBorder="1"/>
    <xf numFmtId="1" fontId="30" fillId="0" borderId="0" xfId="0" applyNumberFormat="1" applyFont="1"/>
    <xf numFmtId="171" fontId="30" fillId="0" borderId="0" xfId="0" applyNumberFormat="1" applyFont="1" applyAlignment="1">
      <alignment vertical="center"/>
    </xf>
    <xf numFmtId="0" fontId="100" fillId="37" borderId="37" xfId="0" applyFont="1" applyFill="1" applyBorder="1" applyAlignment="1">
      <alignment horizontal="center" vertical="center"/>
    </xf>
    <xf numFmtId="0" fontId="100" fillId="37" borderId="100" xfId="0" applyFont="1" applyFill="1" applyBorder="1" applyAlignment="1">
      <alignment horizontal="center" vertical="center"/>
    </xf>
    <xf numFmtId="0" fontId="100" fillId="37" borderId="36" xfId="0" applyFont="1" applyFill="1" applyBorder="1" applyAlignment="1">
      <alignment horizontal="center" vertical="center" wrapText="1"/>
    </xf>
    <xf numFmtId="0" fontId="100" fillId="37" borderId="104" xfId="0" applyFont="1" applyFill="1" applyBorder="1" applyAlignment="1">
      <alignment horizontal="center" vertical="center" wrapText="1"/>
    </xf>
    <xf numFmtId="0" fontId="161" fillId="37" borderId="16" xfId="0" applyFont="1" applyFill="1" applyBorder="1" applyAlignment="1">
      <alignment horizontal="center" vertical="center" wrapText="1"/>
    </xf>
    <xf numFmtId="0" fontId="161" fillId="37" borderId="17" xfId="0" applyFont="1" applyFill="1" applyBorder="1" applyAlignment="1">
      <alignment horizontal="center" vertical="center" wrapText="1"/>
    </xf>
    <xf numFmtId="0" fontId="161" fillId="37" borderId="7" xfId="0" applyFont="1" applyFill="1" applyBorder="1" applyAlignment="1">
      <alignment horizontal="center" vertical="center" wrapText="1"/>
    </xf>
    <xf numFmtId="0" fontId="161" fillId="37" borderId="19" xfId="0" applyFont="1" applyFill="1" applyBorder="1" applyAlignment="1">
      <alignment horizontal="center" vertical="center" wrapText="1"/>
    </xf>
    <xf numFmtId="0" fontId="161" fillId="37" borderId="20" xfId="0" applyFont="1" applyFill="1" applyBorder="1" applyAlignment="1">
      <alignment horizontal="center" vertical="center" wrapText="1"/>
    </xf>
    <xf numFmtId="0" fontId="185" fillId="38" borderId="0" xfId="0" applyFont="1" applyFill="1" applyAlignment="1">
      <alignment horizontal="left" vertical="center"/>
    </xf>
    <xf numFmtId="0" fontId="36" fillId="14" borderId="54" xfId="0" applyFont="1" applyFill="1" applyBorder="1" applyAlignment="1">
      <alignment horizontal="left" vertical="center" wrapText="1"/>
    </xf>
    <xf numFmtId="0" fontId="36" fillId="14" borderId="50" xfId="0" applyFont="1" applyFill="1" applyBorder="1" applyAlignment="1">
      <alignment horizontal="left" vertical="center" wrapText="1"/>
    </xf>
    <xf numFmtId="0" fontId="48" fillId="4" borderId="15" xfId="0" applyFont="1" applyFill="1" applyBorder="1" applyAlignment="1">
      <alignment horizontal="center" vertical="center"/>
    </xf>
    <xf numFmtId="0" fontId="48" fillId="4" borderId="16" xfId="0" applyFont="1" applyFill="1" applyBorder="1" applyAlignment="1">
      <alignment horizontal="center" vertical="center"/>
    </xf>
    <xf numFmtId="0" fontId="48" fillId="4" borderId="17" xfId="0" applyFont="1" applyFill="1" applyBorder="1" applyAlignment="1">
      <alignment horizontal="center" vertical="center"/>
    </xf>
    <xf numFmtId="0" fontId="100" fillId="5" borderId="15" xfId="0" applyFont="1" applyFill="1" applyBorder="1" applyAlignment="1">
      <alignment horizontal="center" vertical="center"/>
    </xf>
    <xf numFmtId="0" fontId="100" fillId="5" borderId="16" xfId="0" applyFont="1" applyFill="1" applyBorder="1" applyAlignment="1">
      <alignment horizontal="center" vertical="center"/>
    </xf>
    <xf numFmtId="0" fontId="100" fillId="5" borderId="17" xfId="0" applyFont="1" applyFill="1" applyBorder="1" applyAlignment="1">
      <alignment horizontal="center" vertical="center"/>
    </xf>
    <xf numFmtId="0" fontId="30" fillId="0" borderId="7" xfId="0" applyFont="1" applyBorder="1" applyAlignment="1">
      <alignment horizontal="center" vertical="center"/>
    </xf>
    <xf numFmtId="0" fontId="30" fillId="0" borderId="25" xfId="0" applyFont="1" applyBorder="1" applyAlignment="1">
      <alignment horizontal="center" vertical="center"/>
    </xf>
    <xf numFmtId="167" fontId="30" fillId="8" borderId="10" xfId="0" applyNumberFormat="1" applyFont="1" applyFill="1" applyBorder="1" applyAlignment="1">
      <alignment horizontal="center" vertical="center"/>
    </xf>
    <xf numFmtId="167" fontId="30" fillId="8" borderId="11" xfId="0" applyNumberFormat="1" applyFont="1" applyFill="1" applyBorder="1" applyAlignment="1">
      <alignment horizontal="center" vertical="center"/>
    </xf>
    <xf numFmtId="0" fontId="62" fillId="0" borderId="76" xfId="0" applyFont="1" applyBorder="1" applyAlignment="1">
      <alignment horizontal="center" vertical="center"/>
    </xf>
    <xf numFmtId="0" fontId="62" fillId="0" borderId="77" xfId="0" applyFont="1" applyBorder="1" applyAlignment="1">
      <alignment horizontal="center" vertical="center"/>
    </xf>
    <xf numFmtId="0" fontId="36" fillId="11" borderId="1" xfId="0" applyFont="1" applyFill="1" applyBorder="1" applyAlignment="1">
      <alignment horizontal="center" vertical="center"/>
    </xf>
    <xf numFmtId="0" fontId="36" fillId="11" borderId="2" xfId="0" applyFont="1" applyFill="1" applyBorder="1" applyAlignment="1">
      <alignment horizontal="center" vertical="center"/>
    </xf>
    <xf numFmtId="0" fontId="36" fillId="11" borderId="3" xfId="0" applyFont="1" applyFill="1" applyBorder="1" applyAlignment="1">
      <alignment horizontal="center" vertical="center"/>
    </xf>
    <xf numFmtId="0" fontId="30" fillId="0" borderId="37" xfId="0" quotePrefix="1" applyFont="1" applyBorder="1" applyAlignment="1">
      <alignment horizontal="left" vertical="center" wrapText="1"/>
    </xf>
    <xf numFmtId="0" fontId="30" fillId="0" borderId="38" xfId="0" applyFont="1" applyBorder="1" applyAlignment="1">
      <alignment horizontal="left" vertical="center" wrapText="1"/>
    </xf>
    <xf numFmtId="0" fontId="30" fillId="0" borderId="39" xfId="0" applyFont="1" applyBorder="1" applyAlignment="1">
      <alignment horizontal="left" vertical="center" wrapText="1"/>
    </xf>
    <xf numFmtId="0" fontId="30" fillId="0" borderId="6" xfId="0" quotePrefix="1" applyFont="1" applyBorder="1" applyAlignment="1">
      <alignment horizontal="left" vertical="center" wrapText="1"/>
    </xf>
    <xf numFmtId="0" fontId="30" fillId="0" borderId="41" xfId="0" applyFont="1" applyBorder="1" applyAlignment="1">
      <alignment horizontal="left" vertical="center" wrapText="1"/>
    </xf>
    <xf numFmtId="0" fontId="30" fillId="0" borderId="8" xfId="0" applyFont="1" applyBorder="1" applyAlignment="1">
      <alignment horizontal="left" vertical="center" wrapText="1"/>
    </xf>
    <xf numFmtId="0" fontId="30" fillId="0" borderId="43" xfId="0" applyFont="1" applyBorder="1" applyAlignment="1">
      <alignment horizontal="left" vertical="center" wrapText="1"/>
    </xf>
    <xf numFmtId="0" fontId="30" fillId="0" borderId="44" xfId="0" applyFont="1" applyBorder="1" applyAlignment="1">
      <alignment horizontal="left" vertical="center" wrapText="1"/>
    </xf>
    <xf numFmtId="0" fontId="30" fillId="0" borderId="45" xfId="0" applyFont="1" applyBorder="1" applyAlignment="1">
      <alignment horizontal="left" vertical="center" wrapText="1"/>
    </xf>
    <xf numFmtId="0" fontId="53" fillId="0" borderId="6" xfId="0" applyFont="1" applyBorder="1" applyAlignment="1">
      <alignment horizontal="left" vertical="center" wrapText="1"/>
    </xf>
    <xf numFmtId="0" fontId="53" fillId="0" borderId="41" xfId="0" applyFont="1" applyBorder="1" applyAlignment="1">
      <alignment horizontal="left" vertical="center" wrapText="1"/>
    </xf>
    <xf numFmtId="0" fontId="53" fillId="0" borderId="8" xfId="0" applyFont="1" applyBorder="1" applyAlignment="1">
      <alignment horizontal="left" vertical="center" wrapText="1"/>
    </xf>
    <xf numFmtId="0" fontId="30" fillId="0" borderId="33" xfId="0" applyFont="1" applyBorder="1" applyAlignment="1">
      <alignment horizontal="center" vertical="center"/>
    </xf>
    <xf numFmtId="0" fontId="30" fillId="0" borderId="34" xfId="0" applyFont="1" applyBorder="1" applyAlignment="1">
      <alignment horizontal="center" vertical="center"/>
    </xf>
    <xf numFmtId="0" fontId="36" fillId="0" borderId="59" xfId="0" applyFont="1" applyBorder="1" applyAlignment="1">
      <alignment horizontal="center" vertical="center"/>
    </xf>
    <xf numFmtId="0" fontId="36" fillId="0" borderId="60" xfId="0" applyFont="1" applyBorder="1" applyAlignment="1">
      <alignment horizontal="center" vertical="center"/>
    </xf>
    <xf numFmtId="0" fontId="36" fillId="0" borderId="61" xfId="0" applyFont="1" applyBorder="1" applyAlignment="1">
      <alignment horizontal="center" vertical="center"/>
    </xf>
    <xf numFmtId="164" fontId="30" fillId="0" borderId="26" xfId="2" applyNumberFormat="1" applyFont="1" applyBorder="1" applyAlignment="1">
      <alignment vertical="center"/>
    </xf>
    <xf numFmtId="164" fontId="30" fillId="0" borderId="46" xfId="2" applyNumberFormat="1" applyFont="1" applyBorder="1" applyAlignment="1">
      <alignment vertical="center"/>
    </xf>
    <xf numFmtId="164" fontId="30" fillId="0" borderId="31" xfId="2" applyNumberFormat="1" applyFont="1" applyBorder="1" applyAlignment="1">
      <alignment vertical="center"/>
    </xf>
    <xf numFmtId="0" fontId="30" fillId="0" borderId="5" xfId="0" applyFont="1" applyBorder="1" applyAlignment="1">
      <alignment horizontal="center" vertical="center"/>
    </xf>
    <xf numFmtId="0" fontId="30" fillId="0" borderId="0" xfId="0" applyFont="1" applyAlignment="1">
      <alignment horizontal="center" vertical="center"/>
    </xf>
    <xf numFmtId="0" fontId="30" fillId="0" borderId="12" xfId="0" applyFont="1" applyBorder="1" applyAlignment="1">
      <alignment horizontal="center" vertical="center"/>
    </xf>
    <xf numFmtId="0" fontId="30" fillId="0" borderId="8" xfId="0" applyFont="1" applyBorder="1" applyAlignment="1">
      <alignment horizontal="center" vertical="center"/>
    </xf>
    <xf numFmtId="0" fontId="30" fillId="0" borderId="78" xfId="0" applyFont="1" applyBorder="1" applyAlignment="1">
      <alignment horizontal="center" vertical="center"/>
    </xf>
    <xf numFmtId="0" fontId="30" fillId="0" borderId="79" xfId="0" applyFont="1" applyBorder="1" applyAlignment="1">
      <alignment horizontal="center" vertical="center"/>
    </xf>
    <xf numFmtId="0" fontId="30" fillId="0" borderId="6" xfId="0" applyFont="1" applyBorder="1" applyAlignment="1">
      <alignment horizontal="left" vertical="center" wrapText="1"/>
    </xf>
    <xf numFmtId="0" fontId="36" fillId="66" borderId="129" xfId="0" applyFont="1" applyFill="1" applyBorder="1" applyAlignment="1">
      <alignment horizontal="center" vertical="center"/>
    </xf>
    <xf numFmtId="0" fontId="36" fillId="66" borderId="98" xfId="0" applyFont="1" applyFill="1" applyBorder="1" applyAlignment="1">
      <alignment horizontal="center" vertical="center"/>
    </xf>
    <xf numFmtId="0" fontId="30" fillId="0" borderId="129" xfId="0" applyFont="1" applyBorder="1" applyAlignment="1">
      <alignment horizontal="center" vertical="center"/>
    </xf>
    <xf numFmtId="0" fontId="30" fillId="0" borderId="130" xfId="0" applyFont="1" applyBorder="1" applyAlignment="1">
      <alignment horizontal="center" vertical="center"/>
    </xf>
    <xf numFmtId="0" fontId="30" fillId="0" borderId="131" xfId="0" applyFont="1" applyBorder="1" applyAlignment="1">
      <alignment horizontal="center" vertical="center"/>
    </xf>
    <xf numFmtId="0" fontId="30" fillId="0" borderId="132" xfId="0" applyFont="1" applyBorder="1" applyAlignment="1">
      <alignment horizontal="center" vertical="center"/>
    </xf>
    <xf numFmtId="0" fontId="32" fillId="5" borderId="15" xfId="0" applyFont="1" applyFill="1" applyBorder="1" applyAlignment="1">
      <alignment horizontal="center" vertical="center"/>
    </xf>
    <xf numFmtId="0" fontId="32" fillId="5" borderId="16" xfId="0" applyFont="1" applyFill="1" applyBorder="1" applyAlignment="1">
      <alignment horizontal="center" vertical="center"/>
    </xf>
    <xf numFmtId="0" fontId="32" fillId="5" borderId="17" xfId="0" applyFont="1" applyFill="1" applyBorder="1" applyAlignment="1">
      <alignment horizontal="center" vertical="center"/>
    </xf>
    <xf numFmtId="0" fontId="30" fillId="0" borderId="76" xfId="0" applyFont="1" applyBorder="1" applyAlignment="1">
      <alignment horizontal="center" vertical="center"/>
    </xf>
    <xf numFmtId="0" fontId="30" fillId="0" borderId="77" xfId="0" applyFont="1" applyBorder="1" applyAlignment="1">
      <alignment horizontal="center" vertical="center"/>
    </xf>
    <xf numFmtId="0" fontId="58" fillId="3" borderId="15" xfId="0" applyFont="1" applyFill="1" applyBorder="1" applyAlignment="1">
      <alignment horizontal="center" vertical="center"/>
    </xf>
    <xf numFmtId="0" fontId="58" fillId="3" borderId="16" xfId="0" applyFont="1" applyFill="1" applyBorder="1" applyAlignment="1">
      <alignment horizontal="center" vertical="center"/>
    </xf>
    <xf numFmtId="0" fontId="58" fillId="3" borderId="17" xfId="0" applyFont="1" applyFill="1" applyBorder="1" applyAlignment="1">
      <alignment horizontal="center" vertical="center"/>
    </xf>
    <xf numFmtId="0" fontId="59" fillId="5" borderId="37" xfId="5" applyFont="1" applyFill="1" applyBorder="1" applyAlignment="1">
      <alignment horizontal="center" vertical="center"/>
    </xf>
    <xf numFmtId="0" fontId="59" fillId="5" borderId="38" xfId="5" applyFont="1" applyFill="1" applyBorder="1" applyAlignment="1">
      <alignment horizontal="center" vertical="center"/>
    </xf>
    <xf numFmtId="0" fontId="59" fillId="5" borderId="39" xfId="5" applyFont="1" applyFill="1" applyBorder="1" applyAlignment="1">
      <alignment horizontal="center" vertical="center"/>
    </xf>
    <xf numFmtId="0" fontId="36" fillId="20" borderId="59" xfId="5" applyFont="1" applyFill="1" applyBorder="1" applyAlignment="1">
      <alignment horizontal="center" vertical="center"/>
    </xf>
    <xf numFmtId="0" fontId="36" fillId="20" borderId="60" xfId="5" applyFont="1" applyFill="1" applyBorder="1" applyAlignment="1">
      <alignment horizontal="center" vertical="center"/>
    </xf>
    <xf numFmtId="0" fontId="36" fillId="20" borderId="61" xfId="5" applyFont="1" applyFill="1" applyBorder="1" applyAlignment="1">
      <alignment horizontal="center" vertical="center"/>
    </xf>
    <xf numFmtId="0" fontId="36" fillId="11" borderId="59" xfId="8" applyFont="1" applyFill="1" applyBorder="1" applyAlignment="1">
      <alignment horizontal="center" vertical="center" wrapText="1"/>
    </xf>
    <xf numFmtId="0" fontId="36" fillId="11" borderId="60" xfId="8" applyFont="1" applyFill="1" applyBorder="1" applyAlignment="1">
      <alignment horizontal="center" vertical="center" wrapText="1"/>
    </xf>
    <xf numFmtId="0" fontId="36" fillId="11" borderId="61" xfId="8" applyFont="1" applyFill="1" applyBorder="1" applyAlignment="1">
      <alignment horizontal="center" vertical="center" wrapText="1"/>
    </xf>
    <xf numFmtId="0" fontId="62" fillId="0" borderId="66" xfId="4" applyFont="1" applyBorder="1" applyAlignment="1">
      <alignment horizontal="left" vertical="center" wrapText="1"/>
    </xf>
    <xf numFmtId="0" fontId="62" fillId="0" borderId="67" xfId="4" applyFont="1" applyBorder="1" applyAlignment="1">
      <alignment horizontal="left" vertical="center" wrapText="1"/>
    </xf>
    <xf numFmtId="0" fontId="62" fillId="0" borderId="68" xfId="4" applyFont="1" applyBorder="1" applyAlignment="1">
      <alignment horizontal="left" vertical="center" wrapText="1"/>
    </xf>
    <xf numFmtId="0" fontId="52" fillId="0" borderId="15" xfId="0" applyFont="1" applyBorder="1" applyAlignment="1">
      <alignment horizontal="center" vertical="center"/>
    </xf>
    <xf numFmtId="0" fontId="52" fillId="0" borderId="16" xfId="0" applyFont="1" applyBorder="1" applyAlignment="1">
      <alignment horizontal="center" vertical="center"/>
    </xf>
    <xf numFmtId="0" fontId="52" fillId="0" borderId="17" xfId="0" applyFont="1" applyBorder="1" applyAlignment="1">
      <alignment horizontal="center" vertical="center"/>
    </xf>
    <xf numFmtId="0" fontId="62" fillId="0" borderId="6" xfId="4" quotePrefix="1" applyFont="1" applyBorder="1" applyAlignment="1">
      <alignment horizontal="left" vertical="center" wrapText="1"/>
    </xf>
    <xf numFmtId="0" fontId="62" fillId="0" borderId="41" xfId="4" quotePrefix="1" applyFont="1" applyBorder="1" applyAlignment="1">
      <alignment horizontal="left" vertical="center" wrapText="1"/>
    </xf>
    <xf numFmtId="0" fontId="62" fillId="0" borderId="70" xfId="4" quotePrefix="1" applyFont="1" applyBorder="1" applyAlignment="1">
      <alignment horizontal="left" vertical="center" wrapText="1"/>
    </xf>
    <xf numFmtId="0" fontId="57" fillId="0" borderId="72" xfId="4" applyFont="1" applyBorder="1" applyAlignment="1">
      <alignment horizontal="left" vertical="center" wrapText="1"/>
    </xf>
    <xf numFmtId="0" fontId="57" fillId="0" borderId="73" xfId="4" applyFont="1" applyBorder="1" applyAlignment="1">
      <alignment horizontal="left" vertical="center" wrapText="1"/>
    </xf>
    <xf numFmtId="0" fontId="57" fillId="0" borderId="74" xfId="4" applyFont="1" applyBorder="1" applyAlignment="1">
      <alignment horizontal="left" vertical="center" wrapText="1"/>
    </xf>
    <xf numFmtId="0" fontId="57" fillId="0" borderId="10" xfId="5" applyFont="1" applyBorder="1" applyAlignment="1">
      <alignment horizontal="left" vertical="center" wrapText="1"/>
    </xf>
    <xf numFmtId="0" fontId="59" fillId="17" borderId="96" xfId="5" applyFont="1" applyFill="1" applyBorder="1" applyAlignment="1">
      <alignment horizontal="center" vertical="center"/>
    </xf>
    <xf numFmtId="0" fontId="59" fillId="17" borderId="28" xfId="5" applyFont="1" applyFill="1" applyBorder="1" applyAlignment="1">
      <alignment horizontal="center" vertical="center"/>
    </xf>
    <xf numFmtId="0" fontId="59" fillId="17" borderId="97" xfId="5" applyFont="1" applyFill="1" applyBorder="1" applyAlignment="1">
      <alignment horizontal="center" vertical="center"/>
    </xf>
    <xf numFmtId="0" fontId="57" fillId="0" borderId="19" xfId="5" applyFont="1" applyBorder="1" applyAlignment="1">
      <alignment horizontal="left" vertical="center" wrapText="1"/>
    </xf>
    <xf numFmtId="0" fontId="57" fillId="0" borderId="7" xfId="5" applyFont="1" applyBorder="1" applyAlignment="1">
      <alignment horizontal="left" vertical="center" wrapText="1"/>
    </xf>
    <xf numFmtId="0" fontId="36" fillId="11" borderId="15" xfId="0" applyFont="1" applyFill="1" applyBorder="1" applyAlignment="1">
      <alignment horizontal="center" vertical="center"/>
    </xf>
    <xf numFmtId="0" fontId="36" fillId="11" borderId="16" xfId="0" applyFont="1" applyFill="1" applyBorder="1" applyAlignment="1">
      <alignment horizontal="center" vertical="center"/>
    </xf>
    <xf numFmtId="0" fontId="36" fillId="11" borderId="17" xfId="0" applyFont="1" applyFill="1" applyBorder="1" applyAlignment="1">
      <alignment horizontal="center" vertical="center"/>
    </xf>
    <xf numFmtId="0" fontId="30" fillId="0" borderId="0" xfId="0" quotePrefix="1" applyFont="1" applyAlignment="1">
      <alignment horizontal="left" vertical="top" wrapText="1"/>
    </xf>
    <xf numFmtId="0" fontId="37" fillId="0" borderId="47" xfId="0" quotePrefix="1" applyFont="1" applyBorder="1" applyAlignment="1">
      <alignment horizontal="left" vertical="top" wrapText="1"/>
    </xf>
    <xf numFmtId="0" fontId="37" fillId="0" borderId="22" xfId="0" applyFont="1" applyBorder="1" applyAlignment="1">
      <alignment horizontal="left" vertical="top" wrapText="1"/>
    </xf>
    <xf numFmtId="0" fontId="37" fillId="0" borderId="12" xfId="0" quotePrefix="1" applyFont="1" applyBorder="1" applyAlignment="1">
      <alignment horizontal="center" vertical="top" wrapText="1"/>
    </xf>
    <xf numFmtId="0" fontId="37" fillId="0" borderId="52" xfId="0" quotePrefix="1" applyFont="1" applyBorder="1" applyAlignment="1">
      <alignment horizontal="center" vertical="top" wrapText="1"/>
    </xf>
    <xf numFmtId="0" fontId="30" fillId="0" borderId="12" xfId="0" applyFont="1" applyBorder="1" applyAlignment="1">
      <alignment horizontal="center" vertical="center" wrapText="1"/>
    </xf>
    <xf numFmtId="0" fontId="30" fillId="0" borderId="52" xfId="0" applyFont="1" applyBorder="1" applyAlignment="1">
      <alignment horizontal="center" vertical="center" wrapText="1"/>
    </xf>
    <xf numFmtId="0" fontId="37" fillId="0" borderId="7" xfId="0" applyFont="1" applyBorder="1" applyAlignment="1">
      <alignment horizontal="center" vertical="center" wrapText="1"/>
    </xf>
    <xf numFmtId="0" fontId="52" fillId="0" borderId="0" xfId="0" applyFont="1" applyAlignment="1">
      <alignment horizontal="left" vertical="center"/>
    </xf>
    <xf numFmtId="0" fontId="37" fillId="0" borderId="47" xfId="0" quotePrefix="1" applyFont="1" applyBorder="1" applyAlignment="1">
      <alignment horizontal="left" vertical="center" wrapText="1"/>
    </xf>
    <xf numFmtId="0" fontId="37" fillId="0" borderId="46" xfId="0" quotePrefix="1" applyFont="1" applyBorder="1" applyAlignment="1">
      <alignment horizontal="left" vertical="center" wrapText="1"/>
    </xf>
    <xf numFmtId="0" fontId="37" fillId="0" borderId="22" xfId="0" quotePrefix="1" applyFont="1" applyBorder="1" applyAlignment="1">
      <alignment horizontal="left" vertical="center" wrapText="1"/>
    </xf>
    <xf numFmtId="0" fontId="37" fillId="0" borderId="7" xfId="0" quotePrefix="1" applyFont="1" applyBorder="1" applyAlignment="1">
      <alignment horizontal="left" vertical="center" wrapText="1"/>
    </xf>
    <xf numFmtId="0" fontId="30" fillId="0" borderId="52" xfId="0" applyFont="1" applyBorder="1" applyAlignment="1">
      <alignment horizontal="center" vertical="center"/>
    </xf>
    <xf numFmtId="0" fontId="30" fillId="26" borderId="53" xfId="0" applyFont="1" applyFill="1" applyBorder="1" applyAlignment="1">
      <alignment horizontal="center" vertical="center"/>
    </xf>
    <xf numFmtId="0" fontId="30" fillId="26" borderId="11" xfId="0" applyFont="1" applyFill="1" applyBorder="1" applyAlignment="1">
      <alignment horizontal="center" vertical="center"/>
    </xf>
    <xf numFmtId="0" fontId="30" fillId="0" borderId="145" xfId="0" applyFont="1" applyBorder="1" applyAlignment="1">
      <alignment horizontal="center" vertical="center"/>
    </xf>
    <xf numFmtId="0" fontId="30" fillId="0" borderId="68" xfId="0" applyFont="1" applyBorder="1" applyAlignment="1">
      <alignment horizontal="center" vertical="center"/>
    </xf>
    <xf numFmtId="0" fontId="36" fillId="0" borderId="4" xfId="8" applyFont="1" applyBorder="1" applyAlignment="1">
      <alignment horizontal="center" vertical="center" wrapText="1"/>
    </xf>
    <xf numFmtId="0" fontId="36" fillId="0" borderId="33" xfId="8" applyFont="1" applyBorder="1" applyAlignment="1">
      <alignment horizontal="center" vertical="center" wrapText="1"/>
    </xf>
    <xf numFmtId="0" fontId="30" fillId="0" borderId="47" xfId="0" applyFont="1" applyBorder="1" applyAlignment="1">
      <alignment horizontal="center" vertical="center"/>
    </xf>
    <xf numFmtId="0" fontId="30" fillId="0" borderId="46" xfId="0" applyFont="1" applyBorder="1" applyAlignment="1">
      <alignment horizontal="center" vertical="center"/>
    </xf>
    <xf numFmtId="0" fontId="30" fillId="0" borderId="22" xfId="0" applyFont="1" applyBorder="1" applyAlignment="1">
      <alignment horizontal="center" vertical="center"/>
    </xf>
    <xf numFmtId="0" fontId="30" fillId="0" borderId="41" xfId="0" applyFont="1" applyBorder="1" applyAlignment="1">
      <alignment horizontal="center" vertical="center"/>
    </xf>
    <xf numFmtId="0" fontId="47" fillId="0" borderId="4" xfId="5" applyFont="1" applyBorder="1" applyAlignment="1">
      <alignment horizontal="center" vertical="center"/>
    </xf>
    <xf numFmtId="0" fontId="47" fillId="0" borderId="5" xfId="5" applyFont="1" applyBorder="1" applyAlignment="1">
      <alignment horizontal="center" vertical="center"/>
    </xf>
    <xf numFmtId="0" fontId="36" fillId="0" borderId="5" xfId="8" applyFont="1" applyBorder="1" applyAlignment="1">
      <alignment horizontal="center" vertical="center" wrapText="1"/>
    </xf>
    <xf numFmtId="0" fontId="36" fillId="67" borderId="129" xfId="5" applyFont="1" applyFill="1" applyBorder="1" applyAlignment="1">
      <alignment horizontal="center" vertical="center" wrapText="1"/>
    </xf>
    <xf numFmtId="0" fontId="36" fillId="67" borderId="98" xfId="5" applyFont="1" applyFill="1" applyBorder="1" applyAlignment="1">
      <alignment horizontal="center" vertical="center" wrapText="1"/>
    </xf>
    <xf numFmtId="0" fontId="30" fillId="0" borderId="41" xfId="0" applyFont="1" applyBorder="1" applyAlignment="1">
      <alignment horizontal="center" vertical="center" wrapText="1"/>
    </xf>
    <xf numFmtId="0" fontId="30" fillId="0" borderId="0" xfId="0" quotePrefix="1" applyFont="1" applyAlignment="1">
      <alignment horizontal="left" vertical="center" wrapText="1"/>
    </xf>
    <xf numFmtId="0" fontId="51" fillId="0" borderId="7" xfId="0" applyFont="1" applyBorder="1" applyAlignment="1">
      <alignment horizontal="center" vertical="center" wrapText="1"/>
    </xf>
    <xf numFmtId="0" fontId="30" fillId="0" borderId="7" xfId="0" applyFont="1" applyBorder="1" applyAlignment="1">
      <alignment horizontal="left" vertical="center" wrapText="1"/>
    </xf>
    <xf numFmtId="0" fontId="37" fillId="0" borderId="7" xfId="0" quotePrefix="1" applyFont="1" applyBorder="1" applyAlignment="1">
      <alignment horizontal="left" vertical="top"/>
    </xf>
    <xf numFmtId="0" fontId="40" fillId="0" borderId="7" xfId="0" applyFont="1" applyBorder="1" applyAlignment="1">
      <alignment horizontal="left" vertical="center"/>
    </xf>
    <xf numFmtId="0" fontId="40" fillId="0" borderId="12" xfId="0" applyFont="1" applyBorder="1" applyAlignment="1">
      <alignment horizontal="center" vertical="center"/>
    </xf>
    <xf numFmtId="0" fontId="40" fillId="0" borderId="41" xfId="0" applyFont="1" applyBorder="1" applyAlignment="1">
      <alignment horizontal="center" vertical="center"/>
    </xf>
    <xf numFmtId="0" fontId="40" fillId="0" borderId="52" xfId="0" applyFont="1" applyBorder="1" applyAlignment="1">
      <alignment horizontal="center" vertical="center"/>
    </xf>
    <xf numFmtId="0" fontId="30" fillId="0" borderId="0" xfId="0" applyFont="1" applyAlignment="1">
      <alignment horizontal="center" vertical="center" wrapText="1"/>
    </xf>
    <xf numFmtId="0" fontId="40" fillId="0" borderId="7" xfId="0" applyFont="1" applyBorder="1" applyAlignment="1">
      <alignment horizontal="center" vertical="center"/>
    </xf>
    <xf numFmtId="0" fontId="30" fillId="0" borderId="0" xfId="0" applyFont="1" applyAlignment="1">
      <alignment horizontal="left" vertical="center" wrapText="1"/>
    </xf>
    <xf numFmtId="0" fontId="99" fillId="3" borderId="0" xfId="0" applyFont="1" applyFill="1" applyAlignment="1">
      <alignment horizontal="center" vertical="center"/>
    </xf>
    <xf numFmtId="0" fontId="32" fillId="5" borderId="146" xfId="5" applyFont="1" applyFill="1" applyBorder="1" applyAlignment="1">
      <alignment horizontal="center" vertical="center"/>
    </xf>
    <xf numFmtId="0" fontId="32" fillId="5" borderId="126" xfId="5" applyFont="1" applyFill="1" applyBorder="1" applyAlignment="1">
      <alignment horizontal="center" vertical="center"/>
    </xf>
    <xf numFmtId="0" fontId="32" fillId="5" borderId="147" xfId="5" applyFont="1" applyFill="1" applyBorder="1" applyAlignment="1">
      <alignment horizontal="center" vertical="center"/>
    </xf>
    <xf numFmtId="9" fontId="36" fillId="0" borderId="10" xfId="5" applyNumberFormat="1" applyFont="1" applyBorder="1" applyAlignment="1">
      <alignment horizontal="center" vertical="center"/>
    </xf>
    <xf numFmtId="0" fontId="36" fillId="0" borderId="11" xfId="5" applyFont="1" applyBorder="1" applyAlignment="1">
      <alignment horizontal="center" vertical="center"/>
    </xf>
    <xf numFmtId="0" fontId="52" fillId="52" borderId="4" xfId="8" applyFont="1" applyFill="1" applyBorder="1" applyAlignment="1">
      <alignment horizontal="center" vertical="center" wrapText="1"/>
    </xf>
    <xf numFmtId="0" fontId="52" fillId="52" borderId="33" xfId="8" applyFont="1" applyFill="1" applyBorder="1" applyAlignment="1">
      <alignment horizontal="center" vertical="center" wrapText="1"/>
    </xf>
    <xf numFmtId="0" fontId="37" fillId="0" borderId="47" xfId="0" applyFont="1" applyBorder="1" applyAlignment="1">
      <alignment horizontal="left" vertical="center" wrapText="1"/>
    </xf>
    <xf numFmtId="0" fontId="37" fillId="0" borderId="46" xfId="0" applyFont="1" applyBorder="1" applyAlignment="1">
      <alignment horizontal="left" vertical="center" wrapText="1"/>
    </xf>
    <xf numFmtId="0" fontId="37" fillId="0" borderId="22" xfId="0" applyFont="1" applyBorder="1" applyAlignment="1">
      <alignment horizontal="left" vertical="center" wrapText="1"/>
    </xf>
    <xf numFmtId="0" fontId="104" fillId="0" borderId="15" xfId="5" applyFont="1" applyBorder="1" applyAlignment="1">
      <alignment horizontal="center" vertical="center" wrapText="1"/>
    </xf>
    <xf numFmtId="0" fontId="104" fillId="0" borderId="16" xfId="5" applyFont="1" applyBorder="1" applyAlignment="1">
      <alignment horizontal="center" vertical="center" wrapText="1"/>
    </xf>
    <xf numFmtId="0" fontId="104" fillId="0" borderId="17" xfId="5" applyFont="1" applyBorder="1" applyAlignment="1">
      <alignment horizontal="center" vertical="center" wrapText="1"/>
    </xf>
    <xf numFmtId="0" fontId="52" fillId="54" borderId="59" xfId="8" applyFont="1" applyFill="1" applyBorder="1" applyAlignment="1">
      <alignment horizontal="center" vertical="center" wrapText="1"/>
    </xf>
    <xf numFmtId="0" fontId="52" fillId="54" borderId="60" xfId="8" applyFont="1" applyFill="1" applyBorder="1" applyAlignment="1">
      <alignment horizontal="center" vertical="center" wrapText="1"/>
    </xf>
    <xf numFmtId="0" fontId="52" fillId="54" borderId="61" xfId="8" applyFont="1" applyFill="1" applyBorder="1" applyAlignment="1">
      <alignment horizontal="center" vertical="center" wrapText="1"/>
    </xf>
    <xf numFmtId="0" fontId="104" fillId="0" borderId="28" xfId="5" applyFont="1" applyBorder="1" applyAlignment="1">
      <alignment horizontal="center" vertical="center" wrapText="1"/>
    </xf>
    <xf numFmtId="0" fontId="91" fillId="40" borderId="59" xfId="5" applyFont="1" applyFill="1" applyBorder="1" applyAlignment="1">
      <alignment horizontal="center" vertical="center"/>
    </xf>
    <xf numFmtId="0" fontId="91" fillId="40" borderId="60" xfId="5" applyFont="1" applyFill="1" applyBorder="1" applyAlignment="1">
      <alignment horizontal="center" vertical="center"/>
    </xf>
    <xf numFmtId="0" fontId="91" fillId="40" borderId="61" xfId="5" applyFont="1" applyFill="1" applyBorder="1" applyAlignment="1">
      <alignment horizontal="center" vertical="center"/>
    </xf>
    <xf numFmtId="0" fontId="117" fillId="0" borderId="47" xfId="5" applyFont="1" applyBorder="1" applyAlignment="1">
      <alignment horizontal="left" vertical="center" wrapText="1"/>
    </xf>
    <xf numFmtId="0" fontId="117" fillId="0" borderId="22" xfId="5" applyFont="1" applyBorder="1" applyAlignment="1">
      <alignment horizontal="left" vertical="center" wrapText="1"/>
    </xf>
    <xf numFmtId="0" fontId="44" fillId="0" borderId="7" xfId="0" applyFont="1" applyBorder="1" applyAlignment="1">
      <alignment vertical="center"/>
    </xf>
    <xf numFmtId="0" fontId="42" fillId="0" borderId="7" xfId="0" applyFont="1" applyBorder="1" applyAlignment="1">
      <alignment horizontal="left" vertical="center"/>
    </xf>
    <xf numFmtId="0" fontId="44" fillId="0" borderId="7" xfId="0" applyFont="1" applyBorder="1" applyAlignment="1">
      <alignment vertical="center" wrapText="1"/>
    </xf>
    <xf numFmtId="0" fontId="42" fillId="0" borderId="7" xfId="0" applyFont="1" applyBorder="1" applyAlignment="1">
      <alignment horizontal="center" vertical="center" wrapText="1"/>
    </xf>
    <xf numFmtId="0" fontId="40" fillId="0" borderId="9" xfId="0" applyFont="1" applyBorder="1" applyAlignment="1">
      <alignment horizontal="left" vertical="center" wrapText="1"/>
    </xf>
    <xf numFmtId="0" fontId="40" fillId="0" borderId="10" xfId="0" applyFont="1" applyBorder="1" applyAlignment="1">
      <alignment horizontal="left" vertical="center" wrapText="1"/>
    </xf>
    <xf numFmtId="0" fontId="40" fillId="0" borderId="24" xfId="0" applyFont="1" applyBorder="1" applyAlignment="1">
      <alignment horizontal="left" vertical="center" wrapText="1"/>
    </xf>
    <xf numFmtId="0" fontId="40" fillId="0" borderId="7" xfId="0" applyFont="1" applyBorder="1" applyAlignment="1">
      <alignment horizontal="left" vertical="center" wrapText="1"/>
    </xf>
    <xf numFmtId="0" fontId="6" fillId="0" borderId="24" xfId="0" applyFont="1" applyBorder="1" applyAlignment="1">
      <alignment horizontal="left" vertical="center" wrapText="1"/>
    </xf>
    <xf numFmtId="0" fontId="6" fillId="0" borderId="7" xfId="0" applyFont="1" applyBorder="1" applyAlignment="1">
      <alignment horizontal="left" vertical="center" wrapText="1"/>
    </xf>
    <xf numFmtId="0" fontId="42" fillId="0" borderId="25" xfId="0" applyFont="1" applyBorder="1" applyAlignment="1">
      <alignment horizontal="center" vertical="center" wrapText="1"/>
    </xf>
    <xf numFmtId="0" fontId="42" fillId="0" borderId="7" xfId="0" applyFont="1" applyBorder="1" applyAlignment="1">
      <alignment horizontal="center" vertical="center"/>
    </xf>
    <xf numFmtId="0" fontId="42" fillId="0" borderId="25" xfId="0" applyFont="1" applyBorder="1" applyAlignment="1">
      <alignment horizontal="center" vertical="center"/>
    </xf>
    <xf numFmtId="0" fontId="44" fillId="0" borderId="7" xfId="0" applyFont="1" applyBorder="1" applyAlignment="1">
      <alignment horizontal="left" vertical="center" wrapText="1"/>
    </xf>
    <xf numFmtId="0" fontId="44" fillId="0" borderId="25" xfId="0" applyFont="1" applyBorder="1" applyAlignment="1">
      <alignment horizontal="left" vertical="center" wrapText="1"/>
    </xf>
    <xf numFmtId="0" fontId="40" fillId="0" borderId="24" xfId="0" applyFont="1" applyBorder="1" applyAlignment="1">
      <alignment horizontal="center" vertical="center" wrapText="1"/>
    </xf>
    <xf numFmtId="0" fontId="40" fillId="0" borderId="7" xfId="0" applyFont="1" applyBorder="1" applyAlignment="1">
      <alignment horizontal="center" vertical="center" wrapText="1"/>
    </xf>
    <xf numFmtId="0" fontId="6" fillId="0" borderId="9" xfId="0" applyFont="1" applyBorder="1" applyAlignment="1">
      <alignment horizontal="left" vertical="center" wrapText="1"/>
    </xf>
    <xf numFmtId="0" fontId="6" fillId="0" borderId="10" xfId="0" applyFont="1" applyBorder="1" applyAlignment="1">
      <alignment horizontal="left" vertical="center" wrapText="1"/>
    </xf>
    <xf numFmtId="9" fontId="6" fillId="0" borderId="7" xfId="0" applyNumberFormat="1" applyFont="1" applyBorder="1" applyAlignment="1">
      <alignment horizontal="left" vertical="center"/>
    </xf>
    <xf numFmtId="0" fontId="91" fillId="0" borderId="37" xfId="5" applyFont="1" applyBorder="1" applyAlignment="1">
      <alignment horizontal="center" vertical="center"/>
    </xf>
    <xf numFmtId="0" fontId="91" fillId="0" borderId="38" xfId="5" applyFont="1" applyBorder="1" applyAlignment="1">
      <alignment horizontal="center" vertical="center"/>
    </xf>
    <xf numFmtId="0" fontId="91" fillId="0" borderId="39" xfId="5" applyFont="1" applyBorder="1" applyAlignment="1">
      <alignment horizontal="center" vertical="center"/>
    </xf>
    <xf numFmtId="0" fontId="40" fillId="0" borderId="6" xfId="0" applyFont="1" applyBorder="1" applyAlignment="1">
      <alignment horizontal="center" vertical="center"/>
    </xf>
    <xf numFmtId="0" fontId="40" fillId="0" borderId="8" xfId="0" applyFont="1" applyBorder="1" applyAlignment="1">
      <alignment horizontal="center" vertical="center"/>
    </xf>
    <xf numFmtId="0" fontId="40" fillId="0" borderId="25" xfId="0" applyFont="1" applyBorder="1" applyAlignment="1">
      <alignment horizontal="center" vertical="center" wrapText="1"/>
    </xf>
    <xf numFmtId="0" fontId="6" fillId="0" borderId="24" xfId="0" applyFont="1" applyBorder="1" applyAlignment="1">
      <alignment horizontal="left" vertical="center"/>
    </xf>
    <xf numFmtId="0" fontId="6" fillId="0" borderId="7" xfId="0" applyFont="1" applyBorder="1" applyAlignment="1">
      <alignment horizontal="left" vertical="center"/>
    </xf>
    <xf numFmtId="0" fontId="91" fillId="0" borderId="18" xfId="5" applyFont="1" applyBorder="1" applyAlignment="1">
      <alignment horizontal="center" vertical="center"/>
    </xf>
    <xf numFmtId="0" fontId="91" fillId="0" borderId="19" xfId="5" applyFont="1" applyBorder="1" applyAlignment="1">
      <alignment horizontal="center" vertical="center"/>
    </xf>
    <xf numFmtId="0" fontId="91" fillId="0" borderId="20" xfId="5" applyFont="1" applyBorder="1" applyAlignment="1">
      <alignment horizontal="center" vertical="center"/>
    </xf>
    <xf numFmtId="10" fontId="44" fillId="0" borderId="7" xfId="0" applyNumberFormat="1" applyFont="1" applyBorder="1" applyAlignment="1">
      <alignment horizontal="left" vertical="center" wrapText="1"/>
    </xf>
    <xf numFmtId="10" fontId="44" fillId="0" borderId="25" xfId="0" applyNumberFormat="1" applyFont="1" applyBorder="1" applyAlignment="1">
      <alignment horizontal="left" vertical="center" wrapText="1"/>
    </xf>
    <xf numFmtId="0" fontId="44" fillId="0" borderId="10" xfId="0" applyFont="1" applyBorder="1" applyAlignment="1">
      <alignment horizontal="left" vertical="center"/>
    </xf>
    <xf numFmtId="0" fontId="44" fillId="0" borderId="11" xfId="0" applyFont="1" applyBorder="1" applyAlignment="1">
      <alignment horizontal="left" vertical="center"/>
    </xf>
    <xf numFmtId="0" fontId="44" fillId="0" borderId="7" xfId="0" applyFont="1" applyBorder="1" applyAlignment="1">
      <alignment horizontal="left" vertical="center"/>
    </xf>
    <xf numFmtId="0" fontId="44" fillId="0" borderId="25" xfId="0" applyFont="1" applyBorder="1" applyAlignment="1">
      <alignment horizontal="left" vertical="center"/>
    </xf>
    <xf numFmtId="0" fontId="44" fillId="0" borderId="10" xfId="0" applyFont="1" applyBorder="1" applyAlignment="1">
      <alignment vertical="center" wrapText="1"/>
    </xf>
    <xf numFmtId="0" fontId="62" fillId="0" borderId="52" xfId="0" applyFont="1" applyBorder="1" applyAlignment="1">
      <alignment horizontal="center" vertical="center"/>
    </xf>
    <xf numFmtId="0" fontId="62" fillId="0" borderId="25" xfId="0" applyFont="1" applyBorder="1" applyAlignment="1">
      <alignment horizontal="center" vertical="center"/>
    </xf>
    <xf numFmtId="0" fontId="30" fillId="29" borderId="53" xfId="0" applyFont="1" applyFill="1" applyBorder="1" applyAlignment="1">
      <alignment horizontal="center" vertical="center"/>
    </xf>
    <xf numFmtId="0" fontId="30" fillId="29" borderId="11" xfId="0" applyFont="1" applyFill="1" applyBorder="1" applyAlignment="1">
      <alignment horizontal="center" vertical="center"/>
    </xf>
    <xf numFmtId="0" fontId="32" fillId="5" borderId="1" xfId="0" applyFont="1" applyFill="1" applyBorder="1" applyAlignment="1">
      <alignment horizontal="center" vertical="center"/>
    </xf>
    <xf numFmtId="0" fontId="32" fillId="5" borderId="2" xfId="0" applyFont="1" applyFill="1" applyBorder="1" applyAlignment="1">
      <alignment horizontal="center" vertical="center"/>
    </xf>
    <xf numFmtId="0" fontId="32" fillId="5" borderId="3" xfId="0" applyFont="1" applyFill="1" applyBorder="1" applyAlignment="1">
      <alignment horizontal="center" vertical="center"/>
    </xf>
    <xf numFmtId="0" fontId="36" fillId="0" borderId="12" xfId="0" applyFont="1" applyBorder="1" applyAlignment="1">
      <alignment horizontal="center"/>
    </xf>
    <xf numFmtId="0" fontId="36" fillId="0" borderId="52" xfId="0" applyFont="1" applyBorder="1" applyAlignment="1">
      <alignment horizontal="center"/>
    </xf>
    <xf numFmtId="0" fontId="37" fillId="0" borderId="12" xfId="0" applyFont="1" applyBorder="1" applyAlignment="1">
      <alignment horizontal="center" vertical="center" wrapText="1"/>
    </xf>
    <xf numFmtId="0" fontId="37" fillId="0" borderId="52" xfId="0" applyFont="1" applyBorder="1" applyAlignment="1">
      <alignment horizontal="center" vertical="center" wrapText="1"/>
    </xf>
    <xf numFmtId="0" fontId="37" fillId="0" borderId="12" xfId="0" applyFont="1" applyBorder="1" applyAlignment="1">
      <alignment horizontal="left" vertical="center" wrapText="1"/>
    </xf>
    <xf numFmtId="0" fontId="37" fillId="0" borderId="52" xfId="0" applyFont="1" applyBorder="1" applyAlignment="1">
      <alignment horizontal="left" vertical="center" wrapText="1"/>
    </xf>
    <xf numFmtId="0" fontId="30" fillId="0" borderId="152" xfId="0" applyFont="1" applyBorder="1" applyAlignment="1">
      <alignment horizontal="center" vertical="center"/>
    </xf>
    <xf numFmtId="0" fontId="36" fillId="66" borderId="153" xfId="0" applyFont="1" applyFill="1" applyBorder="1" applyAlignment="1">
      <alignment horizontal="center" vertical="center"/>
    </xf>
    <xf numFmtId="0" fontId="36" fillId="66" borderId="155" xfId="0" applyFont="1" applyFill="1" applyBorder="1" applyAlignment="1">
      <alignment horizontal="center" vertical="center"/>
    </xf>
    <xf numFmtId="0" fontId="30" fillId="0" borderId="149" xfId="0" applyFont="1" applyBorder="1" applyAlignment="1">
      <alignment horizontal="center" vertical="center"/>
    </xf>
    <xf numFmtId="0" fontId="36" fillId="66" borderId="154" xfId="0" applyFont="1" applyFill="1" applyBorder="1" applyAlignment="1">
      <alignment horizontal="center" vertical="center"/>
    </xf>
    <xf numFmtId="0" fontId="36" fillId="66" borderId="94" xfId="0" applyFont="1" applyFill="1" applyBorder="1" applyAlignment="1">
      <alignment horizontal="center" vertical="center"/>
    </xf>
    <xf numFmtId="0" fontId="36" fillId="0" borderId="133" xfId="0" applyFont="1" applyBorder="1" applyAlignment="1">
      <alignment horizontal="center" vertical="center"/>
    </xf>
    <xf numFmtId="0" fontId="36" fillId="0" borderId="153" xfId="0" applyFont="1" applyBorder="1" applyAlignment="1">
      <alignment horizontal="center" vertical="center"/>
    </xf>
    <xf numFmtId="0" fontId="36" fillId="0" borderId="154" xfId="0" applyFont="1" applyBorder="1" applyAlignment="1">
      <alignment horizontal="center" vertical="center"/>
    </xf>
    <xf numFmtId="0" fontId="30" fillId="0" borderId="7" xfId="4" quotePrefix="1" applyFont="1" applyBorder="1" applyAlignment="1">
      <alignment horizontal="left" vertical="top" wrapText="1"/>
    </xf>
    <xf numFmtId="0" fontId="53" fillId="0" borderId="7" xfId="4" applyFont="1" applyBorder="1" applyAlignment="1">
      <alignment horizontal="left" vertical="top" wrapText="1"/>
    </xf>
    <xf numFmtId="0" fontId="36" fillId="0" borderId="7" xfId="0" applyFont="1" applyBorder="1" applyAlignment="1">
      <alignment horizontal="center" vertical="center"/>
    </xf>
    <xf numFmtId="0" fontId="36" fillId="0" borderId="4" xfId="0" applyFont="1" applyBorder="1" applyAlignment="1">
      <alignment horizontal="left"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33" xfId="0" applyFont="1" applyBorder="1" applyAlignment="1">
      <alignment horizontal="left" vertical="center" wrapText="1"/>
    </xf>
    <xf numFmtId="0" fontId="36" fillId="0" borderId="34" xfId="0" applyFont="1" applyBorder="1" applyAlignment="1">
      <alignment horizontal="left" vertical="center" wrapText="1"/>
    </xf>
    <xf numFmtId="0" fontId="36" fillId="0" borderId="35" xfId="0" applyFont="1" applyBorder="1" applyAlignment="1">
      <alignment horizontal="left" vertical="center" wrapText="1"/>
    </xf>
    <xf numFmtId="164" fontId="3" fillId="0" borderId="12" xfId="0" applyNumberFormat="1" applyFont="1" applyBorder="1" applyAlignment="1">
      <alignment horizontal="center" vertical="center"/>
    </xf>
    <xf numFmtId="164" fontId="3" fillId="0" borderId="41" xfId="0" applyNumberFormat="1" applyFont="1" applyBorder="1" applyAlignment="1">
      <alignment horizontal="center" vertical="center"/>
    </xf>
    <xf numFmtId="164" fontId="3" fillId="0" borderId="52" xfId="0" applyNumberFormat="1" applyFont="1" applyBorder="1" applyAlignment="1">
      <alignment horizontal="center" vertical="center"/>
    </xf>
    <xf numFmtId="0" fontId="51" fillId="0" borderId="7" xfId="0" applyFont="1" applyBorder="1" applyAlignment="1">
      <alignment horizontal="center" vertical="center"/>
    </xf>
    <xf numFmtId="0" fontId="51" fillId="0" borderId="7" xfId="0" applyFont="1" applyBorder="1" applyAlignment="1">
      <alignment horizontal="left" vertical="center" wrapText="1"/>
    </xf>
    <xf numFmtId="0" fontId="30" fillId="0" borderId="12" xfId="0" applyFont="1" applyBorder="1" applyAlignment="1">
      <alignment horizontal="left" vertical="center" wrapText="1"/>
    </xf>
    <xf numFmtId="0" fontId="30" fillId="0" borderId="52" xfId="0" applyFont="1" applyBorder="1" applyAlignment="1">
      <alignment horizontal="left" vertical="center" wrapText="1"/>
    </xf>
    <xf numFmtId="0" fontId="30" fillId="0" borderId="13" xfId="0" applyFont="1" applyBorder="1" applyAlignment="1">
      <alignment horizontal="left" vertical="center" wrapText="1"/>
    </xf>
    <xf numFmtId="0" fontId="30" fillId="0" borderId="14" xfId="0" applyFont="1" applyBorder="1" applyAlignment="1">
      <alignment horizontal="left" vertical="center" wrapText="1"/>
    </xf>
    <xf numFmtId="0" fontId="30" fillId="0" borderId="51" xfId="0" applyFont="1" applyBorder="1" applyAlignment="1">
      <alignment horizontal="left" vertical="center" wrapText="1"/>
    </xf>
    <xf numFmtId="0" fontId="36" fillId="0" borderId="136" xfId="0" applyFont="1" applyBorder="1" applyAlignment="1">
      <alignment horizontal="center" vertical="center"/>
    </xf>
    <xf numFmtId="0" fontId="36" fillId="0" borderId="150" xfId="0" applyFont="1" applyBorder="1" applyAlignment="1">
      <alignment horizontal="center" vertical="center"/>
    </xf>
    <xf numFmtId="0" fontId="36" fillId="0" borderId="151" xfId="0" applyFont="1" applyBorder="1" applyAlignment="1">
      <alignment horizontal="center" vertical="center"/>
    </xf>
    <xf numFmtId="0" fontId="49" fillId="11" borderId="15" xfId="0" applyFont="1" applyFill="1" applyBorder="1" applyAlignment="1">
      <alignment horizontal="center" vertical="center"/>
    </xf>
    <xf numFmtId="0" fontId="49" fillId="11" borderId="16" xfId="0" applyFont="1" applyFill="1" applyBorder="1" applyAlignment="1">
      <alignment horizontal="center" vertical="center"/>
    </xf>
    <xf numFmtId="0" fontId="49" fillId="11" borderId="17" xfId="0" applyFont="1" applyFill="1" applyBorder="1" applyAlignment="1">
      <alignment horizontal="center" vertical="center"/>
    </xf>
    <xf numFmtId="0" fontId="53" fillId="0" borderId="6" xfId="0" quotePrefix="1" applyFont="1" applyBorder="1" applyAlignment="1">
      <alignment horizontal="left" vertical="center" wrapText="1"/>
    </xf>
    <xf numFmtId="0" fontId="114" fillId="31" borderId="15" xfId="0" applyFont="1" applyFill="1" applyBorder="1" applyAlignment="1">
      <alignment horizontal="center" vertical="center"/>
    </xf>
    <xf numFmtId="0" fontId="114" fillId="31" borderId="17" xfId="0" applyFont="1" applyFill="1" applyBorder="1" applyAlignment="1">
      <alignment horizontal="center" vertical="center"/>
    </xf>
    <xf numFmtId="0" fontId="37" fillId="0" borderId="0" xfId="0" applyFont="1" applyAlignment="1">
      <alignment horizontal="left" vertical="center" wrapText="1"/>
    </xf>
    <xf numFmtId="0" fontId="36" fillId="0" borderId="12" xfId="0" applyFont="1" applyBorder="1" applyAlignment="1">
      <alignment horizontal="center" vertical="center" wrapText="1"/>
    </xf>
    <xf numFmtId="0" fontId="36" fillId="0" borderId="52" xfId="0" applyFont="1" applyBorder="1" applyAlignment="1">
      <alignment horizontal="center" vertical="center" wrapText="1"/>
    </xf>
    <xf numFmtId="0" fontId="62" fillId="0" borderId="51" xfId="0" applyFont="1" applyBorder="1" applyAlignment="1">
      <alignment horizontal="center" vertical="center"/>
    </xf>
    <xf numFmtId="0" fontId="62" fillId="0" borderId="23" xfId="0" applyFont="1" applyBorder="1" applyAlignment="1">
      <alignment horizontal="center" vertical="center"/>
    </xf>
    <xf numFmtId="0" fontId="30" fillId="81" borderId="34" xfId="0" applyFont="1" applyFill="1" applyBorder="1" applyAlignment="1">
      <alignment horizontal="center" vertical="center"/>
    </xf>
    <xf numFmtId="0" fontId="30" fillId="81" borderId="35" xfId="0" applyFont="1" applyFill="1" applyBorder="1" applyAlignment="1">
      <alignment horizontal="center" vertical="center"/>
    </xf>
    <xf numFmtId="0" fontId="57" fillId="0" borderId="0" xfId="0" applyFont="1" applyAlignment="1">
      <alignment horizontal="left" vertical="center" wrapText="1"/>
    </xf>
    <xf numFmtId="0" fontId="37" fillId="0" borderId="37" xfId="4" applyFont="1" applyBorder="1" applyAlignment="1">
      <alignment horizontal="left" vertical="center" wrapText="1"/>
    </xf>
    <xf numFmtId="0" fontId="174" fillId="0" borderId="38" xfId="4" applyFont="1" applyBorder="1" applyAlignment="1">
      <alignment horizontal="left" vertical="center" wrapText="1"/>
    </xf>
    <xf numFmtId="0" fontId="174" fillId="0" borderId="39" xfId="4" applyFont="1" applyBorder="1" applyAlignment="1">
      <alignment horizontal="left" vertical="center" wrapText="1"/>
    </xf>
    <xf numFmtId="0" fontId="53" fillId="0" borderId="43" xfId="4" applyFont="1" applyBorder="1" applyAlignment="1">
      <alignment horizontal="left" vertical="top" wrapText="1"/>
    </xf>
    <xf numFmtId="0" fontId="53" fillId="0" borderId="44" xfId="4" applyFont="1" applyBorder="1" applyAlignment="1">
      <alignment horizontal="left" vertical="top" wrapText="1"/>
    </xf>
    <xf numFmtId="0" fontId="53" fillId="0" borderId="45" xfId="4" applyFont="1" applyBorder="1" applyAlignment="1">
      <alignment horizontal="left" vertical="top" wrapText="1"/>
    </xf>
    <xf numFmtId="0" fontId="30" fillId="0" borderId="37" xfId="4" quotePrefix="1" applyFont="1" applyBorder="1" applyAlignment="1">
      <alignment horizontal="left" vertical="top" wrapText="1"/>
    </xf>
    <xf numFmtId="0" fontId="30" fillId="0" borderId="38" xfId="4" quotePrefix="1" applyFont="1" applyBorder="1" applyAlignment="1">
      <alignment horizontal="left" vertical="top" wrapText="1"/>
    </xf>
    <xf numFmtId="0" fontId="30" fillId="0" borderId="39" xfId="4" quotePrefix="1" applyFont="1" applyBorder="1" applyAlignment="1">
      <alignment horizontal="left" vertical="top" wrapText="1"/>
    </xf>
    <xf numFmtId="0" fontId="53" fillId="0" borderId="43" xfId="4" applyFont="1" applyBorder="1" applyAlignment="1">
      <alignment horizontal="left" vertical="center" wrapText="1"/>
    </xf>
    <xf numFmtId="0" fontId="53" fillId="0" borderId="44" xfId="4" applyFont="1" applyBorder="1" applyAlignment="1">
      <alignment horizontal="left" vertical="center" wrapText="1"/>
    </xf>
    <xf numFmtId="0" fontId="53" fillId="0" borderId="45" xfId="4" applyFont="1" applyBorder="1" applyAlignment="1">
      <alignment horizontal="left" vertical="center" wrapText="1"/>
    </xf>
    <xf numFmtId="0" fontId="30" fillId="0" borderId="6" xfId="4" quotePrefix="1" applyFont="1" applyBorder="1" applyAlignment="1">
      <alignment horizontal="left" vertical="center" wrapText="1"/>
    </xf>
    <xf numFmtId="0" fontId="30" fillId="0" borderId="41" xfId="4" quotePrefix="1" applyFont="1" applyBorder="1" applyAlignment="1">
      <alignment horizontal="left" vertical="center" wrapText="1"/>
    </xf>
    <xf numFmtId="0" fontId="30" fillId="0" borderId="8" xfId="4" quotePrefix="1" applyFont="1" applyBorder="1" applyAlignment="1">
      <alignment horizontal="left" vertical="center" wrapText="1"/>
    </xf>
    <xf numFmtId="0" fontId="66" fillId="0" borderId="7" xfId="5" applyFont="1" applyBorder="1" applyAlignment="1">
      <alignment horizontal="center" vertical="center"/>
    </xf>
    <xf numFmtId="0" fontId="57" fillId="0" borderId="0" xfId="5" quotePrefix="1" applyFont="1" applyAlignment="1">
      <alignment horizontal="left" vertical="center" wrapText="1"/>
    </xf>
    <xf numFmtId="0" fontId="59" fillId="5" borderId="18" xfId="5" applyFont="1" applyFill="1" applyBorder="1" applyAlignment="1">
      <alignment horizontal="center" vertical="center"/>
    </xf>
    <xf numFmtId="0" fontId="59" fillId="5" borderId="19" xfId="5" applyFont="1" applyFill="1" applyBorder="1" applyAlignment="1">
      <alignment horizontal="center" vertical="center"/>
    </xf>
    <xf numFmtId="0" fontId="59" fillId="5" borderId="20" xfId="5" applyFont="1" applyFill="1" applyBorder="1" applyAlignment="1">
      <alignment horizontal="center" vertical="center"/>
    </xf>
    <xf numFmtId="9" fontId="49" fillId="0" borderId="10" xfId="5" applyNumberFormat="1" applyFont="1" applyBorder="1" applyAlignment="1">
      <alignment horizontal="center" vertical="center"/>
    </xf>
    <xf numFmtId="0" fontId="49" fillId="0" borderId="11" xfId="5" applyFont="1" applyBorder="1" applyAlignment="1">
      <alignment horizontal="center" vertical="center"/>
    </xf>
    <xf numFmtId="0" fontId="117" fillId="0" borderId="4" xfId="5" applyFont="1" applyBorder="1" applyAlignment="1">
      <alignment horizontal="left" vertical="center" wrapText="1"/>
    </xf>
    <xf numFmtId="0" fontId="117" fillId="0" borderId="28" xfId="5" applyFont="1" applyBorder="1" applyAlignment="1">
      <alignment horizontal="left" vertical="center" wrapText="1"/>
    </xf>
    <xf numFmtId="0" fontId="117" fillId="0" borderId="29" xfId="5" applyFont="1" applyBorder="1" applyAlignment="1">
      <alignment horizontal="left" vertical="center" wrapText="1"/>
    </xf>
    <xf numFmtId="0" fontId="117" fillId="0" borderId="33" xfId="5" applyFont="1" applyBorder="1" applyAlignment="1">
      <alignment horizontal="left" vertical="center" wrapText="1"/>
    </xf>
    <xf numFmtId="0" fontId="117" fillId="0" borderId="34" xfId="5" applyFont="1" applyBorder="1" applyAlignment="1">
      <alignment horizontal="left" vertical="center" wrapText="1"/>
    </xf>
    <xf numFmtId="0" fontId="117" fillId="0" borderId="35" xfId="5" applyFont="1" applyBorder="1" applyAlignment="1">
      <alignment horizontal="left" vertical="center" wrapText="1"/>
    </xf>
    <xf numFmtId="0" fontId="52" fillId="54" borderId="4" xfId="8" applyFont="1" applyFill="1" applyBorder="1" applyAlignment="1">
      <alignment horizontal="center" vertical="center" wrapText="1"/>
    </xf>
    <xf numFmtId="0" fontId="52" fillId="54" borderId="33" xfId="8" applyFont="1" applyFill="1" applyBorder="1" applyAlignment="1">
      <alignment horizontal="center" vertical="center" wrapText="1"/>
    </xf>
    <xf numFmtId="0" fontId="65" fillId="19" borderId="54" xfId="5" applyFont="1" applyFill="1" applyBorder="1" applyAlignment="1">
      <alignment horizontal="center" vertical="center" wrapText="1"/>
    </xf>
    <xf numFmtId="0" fontId="65" fillId="19" borderId="26" xfId="5" applyFont="1" applyFill="1" applyBorder="1" applyAlignment="1">
      <alignment horizontal="center" vertical="center" wrapText="1"/>
    </xf>
    <xf numFmtId="0" fontId="30" fillId="0" borderId="9" xfId="0" applyFont="1" applyBorder="1" applyAlignment="1">
      <alignment horizontal="left" vertical="center"/>
    </xf>
    <xf numFmtId="0" fontId="30" fillId="0" borderId="10" xfId="0" applyFont="1" applyBorder="1" applyAlignment="1">
      <alignment horizontal="left" vertical="center"/>
    </xf>
    <xf numFmtId="0" fontId="30" fillId="0" borderId="18" xfId="0" applyFont="1" applyBorder="1" applyAlignment="1">
      <alignment horizontal="left" vertical="center"/>
    </xf>
    <xf numFmtId="0" fontId="30" fillId="0" borderId="19" xfId="0" applyFont="1" applyBorder="1" applyAlignment="1">
      <alignment horizontal="left" vertical="center"/>
    </xf>
    <xf numFmtId="0" fontId="30" fillId="0" borderId="1" xfId="0" applyFont="1" applyBorder="1" applyAlignment="1">
      <alignment horizontal="left" vertical="center" wrapText="1"/>
    </xf>
    <xf numFmtId="0" fontId="30" fillId="0" borderId="2" xfId="0" applyFont="1" applyBorder="1" applyAlignment="1">
      <alignment horizontal="left" vertical="center" wrapText="1"/>
    </xf>
    <xf numFmtId="0" fontId="0" fillId="0" borderId="51" xfId="0" applyBorder="1" applyAlignment="1">
      <alignment horizontal="center"/>
    </xf>
    <xf numFmtId="0" fontId="0" fillId="0" borderId="23" xfId="0" applyBorder="1" applyAlignment="1">
      <alignment horizontal="center"/>
    </xf>
    <xf numFmtId="0" fontId="0" fillId="29" borderId="34" xfId="0" applyFill="1" applyBorder="1" applyAlignment="1">
      <alignment horizontal="center"/>
    </xf>
    <xf numFmtId="0" fontId="0" fillId="29" borderId="35" xfId="0" applyFill="1" applyBorder="1" applyAlignment="1">
      <alignment horizontal="center"/>
    </xf>
    <xf numFmtId="0" fontId="19" fillId="0" borderId="145" xfId="0" applyFont="1" applyBorder="1" applyAlignment="1">
      <alignment horizontal="center" vertical="center"/>
    </xf>
    <xf numFmtId="0" fontId="0" fillId="0" borderId="68" xfId="0" applyBorder="1" applyAlignment="1">
      <alignment horizontal="center" vertical="center"/>
    </xf>
    <xf numFmtId="0" fontId="71" fillId="31" borderId="1" xfId="0" applyFont="1" applyFill="1" applyBorder="1" applyAlignment="1">
      <alignment horizontal="center" vertical="center"/>
    </xf>
    <xf numFmtId="0" fontId="71" fillId="31" borderId="2" xfId="0" applyFont="1" applyFill="1" applyBorder="1" applyAlignment="1">
      <alignment horizontal="center" vertical="center"/>
    </xf>
    <xf numFmtId="0" fontId="71" fillId="31" borderId="3" xfId="0" applyFont="1" applyFill="1" applyBorder="1" applyAlignment="1">
      <alignment horizontal="center" vertical="center"/>
    </xf>
    <xf numFmtId="0" fontId="39" fillId="5" borderId="15" xfId="0" applyFont="1" applyFill="1" applyBorder="1" applyAlignment="1">
      <alignment horizontal="center" vertical="center"/>
    </xf>
    <xf numFmtId="0" fontId="39" fillId="5" borderId="16" xfId="0" applyFont="1" applyFill="1" applyBorder="1" applyAlignment="1">
      <alignment horizontal="center" vertical="center"/>
    </xf>
    <xf numFmtId="0" fontId="39" fillId="5" borderId="17" xfId="0" applyFont="1" applyFill="1" applyBorder="1" applyAlignment="1">
      <alignment horizontal="center" vertical="center"/>
    </xf>
    <xf numFmtId="0" fontId="0" fillId="0" borderId="6" xfId="0" applyBorder="1" applyAlignment="1">
      <alignment horizontal="left" vertical="center" wrapText="1"/>
    </xf>
    <xf numFmtId="0" fontId="0" fillId="0" borderId="41" xfId="0" applyBorder="1" applyAlignment="1">
      <alignment horizontal="left" vertical="center" wrapText="1"/>
    </xf>
    <xf numFmtId="0" fontId="0" fillId="0" borderId="8" xfId="0" applyBorder="1" applyAlignment="1">
      <alignment horizontal="left" vertical="center" wrapText="1"/>
    </xf>
    <xf numFmtId="0" fontId="0" fillId="0" borderId="43" xfId="0" applyBorder="1" applyAlignment="1">
      <alignment horizontal="left"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40" fillId="11" borderId="15" xfId="0" applyFont="1" applyFill="1" applyBorder="1" applyAlignment="1">
      <alignment horizontal="center"/>
    </xf>
    <xf numFmtId="0" fontId="40" fillId="11" borderId="16" xfId="0" applyFont="1" applyFill="1" applyBorder="1" applyAlignment="1">
      <alignment horizontal="center"/>
    </xf>
    <xf numFmtId="0" fontId="40" fillId="11" borderId="17" xfId="0" applyFont="1" applyFill="1" applyBorder="1" applyAlignment="1">
      <alignment horizontal="center"/>
    </xf>
    <xf numFmtId="0" fontId="41" fillId="0" borderId="6" xfId="0" quotePrefix="1" applyFont="1" applyBorder="1" applyAlignment="1">
      <alignment horizontal="left" vertical="center" wrapText="1"/>
    </xf>
    <xf numFmtId="0" fontId="41" fillId="0" borderId="41" xfId="0" applyFont="1" applyBorder="1" applyAlignment="1">
      <alignment horizontal="left" vertical="center" wrapText="1"/>
    </xf>
    <xf numFmtId="0" fontId="41" fillId="0" borderId="8" xfId="0" applyFont="1" applyBorder="1" applyAlignment="1">
      <alignment horizontal="left" vertical="center" wrapText="1"/>
    </xf>
    <xf numFmtId="0" fontId="0" fillId="0" borderId="6" xfId="0" quotePrefix="1" applyBorder="1" applyAlignment="1">
      <alignment horizontal="left" vertical="center" wrapText="1"/>
    </xf>
    <xf numFmtId="0" fontId="40" fillId="0" borderId="12" xfId="0" applyFont="1" applyBorder="1" applyAlignment="1">
      <alignment horizontal="left" vertical="center"/>
    </xf>
    <xf numFmtId="0" fontId="40" fillId="0" borderId="52" xfId="0" applyFont="1" applyBorder="1" applyAlignment="1">
      <alignment horizontal="left" vertical="center"/>
    </xf>
    <xf numFmtId="0" fontId="30" fillId="0" borderId="47" xfId="0" quotePrefix="1" applyFont="1" applyBorder="1" applyAlignment="1">
      <alignment horizontal="left" vertical="top" wrapText="1"/>
    </xf>
    <xf numFmtId="0" fontId="30" fillId="0" borderId="22" xfId="0" quotePrefix="1" applyFont="1" applyBorder="1" applyAlignment="1">
      <alignment horizontal="left" vertical="top" wrapText="1"/>
    </xf>
    <xf numFmtId="0" fontId="0" fillId="0" borderId="7" xfId="0" applyBorder="1" applyAlignment="1">
      <alignment horizontal="left" vertical="center"/>
    </xf>
    <xf numFmtId="0" fontId="5" fillId="0" borderId="47" xfId="0" quotePrefix="1" applyFont="1" applyBorder="1" applyAlignment="1">
      <alignment horizontal="left" vertical="center" wrapText="1"/>
    </xf>
    <xf numFmtId="0" fontId="0" fillId="0" borderId="22" xfId="0" quotePrefix="1" applyBorder="1" applyAlignment="1">
      <alignment horizontal="left" vertical="center" wrapText="1"/>
    </xf>
    <xf numFmtId="0" fontId="71" fillId="31" borderId="15" xfId="0" applyFont="1" applyFill="1" applyBorder="1" applyAlignment="1">
      <alignment horizontal="center" vertical="center"/>
    </xf>
    <xf numFmtId="0" fontId="71" fillId="31" borderId="16" xfId="0" applyFont="1" applyFill="1" applyBorder="1" applyAlignment="1">
      <alignment horizontal="center" vertical="center"/>
    </xf>
    <xf numFmtId="0" fontId="71" fillId="31" borderId="17" xfId="0" applyFont="1" applyFill="1" applyBorder="1" applyAlignment="1">
      <alignment horizontal="center" vertical="center"/>
    </xf>
    <xf numFmtId="0" fontId="39" fillId="5" borderId="1" xfId="0" applyFont="1" applyFill="1" applyBorder="1" applyAlignment="1">
      <alignment horizontal="center" vertical="center"/>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0" fillId="11" borderId="15" xfId="0" applyFont="1" applyFill="1" applyBorder="1" applyAlignment="1">
      <alignment horizontal="center" vertical="center"/>
    </xf>
    <xf numFmtId="0" fontId="40" fillId="11" borderId="16" xfId="0" applyFont="1" applyFill="1" applyBorder="1" applyAlignment="1">
      <alignment horizontal="center" vertical="center"/>
    </xf>
    <xf numFmtId="0" fontId="40" fillId="11" borderId="17" xfId="0" applyFont="1" applyFill="1" applyBorder="1" applyAlignment="1">
      <alignment horizontal="center" vertical="center"/>
    </xf>
    <xf numFmtId="0" fontId="5" fillId="0" borderId="37" xfId="0" quotePrefix="1" applyFont="1" applyBorder="1" applyAlignment="1">
      <alignment horizontal="left" vertical="center" wrapText="1"/>
    </xf>
    <xf numFmtId="0" fontId="0" fillId="0" borderId="38" xfId="0" applyBorder="1" applyAlignment="1">
      <alignment horizontal="left" vertical="center" wrapText="1"/>
    </xf>
    <xf numFmtId="0" fontId="0" fillId="0" borderId="39" xfId="0" applyBorder="1" applyAlignment="1">
      <alignment horizontal="left" vertical="center" wrapText="1"/>
    </xf>
    <xf numFmtId="0" fontId="19" fillId="0" borderId="6" xfId="0" quotePrefix="1" applyFont="1" applyBorder="1" applyAlignment="1">
      <alignment horizontal="left" vertical="center" wrapText="1"/>
    </xf>
    <xf numFmtId="0" fontId="41" fillId="0" borderId="6" xfId="0" applyFont="1" applyBorder="1" applyAlignment="1">
      <alignment horizontal="left" vertical="center" wrapText="1"/>
    </xf>
    <xf numFmtId="0" fontId="22" fillId="0" borderId="52" xfId="0" applyFont="1" applyBorder="1" applyAlignment="1">
      <alignment horizontal="center" vertical="center"/>
    </xf>
    <xf numFmtId="0" fontId="22" fillId="0" borderId="25" xfId="0" applyFont="1" applyBorder="1" applyAlignment="1">
      <alignment horizontal="center" vertical="center"/>
    </xf>
    <xf numFmtId="0" fontId="0" fillId="29" borderId="53" xfId="0" applyFill="1" applyBorder="1" applyAlignment="1">
      <alignment horizontal="center" vertical="center"/>
    </xf>
    <xf numFmtId="0" fontId="0" fillId="29" borderId="11" xfId="0" applyFill="1" applyBorder="1" applyAlignment="1">
      <alignment horizontal="center" vertical="center"/>
    </xf>
    <xf numFmtId="0" fontId="38" fillId="4" borderId="15" xfId="0" applyFont="1" applyFill="1" applyBorder="1" applyAlignment="1">
      <alignment horizontal="center" vertical="center"/>
    </xf>
    <xf numFmtId="0" fontId="38" fillId="4" borderId="16" xfId="0" applyFont="1" applyFill="1" applyBorder="1" applyAlignment="1">
      <alignment horizontal="center" vertical="center"/>
    </xf>
    <xf numFmtId="0" fontId="38" fillId="4" borderId="17" xfId="0" applyFont="1" applyFill="1" applyBorder="1" applyAlignment="1">
      <alignment horizontal="center" vertical="center"/>
    </xf>
    <xf numFmtId="0" fontId="0" fillId="0" borderId="52" xfId="0" applyBorder="1" applyAlignment="1">
      <alignment horizontal="center"/>
    </xf>
    <xf numFmtId="0" fontId="0" fillId="0" borderId="25" xfId="0" applyBorder="1" applyAlignment="1">
      <alignment horizontal="center"/>
    </xf>
    <xf numFmtId="167" fontId="0" fillId="29" borderId="53" xfId="0" applyNumberFormat="1" applyFill="1" applyBorder="1" applyAlignment="1">
      <alignment horizontal="center"/>
    </xf>
    <xf numFmtId="167" fontId="0" fillId="29" borderId="11" xfId="0" applyNumberFormat="1" applyFill="1" applyBorder="1" applyAlignment="1">
      <alignment horizontal="center"/>
    </xf>
    <xf numFmtId="0" fontId="22" fillId="0" borderId="76" xfId="0" applyFont="1" applyBorder="1" applyAlignment="1">
      <alignment horizontal="center"/>
    </xf>
    <xf numFmtId="0" fontId="22" fillId="0" borderId="77" xfId="0" applyFont="1" applyBorder="1" applyAlignment="1">
      <alignment horizontal="center"/>
    </xf>
    <xf numFmtId="0" fontId="18" fillId="0" borderId="6" xfId="0" applyFont="1" applyBorder="1" applyAlignment="1">
      <alignment horizontal="left" vertical="center" wrapText="1"/>
    </xf>
    <xf numFmtId="0" fontId="44" fillId="0" borderId="7" xfId="0" quotePrefix="1" applyFont="1" applyBorder="1" applyAlignment="1">
      <alignment horizontal="left" vertical="center" wrapText="1"/>
    </xf>
    <xf numFmtId="0" fontId="30" fillId="0" borderId="107" xfId="0" applyFont="1" applyBorder="1" applyAlignment="1">
      <alignment horizontal="center" vertical="center"/>
    </xf>
    <xf numFmtId="167" fontId="30" fillId="8" borderId="53" xfId="0" applyNumberFormat="1" applyFont="1" applyFill="1" applyBorder="1" applyAlignment="1">
      <alignment horizontal="center" vertical="center"/>
    </xf>
    <xf numFmtId="0" fontId="5" fillId="0" borderId="0" xfId="0" applyFont="1" applyAlignment="1">
      <alignment horizontal="left" vertical="center" wrapText="1"/>
    </xf>
    <xf numFmtId="0" fontId="13" fillId="0" borderId="0" xfId="0" applyFont="1" applyAlignment="1">
      <alignment horizontal="left" vertical="center" wrapText="1"/>
    </xf>
    <xf numFmtId="0" fontId="44" fillId="0" borderId="0" xfId="0" applyFont="1" applyAlignment="1">
      <alignment horizontal="left" vertical="center" wrapText="1"/>
    </xf>
    <xf numFmtId="0" fontId="36" fillId="0" borderId="59" xfId="9" applyFont="1" applyBorder="1" applyAlignment="1">
      <alignment horizontal="center" vertical="center" wrapText="1"/>
    </xf>
    <xf numFmtId="0" fontId="36" fillId="0" borderId="61" xfId="9" applyFont="1" applyBorder="1" applyAlignment="1">
      <alignment horizontal="center" vertical="center" wrapText="1"/>
    </xf>
    <xf numFmtId="0" fontId="36" fillId="0" borderId="166" xfId="9" applyFont="1" applyBorder="1" applyAlignment="1">
      <alignment horizontal="center" vertical="center" wrapText="1"/>
    </xf>
    <xf numFmtId="0" fontId="36" fillId="0" borderId="167" xfId="9" applyFont="1" applyBorder="1" applyAlignment="1">
      <alignment horizontal="center" vertical="center" wrapText="1"/>
    </xf>
    <xf numFmtId="0" fontId="36" fillId="0" borderId="172" xfId="9" applyFont="1" applyBorder="1" applyAlignment="1">
      <alignment horizontal="center" vertical="center" wrapText="1"/>
    </xf>
    <xf numFmtId="9" fontId="123" fillId="0" borderId="47" xfId="0" applyNumberFormat="1" applyFont="1" applyBorder="1" applyAlignment="1">
      <alignment horizontal="center" vertical="center"/>
    </xf>
    <xf numFmtId="9" fontId="123" fillId="0" borderId="22" xfId="0" applyNumberFormat="1" applyFont="1" applyBorder="1" applyAlignment="1">
      <alignment horizontal="center" vertical="center"/>
    </xf>
    <xf numFmtId="9" fontId="123" fillId="0" borderId="105" xfId="0" applyNumberFormat="1" applyFont="1" applyBorder="1" applyAlignment="1">
      <alignment horizontal="center" vertical="center"/>
    </xf>
    <xf numFmtId="9" fontId="123" fillId="0" borderId="13" xfId="0" applyNumberFormat="1" applyFont="1" applyBorder="1" applyAlignment="1">
      <alignment horizontal="center" vertical="center"/>
    </xf>
    <xf numFmtId="2" fontId="123" fillId="0" borderId="47" xfId="0" applyNumberFormat="1" applyFont="1" applyBorder="1" applyAlignment="1">
      <alignment horizontal="center" vertical="center"/>
    </xf>
    <xf numFmtId="2" fontId="123" fillId="0" borderId="22" xfId="0" applyNumberFormat="1" applyFont="1" applyBorder="1" applyAlignment="1">
      <alignment horizontal="center" vertical="center"/>
    </xf>
    <xf numFmtId="2" fontId="123" fillId="0" borderId="105" xfId="0" applyNumberFormat="1" applyFont="1" applyBorder="1" applyAlignment="1">
      <alignment horizontal="center" vertical="center"/>
    </xf>
    <xf numFmtId="0" fontId="123" fillId="0" borderId="13" xfId="0" applyFont="1" applyBorder="1" applyAlignment="1">
      <alignment horizontal="center" vertical="center"/>
    </xf>
    <xf numFmtId="0" fontId="14" fillId="0" borderId="0" xfId="0" applyFont="1" applyAlignment="1">
      <alignment horizontal="left" vertical="center" wrapText="1"/>
    </xf>
    <xf numFmtId="0" fontId="36" fillId="78" borderId="59" xfId="9" applyFont="1" applyFill="1" applyBorder="1" applyAlignment="1">
      <alignment horizontal="center" vertical="center" wrapText="1"/>
    </xf>
    <xf numFmtId="0" fontId="36" fillId="78" borderId="61" xfId="9" applyFont="1" applyFill="1" applyBorder="1" applyAlignment="1">
      <alignment horizontal="center" vertical="center" wrapText="1"/>
    </xf>
    <xf numFmtId="9" fontId="36" fillId="0" borderId="53" xfId="5" applyNumberFormat="1" applyFont="1" applyBorder="1" applyAlignment="1">
      <alignment horizontal="center" vertical="center"/>
    </xf>
    <xf numFmtId="9" fontId="36" fillId="0" borderId="56" xfId="5" applyNumberFormat="1" applyFont="1" applyBorder="1" applyAlignment="1">
      <alignment horizontal="center" vertical="center"/>
    </xf>
    <xf numFmtId="9" fontId="36" fillId="0" borderId="9" xfId="5" applyNumberFormat="1" applyFont="1" applyBorder="1" applyAlignment="1">
      <alignment horizontal="center" vertical="center"/>
    </xf>
    <xf numFmtId="9" fontId="36" fillId="0" borderId="11" xfId="5" applyNumberFormat="1" applyFont="1" applyBorder="1" applyAlignment="1">
      <alignment horizontal="center" vertical="center"/>
    </xf>
    <xf numFmtId="0" fontId="58" fillId="17" borderId="15" xfId="0" applyFont="1" applyFill="1" applyBorder="1" applyAlignment="1">
      <alignment horizontal="center" vertical="center"/>
    </xf>
    <xf numFmtId="0" fontId="58" fillId="17" borderId="16" xfId="0" applyFont="1" applyFill="1" applyBorder="1" applyAlignment="1">
      <alignment horizontal="center" vertical="center"/>
    </xf>
    <xf numFmtId="0" fontId="58" fillId="17" borderId="17" xfId="0" applyFont="1" applyFill="1" applyBorder="1" applyAlignment="1">
      <alignment horizontal="center" vertical="center"/>
    </xf>
    <xf numFmtId="0" fontId="100" fillId="5" borderId="54" xfId="5" applyFont="1" applyFill="1" applyBorder="1" applyAlignment="1">
      <alignment horizontal="center" vertical="center"/>
    </xf>
    <xf numFmtId="0" fontId="100" fillId="5" borderId="26" xfId="5" applyFont="1" applyFill="1" applyBorder="1" applyAlignment="1">
      <alignment horizontal="center" vertical="center"/>
    </xf>
    <xf numFmtId="0" fontId="100" fillId="5" borderId="27" xfId="5" applyFont="1" applyFill="1" applyBorder="1" applyAlignment="1">
      <alignment horizontal="center" vertical="center"/>
    </xf>
    <xf numFmtId="1" fontId="47" fillId="0" borderId="108" xfId="5" applyNumberFormat="1" applyFont="1" applyBorder="1" applyAlignment="1">
      <alignment horizontal="center" vertical="center" wrapText="1"/>
    </xf>
    <xf numFmtId="1" fontId="47" fillId="0" borderId="55" xfId="5" applyNumberFormat="1" applyFont="1" applyBorder="1" applyAlignment="1">
      <alignment horizontal="center" vertical="center" wrapText="1"/>
    </xf>
    <xf numFmtId="1" fontId="47" fillId="0" borderId="18" xfId="5" applyNumberFormat="1" applyFont="1" applyBorder="1" applyAlignment="1">
      <alignment horizontal="center" vertical="center" wrapText="1"/>
    </xf>
    <xf numFmtId="1" fontId="47" fillId="0" borderId="20" xfId="5" applyNumberFormat="1" applyFont="1" applyBorder="1" applyAlignment="1">
      <alignment horizontal="center" vertical="center" wrapText="1"/>
    </xf>
    <xf numFmtId="0" fontId="111" fillId="19" borderId="15" xfId="5" applyFont="1" applyFill="1" applyBorder="1" applyAlignment="1">
      <alignment horizontal="center" vertical="center"/>
    </xf>
    <xf numFmtId="0" fontId="111" fillId="19" borderId="16" xfId="5" applyFont="1" applyFill="1" applyBorder="1" applyAlignment="1">
      <alignment horizontal="center" vertical="center"/>
    </xf>
    <xf numFmtId="0" fontId="111" fillId="19" borderId="17" xfId="5" applyFont="1" applyFill="1" applyBorder="1" applyAlignment="1">
      <alignment horizontal="center" vertical="center"/>
    </xf>
    <xf numFmtId="9" fontId="30" fillId="0" borderId="117" xfId="0" applyNumberFormat="1" applyFont="1" applyBorder="1" applyAlignment="1">
      <alignment horizontal="center" vertical="center"/>
    </xf>
    <xf numFmtId="9" fontId="30" fillId="0" borderId="89" xfId="0" applyNumberFormat="1" applyFont="1" applyBorder="1" applyAlignment="1">
      <alignment horizontal="center" vertical="center"/>
    </xf>
    <xf numFmtId="0" fontId="112" fillId="19" borderId="15" xfId="5" applyFont="1" applyFill="1" applyBorder="1" applyAlignment="1">
      <alignment horizontal="center" vertical="center" wrapText="1"/>
    </xf>
    <xf numFmtId="0" fontId="112" fillId="19" borderId="16" xfId="5" applyFont="1" applyFill="1" applyBorder="1" applyAlignment="1">
      <alignment horizontal="center" vertical="center" wrapText="1"/>
    </xf>
    <xf numFmtId="0" fontId="112" fillId="19" borderId="17" xfId="5" applyFont="1" applyFill="1" applyBorder="1" applyAlignment="1">
      <alignment horizontal="center" vertical="center" wrapText="1"/>
    </xf>
    <xf numFmtId="0" fontId="30" fillId="0" borderId="0" xfId="0" applyFont="1" applyAlignment="1">
      <alignment horizontal="left" vertical="top" wrapText="1"/>
    </xf>
    <xf numFmtId="0" fontId="36" fillId="18" borderId="15" xfId="0" quotePrefix="1" applyFont="1" applyFill="1" applyBorder="1" applyAlignment="1">
      <alignment horizontal="center" vertical="center"/>
    </xf>
    <xf numFmtId="0" fontId="36" fillId="18" borderId="16" xfId="0" quotePrefix="1" applyFont="1" applyFill="1" applyBorder="1" applyAlignment="1">
      <alignment horizontal="center" vertical="center"/>
    </xf>
    <xf numFmtId="0" fontId="36" fillId="18" borderId="17" xfId="0" quotePrefix="1" applyFont="1" applyFill="1" applyBorder="1" applyAlignment="1">
      <alignment horizontal="center" vertical="center"/>
    </xf>
    <xf numFmtId="0" fontId="51" fillId="0" borderId="15" xfId="0" quotePrefix="1" applyFont="1" applyBorder="1" applyAlignment="1">
      <alignment horizontal="left" vertical="center"/>
    </xf>
    <xf numFmtId="0" fontId="51" fillId="0" borderId="16" xfId="0" quotePrefix="1" applyFont="1" applyBorder="1" applyAlignment="1">
      <alignment horizontal="left" vertical="center"/>
    </xf>
    <xf numFmtId="0" fontId="51" fillId="0" borderId="17" xfId="0" quotePrefix="1" applyFont="1" applyBorder="1" applyAlignment="1">
      <alignment horizontal="left" vertical="center"/>
    </xf>
    <xf numFmtId="0" fontId="36" fillId="18" borderId="15" xfId="0" applyFont="1" applyFill="1" applyBorder="1" applyAlignment="1">
      <alignment horizontal="center" vertical="center"/>
    </xf>
    <xf numFmtId="0" fontId="36" fillId="18" borderId="16" xfId="0" applyFont="1" applyFill="1" applyBorder="1" applyAlignment="1">
      <alignment horizontal="center" vertical="center"/>
    </xf>
    <xf numFmtId="0" fontId="36" fillId="18" borderId="17" xfId="0" applyFont="1" applyFill="1" applyBorder="1" applyAlignment="1">
      <alignment horizontal="center" vertical="center"/>
    </xf>
    <xf numFmtId="0" fontId="36" fillId="18" borderId="59" xfId="9" applyFont="1" applyFill="1" applyBorder="1" applyAlignment="1">
      <alignment horizontal="center" vertical="center" wrapText="1"/>
    </xf>
    <xf numFmtId="0" fontId="36" fillId="18" borderId="60" xfId="9" applyFont="1" applyFill="1" applyBorder="1" applyAlignment="1">
      <alignment horizontal="center" vertical="center" wrapText="1"/>
    </xf>
    <xf numFmtId="0" fontId="36" fillId="35" borderId="59" xfId="9" applyFont="1" applyFill="1" applyBorder="1" applyAlignment="1">
      <alignment horizontal="center" vertical="center" wrapText="1"/>
    </xf>
    <xf numFmtId="0" fontId="36" fillId="35" borderId="60" xfId="9" applyFont="1" applyFill="1" applyBorder="1" applyAlignment="1">
      <alignment horizontal="center" vertical="center" wrapText="1"/>
    </xf>
    <xf numFmtId="2" fontId="30" fillId="0" borderId="117" xfId="0" applyNumberFormat="1" applyFont="1" applyBorder="1" applyAlignment="1">
      <alignment horizontal="center" vertical="center"/>
    </xf>
    <xf numFmtId="2" fontId="30" fillId="0" borderId="89" xfId="0" applyNumberFormat="1" applyFont="1" applyBorder="1" applyAlignment="1">
      <alignment horizontal="center" vertical="center"/>
    </xf>
    <xf numFmtId="0" fontId="30" fillId="0" borderId="89" xfId="0" applyFont="1" applyBorder="1" applyAlignment="1">
      <alignment horizontal="center" vertical="center"/>
    </xf>
    <xf numFmtId="0" fontId="30" fillId="0" borderId="12" xfId="0" quotePrefix="1" applyFont="1" applyBorder="1" applyAlignment="1">
      <alignment horizontal="left" vertical="center" wrapText="1"/>
    </xf>
    <xf numFmtId="0" fontId="30" fillId="0" borderId="52" xfId="0" quotePrefix="1" applyFont="1" applyBorder="1" applyAlignment="1">
      <alignment horizontal="left" vertical="center" wrapText="1"/>
    </xf>
    <xf numFmtId="0" fontId="94" fillId="56" borderId="15" xfId="5" applyFont="1" applyFill="1" applyBorder="1" applyAlignment="1">
      <alignment horizontal="center" vertical="center" wrapText="1"/>
    </xf>
    <xf numFmtId="0" fontId="94" fillId="56" borderId="17" xfId="5" applyFont="1" applyFill="1" applyBorder="1" applyAlignment="1">
      <alignment horizontal="center" vertical="center" wrapText="1"/>
    </xf>
    <xf numFmtId="0" fontId="182" fillId="0" borderId="102" xfId="0" applyFont="1" applyBorder="1" applyAlignment="1">
      <alignment horizontal="left" vertical="center" wrapText="1"/>
    </xf>
    <xf numFmtId="0" fontId="182" fillId="0" borderId="0" xfId="0" applyFont="1" applyAlignment="1">
      <alignment horizontal="left" vertical="center" wrapText="1"/>
    </xf>
    <xf numFmtId="0" fontId="37" fillId="0" borderId="0" xfId="0" quotePrefix="1" applyFont="1" applyAlignment="1">
      <alignment horizontal="left" vertical="center" wrapText="1"/>
    </xf>
    <xf numFmtId="0" fontId="36" fillId="0" borderId="12" xfId="0" applyFont="1" applyBorder="1" applyAlignment="1">
      <alignment horizontal="center" vertical="center"/>
    </xf>
    <xf numFmtId="0" fontId="36" fillId="0" borderId="52" xfId="0" applyFont="1" applyBorder="1" applyAlignment="1">
      <alignment horizontal="center" vertical="center"/>
    </xf>
    <xf numFmtId="9" fontId="36" fillId="45" borderId="7" xfId="12" applyFont="1" applyFill="1" applyBorder="1" applyAlignment="1">
      <alignment horizontal="center" vertical="center" wrapText="1"/>
    </xf>
    <xf numFmtId="1" fontId="52" fillId="68" borderId="146" xfId="0" applyNumberFormat="1" applyFont="1" applyFill="1" applyBorder="1" applyAlignment="1">
      <alignment horizontal="center" vertical="center" wrapText="1"/>
    </xf>
    <xf numFmtId="1" fontId="52" fillId="68" borderId="147" xfId="0" applyNumberFormat="1" applyFont="1" applyFill="1" applyBorder="1" applyAlignment="1">
      <alignment horizontal="center" vertical="center" wrapText="1"/>
    </xf>
    <xf numFmtId="1" fontId="52" fillId="68" borderId="129" xfId="0" applyNumberFormat="1" applyFont="1" applyFill="1" applyBorder="1" applyAlignment="1">
      <alignment horizontal="center" vertical="center" wrapText="1"/>
    </xf>
    <xf numFmtId="1" fontId="52" fillId="68" borderId="98" xfId="0" applyNumberFormat="1" applyFont="1" applyFill="1" applyBorder="1" applyAlignment="1">
      <alignment horizontal="center" vertical="center" wrapText="1"/>
    </xf>
    <xf numFmtId="9" fontId="53" fillId="0" borderId="7" xfId="0" applyNumberFormat="1" applyFont="1" applyBorder="1" applyAlignment="1">
      <alignment horizontal="right" vertical="center"/>
    </xf>
    <xf numFmtId="0" fontId="36" fillId="0" borderId="136" xfId="9" applyFont="1" applyBorder="1" applyAlignment="1">
      <alignment horizontal="center" vertical="center" wrapText="1"/>
    </xf>
    <xf numFmtId="0" fontId="36" fillId="0" borderId="151" xfId="9" applyFont="1" applyBorder="1" applyAlignment="1">
      <alignment horizontal="center" vertical="center" wrapText="1"/>
    </xf>
    <xf numFmtId="0" fontId="36" fillId="0" borderId="150" xfId="9" applyFont="1" applyBorder="1" applyAlignment="1">
      <alignment horizontal="center" vertical="center" wrapText="1"/>
    </xf>
    <xf numFmtId="1" fontId="66" fillId="0" borderId="108" xfId="5" applyNumberFormat="1" applyFont="1" applyBorder="1" applyAlignment="1">
      <alignment horizontal="center" vertical="center" wrapText="1"/>
    </xf>
    <xf numFmtId="1" fontId="66" fillId="0" borderId="55" xfId="5" applyNumberFormat="1" applyFont="1" applyBorder="1" applyAlignment="1">
      <alignment horizontal="center" vertical="center" wrapText="1"/>
    </xf>
    <xf numFmtId="1" fontId="66" fillId="0" borderId="18" xfId="5" applyNumberFormat="1" applyFont="1" applyBorder="1" applyAlignment="1">
      <alignment horizontal="center" vertical="center" wrapText="1"/>
    </xf>
    <xf numFmtId="1" fontId="66" fillId="0" borderId="20" xfId="5" applyNumberFormat="1" applyFont="1" applyBorder="1" applyAlignment="1">
      <alignment horizontal="center" vertical="center" wrapText="1"/>
    </xf>
    <xf numFmtId="9" fontId="49" fillId="0" borderId="53" xfId="5" applyNumberFormat="1" applyFont="1" applyBorder="1" applyAlignment="1">
      <alignment horizontal="center" vertical="center"/>
    </xf>
    <xf numFmtId="0" fontId="49" fillId="0" borderId="56" xfId="5" applyFont="1" applyBorder="1" applyAlignment="1">
      <alignment horizontal="center" vertical="center"/>
    </xf>
    <xf numFmtId="9" fontId="49" fillId="0" borderId="9" xfId="5" applyNumberFormat="1" applyFont="1" applyBorder="1" applyAlignment="1">
      <alignment horizontal="center" vertical="center"/>
    </xf>
    <xf numFmtId="0" fontId="121" fillId="19" borderId="182" xfId="5" applyFont="1" applyFill="1" applyBorder="1" applyAlignment="1">
      <alignment horizontal="center" vertical="center"/>
    </xf>
    <xf numFmtId="0" fontId="121" fillId="19" borderId="132" xfId="5" applyFont="1" applyFill="1" applyBorder="1" applyAlignment="1">
      <alignment horizontal="center" vertical="center"/>
    </xf>
    <xf numFmtId="0" fontId="121" fillId="19" borderId="183" xfId="5" applyFont="1" applyFill="1" applyBorder="1" applyAlignment="1">
      <alignment horizontal="center" vertical="center"/>
    </xf>
    <xf numFmtId="0" fontId="121" fillId="19" borderId="16" xfId="5" applyFont="1" applyFill="1" applyBorder="1" applyAlignment="1">
      <alignment horizontal="center" vertical="center"/>
    </xf>
    <xf numFmtId="0" fontId="121" fillId="19" borderId="17" xfId="5" applyFont="1" applyFill="1" applyBorder="1" applyAlignment="1">
      <alignment horizontal="center" vertical="center"/>
    </xf>
    <xf numFmtId="0" fontId="121" fillId="19" borderId="15" xfId="5" applyFont="1" applyFill="1" applyBorder="1" applyAlignment="1">
      <alignment horizontal="center" vertical="center" wrapText="1"/>
    </xf>
    <xf numFmtId="0" fontId="121" fillId="19" borderId="16" xfId="5" applyFont="1" applyFill="1" applyBorder="1" applyAlignment="1">
      <alignment horizontal="center" vertical="center" wrapText="1"/>
    </xf>
    <xf numFmtId="0" fontId="121" fillId="19" borderId="17" xfId="5" applyFont="1" applyFill="1" applyBorder="1" applyAlignment="1">
      <alignment horizontal="center" vertical="center" wrapText="1"/>
    </xf>
    <xf numFmtId="0" fontId="116" fillId="19" borderId="184" xfId="5" applyFont="1" applyFill="1" applyBorder="1" applyAlignment="1">
      <alignment horizontal="center" vertical="center"/>
    </xf>
    <xf numFmtId="0" fontId="116" fillId="19" borderId="17" xfId="5" applyFont="1" applyFill="1" applyBorder="1" applyAlignment="1">
      <alignment horizontal="center" vertical="center"/>
    </xf>
    <xf numFmtId="0" fontId="116" fillId="19" borderId="15" xfId="5" applyFont="1" applyFill="1" applyBorder="1" applyAlignment="1">
      <alignment horizontal="center" vertical="center"/>
    </xf>
    <xf numFmtId="0" fontId="116" fillId="19" borderId="185" xfId="5" applyFont="1" applyFill="1" applyBorder="1" applyAlignment="1">
      <alignment horizontal="center" vertical="center"/>
    </xf>
    <xf numFmtId="0" fontId="116" fillId="19" borderId="16" xfId="5" applyFont="1" applyFill="1" applyBorder="1" applyAlignment="1">
      <alignment horizontal="center" vertical="center"/>
    </xf>
    <xf numFmtId="0" fontId="36" fillId="18" borderId="7" xfId="0" quotePrefix="1" applyFont="1" applyFill="1" applyBorder="1" applyAlignment="1">
      <alignment horizontal="center" vertical="center"/>
    </xf>
    <xf numFmtId="0" fontId="36" fillId="18" borderId="12" xfId="0" quotePrefix="1" applyFont="1" applyFill="1" applyBorder="1" applyAlignment="1">
      <alignment horizontal="center" vertical="center"/>
    </xf>
    <xf numFmtId="0" fontId="36" fillId="18" borderId="52" xfId="0" quotePrefix="1" applyFont="1" applyFill="1" applyBorder="1" applyAlignment="1">
      <alignment horizontal="center" vertical="center"/>
    </xf>
    <xf numFmtId="0" fontId="36" fillId="18" borderId="41" xfId="0" quotePrefix="1" applyFont="1" applyFill="1" applyBorder="1" applyAlignment="1">
      <alignment horizontal="center" vertical="center"/>
    </xf>
    <xf numFmtId="0" fontId="36" fillId="7" borderId="116" xfId="0" quotePrefix="1" applyFont="1" applyFill="1" applyBorder="1" applyAlignment="1">
      <alignment horizontal="center" vertical="center"/>
    </xf>
    <xf numFmtId="0" fontId="36" fillId="7" borderId="29" xfId="0" quotePrefix="1" applyFont="1" applyFill="1" applyBorder="1" applyAlignment="1">
      <alignment horizontal="center" vertical="center"/>
    </xf>
    <xf numFmtId="0" fontId="36" fillId="7" borderId="4" xfId="0" quotePrefix="1" applyFont="1" applyFill="1" applyBorder="1" applyAlignment="1">
      <alignment horizontal="center" vertical="center"/>
    </xf>
    <xf numFmtId="0" fontId="36" fillId="7" borderId="28" xfId="0" quotePrefix="1" applyFont="1" applyFill="1" applyBorder="1" applyAlignment="1">
      <alignment horizontal="center" vertical="center"/>
    </xf>
    <xf numFmtId="0" fontId="36" fillId="7" borderId="15" xfId="0" quotePrefix="1" applyFont="1" applyFill="1" applyBorder="1" applyAlignment="1">
      <alignment horizontal="center" vertical="center"/>
    </xf>
    <xf numFmtId="0" fontId="36" fillId="7" borderId="17" xfId="0" quotePrefix="1" applyFont="1" applyFill="1" applyBorder="1" applyAlignment="1">
      <alignment horizontal="center" vertical="center"/>
    </xf>
    <xf numFmtId="0" fontId="36" fillId="12" borderId="4" xfId="9" applyFont="1" applyFill="1" applyBorder="1" applyAlignment="1">
      <alignment horizontal="center" vertical="center" wrapText="1"/>
    </xf>
    <xf numFmtId="0" fontId="36" fillId="12" borderId="33" xfId="9" applyFont="1" applyFill="1" applyBorder="1" applyAlignment="1">
      <alignment horizontal="center" vertical="center" wrapText="1"/>
    </xf>
    <xf numFmtId="0" fontId="36" fillId="0" borderId="218" xfId="0" applyFont="1" applyBorder="1" applyAlignment="1">
      <alignment horizontal="center" vertical="center"/>
    </xf>
    <xf numFmtId="0" fontId="36" fillId="0" borderId="219" xfId="0" applyFont="1" applyBorder="1" applyAlignment="1">
      <alignment horizontal="center" vertical="center"/>
    </xf>
    <xf numFmtId="0" fontId="36" fillId="0" borderId="118" xfId="0" applyFont="1" applyBorder="1" applyAlignment="1">
      <alignment horizontal="center" vertical="center" wrapText="1"/>
    </xf>
    <xf numFmtId="0" fontId="36" fillId="0" borderId="119" xfId="0" applyFont="1" applyBorder="1" applyAlignment="1">
      <alignment horizontal="center" vertical="center" wrapText="1"/>
    </xf>
    <xf numFmtId="0" fontId="36" fillId="0" borderId="120" xfId="0" applyFont="1" applyBorder="1" applyAlignment="1">
      <alignment horizontal="center" vertical="center" wrapText="1"/>
    </xf>
    <xf numFmtId="0" fontId="36" fillId="0" borderId="118" xfId="0" applyFont="1" applyBorder="1" applyAlignment="1">
      <alignment horizontal="center" vertical="center"/>
    </xf>
    <xf numFmtId="0" fontId="36" fillId="0" borderId="120" xfId="0" applyFont="1" applyBorder="1" applyAlignment="1">
      <alignment horizontal="center" vertical="center"/>
    </xf>
    <xf numFmtId="0" fontId="36" fillId="0" borderId="7" xfId="0" applyFont="1" applyBorder="1" applyAlignment="1">
      <alignment horizontal="center" vertical="center" wrapText="1"/>
    </xf>
    <xf numFmtId="0" fontId="36" fillId="35" borderId="61" xfId="9" applyFont="1" applyFill="1" applyBorder="1" applyAlignment="1">
      <alignment horizontal="center" vertical="center" wrapText="1"/>
    </xf>
    <xf numFmtId="0" fontId="32" fillId="36" borderId="15" xfId="5" applyFont="1" applyFill="1" applyBorder="1" applyAlignment="1">
      <alignment horizontal="center" vertical="center" wrapText="1"/>
    </xf>
    <xf numFmtId="0" fontId="32" fillId="36" borderId="17" xfId="5" applyFont="1" applyFill="1" applyBorder="1" applyAlignment="1">
      <alignment horizontal="center" vertical="center" wrapText="1"/>
    </xf>
    <xf numFmtId="0" fontId="36" fillId="18" borderId="4" xfId="9" applyFont="1" applyFill="1" applyBorder="1" applyAlignment="1">
      <alignment horizontal="center" vertical="center" wrapText="1"/>
    </xf>
    <xf numFmtId="0" fontId="36" fillId="18" borderId="5" xfId="9" applyFont="1" applyFill="1" applyBorder="1" applyAlignment="1">
      <alignment horizontal="center" vertical="center" wrapText="1"/>
    </xf>
    <xf numFmtId="0" fontId="36" fillId="18" borderId="33" xfId="9" applyFont="1" applyFill="1" applyBorder="1" applyAlignment="1">
      <alignment horizontal="center" vertical="center" wrapText="1"/>
    </xf>
    <xf numFmtId="167" fontId="30" fillId="26" borderId="53" xfId="0" applyNumberFormat="1" applyFont="1" applyFill="1" applyBorder="1" applyAlignment="1">
      <alignment horizontal="center" vertical="center"/>
    </xf>
    <xf numFmtId="167" fontId="30" fillId="26" borderId="11" xfId="0" applyNumberFormat="1" applyFont="1" applyFill="1" applyBorder="1" applyAlignment="1">
      <alignment horizontal="center" vertical="center"/>
    </xf>
    <xf numFmtId="0" fontId="30" fillId="0" borderId="41" xfId="0" quotePrefix="1" applyFont="1" applyBorder="1" applyAlignment="1">
      <alignment horizontal="left" vertical="center" wrapText="1"/>
    </xf>
    <xf numFmtId="0" fontId="30" fillId="0" borderId="8" xfId="0" quotePrefix="1" applyFont="1" applyBorder="1" applyAlignment="1">
      <alignment horizontal="left" vertical="center" wrapText="1"/>
    </xf>
    <xf numFmtId="0" fontId="97" fillId="3" borderId="55" xfId="0" applyFont="1" applyFill="1" applyBorder="1" applyAlignment="1">
      <alignment horizontal="center" vertical="center"/>
    </xf>
    <xf numFmtId="0" fontId="97" fillId="3" borderId="38" xfId="0" applyFont="1" applyFill="1" applyBorder="1" applyAlignment="1">
      <alignment horizontal="center" vertical="center"/>
    </xf>
    <xf numFmtId="0" fontId="97" fillId="3" borderId="39" xfId="0" applyFont="1" applyFill="1" applyBorder="1" applyAlignment="1">
      <alignment horizontal="center" vertical="center"/>
    </xf>
    <xf numFmtId="0" fontId="132" fillId="0" borderId="12" xfId="0" applyFont="1" applyBorder="1" applyAlignment="1">
      <alignment horizontal="left" vertical="center"/>
    </xf>
    <xf numFmtId="0" fontId="132" fillId="0" borderId="41" xfId="0" applyFont="1" applyBorder="1" applyAlignment="1">
      <alignment horizontal="left" vertical="center"/>
    </xf>
    <xf numFmtId="0" fontId="132" fillId="0" borderId="8" xfId="0" applyFont="1" applyBorder="1" applyAlignment="1">
      <alignment horizontal="left" vertical="center"/>
    </xf>
    <xf numFmtId="0" fontId="36" fillId="0" borderId="59" xfId="9" applyFont="1" applyBorder="1" applyAlignment="1">
      <alignment horizontal="left" vertical="center" wrapText="1"/>
    </xf>
    <xf numFmtId="0" fontId="36" fillId="0" borderId="60" xfId="9" applyFont="1" applyBorder="1" applyAlignment="1">
      <alignment horizontal="left" vertical="center" wrapText="1"/>
    </xf>
    <xf numFmtId="0" fontId="36" fillId="0" borderId="61" xfId="9" applyFont="1" applyBorder="1" applyAlignment="1">
      <alignment horizontal="left" vertical="center" wrapText="1"/>
    </xf>
    <xf numFmtId="0" fontId="132" fillId="0" borderId="12" xfId="0" quotePrefix="1" applyFont="1" applyBorder="1" applyAlignment="1">
      <alignment horizontal="left" vertical="center"/>
    </xf>
    <xf numFmtId="0" fontId="132" fillId="0" borderId="41" xfId="0" quotePrefix="1" applyFont="1" applyBorder="1" applyAlignment="1">
      <alignment horizontal="left" vertical="center"/>
    </xf>
    <xf numFmtId="0" fontId="132" fillId="0" borderId="8" xfId="0" quotePrefix="1" applyFont="1" applyBorder="1" applyAlignment="1">
      <alignment horizontal="left" vertical="center"/>
    </xf>
    <xf numFmtId="0" fontId="130" fillId="0" borderId="56" xfId="0" applyFont="1" applyBorder="1" applyAlignment="1">
      <alignment horizontal="left" vertical="center"/>
    </xf>
    <xf numFmtId="0" fontId="130" fillId="0" borderId="44" xfId="0" applyFont="1" applyBorder="1" applyAlignment="1">
      <alignment horizontal="left" vertical="center"/>
    </xf>
    <xf numFmtId="0" fontId="130" fillId="0" borderId="45" xfId="0" applyFont="1" applyBorder="1" applyAlignment="1">
      <alignment horizontal="left" vertical="center"/>
    </xf>
    <xf numFmtId="0" fontId="130" fillId="0" borderId="12" xfId="0" applyFont="1" applyBorder="1" applyAlignment="1">
      <alignment horizontal="left" vertical="center"/>
    </xf>
    <xf numFmtId="0" fontId="130" fillId="0" borderId="41" xfId="0" applyFont="1" applyBorder="1" applyAlignment="1">
      <alignment horizontal="left" vertical="center"/>
    </xf>
    <xf numFmtId="0" fontId="130" fillId="0" borderId="8" xfId="0" applyFont="1" applyBorder="1" applyAlignment="1">
      <alignment horizontal="left" vertical="center"/>
    </xf>
    <xf numFmtId="0" fontId="121" fillId="70" borderId="4" xfId="5" applyFont="1" applyFill="1" applyBorder="1" applyAlignment="1">
      <alignment horizontal="center" vertical="center"/>
    </xf>
    <xf numFmtId="0" fontId="121" fillId="70" borderId="28" xfId="5" applyFont="1" applyFill="1" applyBorder="1" applyAlignment="1">
      <alignment horizontal="center" vertical="center"/>
    </xf>
    <xf numFmtId="0" fontId="121" fillId="70" borderId="29" xfId="5" applyFont="1" applyFill="1" applyBorder="1" applyAlignment="1">
      <alignment horizontal="center" vertical="center"/>
    </xf>
    <xf numFmtId="0" fontId="36" fillId="35" borderId="4" xfId="9" applyFont="1" applyFill="1" applyBorder="1" applyAlignment="1">
      <alignment horizontal="center" vertical="center" wrapText="1"/>
    </xf>
    <xf numFmtId="0" fontId="36" fillId="35" borderId="5" xfId="9" applyFont="1" applyFill="1" applyBorder="1" applyAlignment="1">
      <alignment horizontal="center" vertical="center" wrapText="1"/>
    </xf>
    <xf numFmtId="0" fontId="36" fillId="18" borderId="61" xfId="9" applyFont="1" applyFill="1" applyBorder="1" applyAlignment="1">
      <alignment horizontal="center" vertical="center" wrapText="1"/>
    </xf>
    <xf numFmtId="0" fontId="32" fillId="36" borderId="35" xfId="5" applyFont="1" applyFill="1" applyBorder="1" applyAlignment="1">
      <alignment horizontal="center" vertical="center" wrapText="1"/>
    </xf>
    <xf numFmtId="0" fontId="0" fillId="0" borderId="0" xfId="0"/>
    <xf numFmtId="0" fontId="49" fillId="0" borderId="7" xfId="0" applyFont="1" applyBorder="1" applyAlignment="1">
      <alignment horizontal="center" vertical="center" wrapText="1"/>
    </xf>
    <xf numFmtId="167" fontId="137" fillId="81" borderId="53" xfId="0" applyNumberFormat="1" applyFont="1" applyFill="1" applyBorder="1" applyAlignment="1">
      <alignment horizontal="center" vertical="center"/>
    </xf>
    <xf numFmtId="167" fontId="137" fillId="81" borderId="11" xfId="0" applyNumberFormat="1" applyFont="1" applyFill="1" applyBorder="1" applyAlignment="1">
      <alignment horizontal="center" vertical="center"/>
    </xf>
    <xf numFmtId="0" fontId="30" fillId="0" borderId="55" xfId="0" applyFont="1" applyBorder="1" applyAlignment="1">
      <alignment horizontal="center" vertical="center"/>
    </xf>
    <xf numFmtId="0" fontId="30" fillId="0" borderId="39" xfId="0" applyFont="1" applyBorder="1" applyAlignment="1">
      <alignment horizontal="center" vertical="center"/>
    </xf>
    <xf numFmtId="0" fontId="193" fillId="0" borderId="7" xfId="0" applyFont="1" applyBorder="1" applyAlignment="1">
      <alignment horizontal="left" vertical="center" wrapText="1"/>
    </xf>
    <xf numFmtId="0" fontId="194" fillId="0" borderId="7" xfId="0" applyFont="1" applyBorder="1" applyAlignment="1">
      <alignment horizontal="center" vertical="center" wrapText="1"/>
    </xf>
    <xf numFmtId="0" fontId="30" fillId="0" borderId="12" xfId="0" applyFont="1" applyBorder="1" applyAlignment="1">
      <alignment horizontal="left" vertical="top" wrapText="1"/>
    </xf>
    <xf numFmtId="0" fontId="30" fillId="0" borderId="52" xfId="0" applyFont="1" applyBorder="1" applyAlignment="1">
      <alignment horizontal="left" vertical="top" wrapText="1"/>
    </xf>
    <xf numFmtId="0" fontId="49" fillId="0" borderId="47"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22" xfId="0" applyFont="1" applyBorder="1" applyAlignment="1">
      <alignment horizontal="center" vertical="center" wrapText="1"/>
    </xf>
    <xf numFmtId="0" fontId="30" fillId="0" borderId="7" xfId="0" applyFont="1" applyBorder="1" applyAlignment="1">
      <alignment horizontal="left" vertical="top" wrapText="1"/>
    </xf>
    <xf numFmtId="0" fontId="32" fillId="80" borderId="13" xfId="0" applyFont="1" applyFill="1" applyBorder="1" applyAlignment="1">
      <alignment horizontal="center" vertical="center" wrapText="1"/>
    </xf>
    <xf numFmtId="0" fontId="32" fillId="80" borderId="14" xfId="0" applyFont="1" applyFill="1" applyBorder="1" applyAlignment="1">
      <alignment horizontal="center" vertical="center" wrapText="1"/>
    </xf>
    <xf numFmtId="0" fontId="32" fillId="80" borderId="51" xfId="0" applyFont="1" applyFill="1" applyBorder="1" applyAlignment="1">
      <alignment horizontal="center" vertical="center" wrapText="1"/>
    </xf>
    <xf numFmtId="0" fontId="52" fillId="54" borderId="5" xfId="8" applyFont="1" applyFill="1" applyBorder="1" applyAlignment="1">
      <alignment horizontal="center" vertical="center" wrapText="1"/>
    </xf>
    <xf numFmtId="0" fontId="91" fillId="40" borderId="4" xfId="5" applyFont="1" applyFill="1" applyBorder="1" applyAlignment="1">
      <alignment horizontal="center" vertical="center"/>
    </xf>
    <xf numFmtId="0" fontId="91" fillId="40" borderId="5" xfId="5" applyFont="1" applyFill="1" applyBorder="1" applyAlignment="1">
      <alignment horizontal="center" vertical="center"/>
    </xf>
    <xf numFmtId="0" fontId="37" fillId="0" borderId="7" xfId="0" quotePrefix="1" applyFont="1" applyBorder="1" applyAlignment="1">
      <alignment horizontal="left" vertical="top" wrapText="1"/>
    </xf>
    <xf numFmtId="167" fontId="30" fillId="29" borderId="53" xfId="0" applyNumberFormat="1" applyFont="1" applyFill="1" applyBorder="1" applyAlignment="1">
      <alignment horizontal="center" vertical="center"/>
    </xf>
    <xf numFmtId="167" fontId="30" fillId="29" borderId="11" xfId="0" applyNumberFormat="1" applyFont="1" applyFill="1" applyBorder="1" applyAlignment="1">
      <alignment horizontal="center" vertical="center"/>
    </xf>
    <xf numFmtId="0" fontId="30" fillId="0" borderId="26" xfId="0" applyFont="1" applyBorder="1" applyAlignment="1">
      <alignment horizontal="center" vertical="center"/>
    </xf>
    <xf numFmtId="0" fontId="30" fillId="0" borderId="27" xfId="0" applyFont="1" applyBorder="1" applyAlignment="1">
      <alignment horizontal="center" vertical="center"/>
    </xf>
    <xf numFmtId="0" fontId="30" fillId="0" borderId="43" xfId="0" quotePrefix="1" applyFont="1" applyBorder="1" applyAlignment="1">
      <alignment horizontal="left" vertical="center" wrapText="1"/>
    </xf>
    <xf numFmtId="0" fontId="51" fillId="0" borderId="12" xfId="0" applyFont="1" applyBorder="1" applyAlignment="1">
      <alignment horizontal="center" vertical="center" wrapText="1"/>
    </xf>
    <xf numFmtId="0" fontId="51" fillId="0" borderId="52" xfId="0" applyFont="1" applyBorder="1" applyAlignment="1">
      <alignment horizontal="center" vertical="center" wrapText="1"/>
    </xf>
    <xf numFmtId="164" fontId="30" fillId="0" borderId="12" xfId="2" applyNumberFormat="1" applyFont="1" applyBorder="1" applyAlignment="1">
      <alignment horizontal="left" vertical="center" wrapText="1"/>
    </xf>
    <xf numFmtId="164" fontId="30" fillId="0" borderId="52" xfId="2" applyNumberFormat="1" applyFont="1" applyBorder="1" applyAlignment="1">
      <alignment horizontal="left" vertical="center" wrapText="1"/>
    </xf>
    <xf numFmtId="0" fontId="47" fillId="0" borderId="12" xfId="0" applyFont="1" applyBorder="1" applyAlignment="1">
      <alignment horizontal="center" vertical="center" wrapText="1"/>
    </xf>
    <xf numFmtId="0" fontId="47" fillId="0" borderId="52" xfId="0" applyFont="1" applyBorder="1" applyAlignment="1">
      <alignment horizontal="center" vertical="center" wrapText="1"/>
    </xf>
    <xf numFmtId="0" fontId="53" fillId="0" borderId="47" xfId="0" applyFont="1" applyBorder="1" applyAlignment="1">
      <alignment horizontal="center" vertical="center"/>
    </xf>
    <xf numFmtId="0" fontId="53" fillId="0" borderId="46" xfId="0" applyFont="1" applyBorder="1" applyAlignment="1">
      <alignment horizontal="center" vertical="center"/>
    </xf>
    <xf numFmtId="0" fontId="7" fillId="0" borderId="0" xfId="0" applyFont="1" applyAlignment="1">
      <alignment horizontal="left" vertical="center" wrapText="1"/>
    </xf>
    <xf numFmtId="0" fontId="11" fillId="0" borderId="0" xfId="0" applyFont="1" applyAlignment="1">
      <alignment horizontal="left" vertical="center" wrapText="1"/>
    </xf>
    <xf numFmtId="0" fontId="53" fillId="0" borderId="22" xfId="0" applyFont="1" applyBorder="1" applyAlignment="1">
      <alignment horizontal="center" vertical="center"/>
    </xf>
    <xf numFmtId="0" fontId="53" fillId="0" borderId="12" xfId="0" applyFont="1" applyBorder="1" applyAlignment="1">
      <alignment horizontal="center" vertical="center"/>
    </xf>
    <xf numFmtId="0" fontId="53" fillId="0" borderId="52" xfId="0" applyFont="1" applyBorder="1" applyAlignment="1">
      <alignment horizontal="center" vertical="center"/>
    </xf>
    <xf numFmtId="0" fontId="47" fillId="0" borderId="12" xfId="0" applyFont="1" applyBorder="1" applyAlignment="1">
      <alignment horizontal="center" vertical="center"/>
    </xf>
    <xf numFmtId="0" fontId="47" fillId="0" borderId="41" xfId="0" applyFont="1" applyBorder="1" applyAlignment="1">
      <alignment horizontal="center" vertical="center"/>
    </xf>
    <xf numFmtId="0" fontId="47" fillId="0" borderId="52" xfId="0" applyFont="1" applyBorder="1" applyAlignment="1">
      <alignment horizontal="center" vertical="center"/>
    </xf>
    <xf numFmtId="0" fontId="53" fillId="0" borderId="41" xfId="0" applyFont="1" applyBorder="1" applyAlignment="1">
      <alignment horizontal="center" vertical="center"/>
    </xf>
    <xf numFmtId="0" fontId="55" fillId="0" borderId="4" xfId="5" applyFont="1" applyBorder="1" applyAlignment="1">
      <alignment horizontal="left" vertical="center" wrapText="1"/>
    </xf>
    <xf numFmtId="0" fontId="36" fillId="42" borderId="15" xfId="0" applyFont="1" applyFill="1" applyBorder="1" applyAlignment="1">
      <alignment horizontal="center" vertical="center"/>
    </xf>
    <xf numFmtId="0" fontId="36" fillId="42" borderId="16" xfId="0" applyFont="1" applyFill="1" applyBorder="1" applyAlignment="1">
      <alignment horizontal="center" vertical="center"/>
    </xf>
    <xf numFmtId="0" fontId="36" fillId="42" borderId="17" xfId="0" applyFont="1" applyFill="1" applyBorder="1" applyAlignment="1">
      <alignment horizontal="center" vertical="center"/>
    </xf>
    <xf numFmtId="0" fontId="36" fillId="44" borderId="26" xfId="0" applyFont="1" applyFill="1" applyBorder="1" applyAlignment="1">
      <alignment horizontal="center" vertical="center"/>
    </xf>
    <xf numFmtId="0" fontId="36" fillId="44" borderId="27" xfId="0" applyFont="1" applyFill="1" applyBorder="1" applyAlignment="1">
      <alignment horizontal="center" vertical="center"/>
    </xf>
    <xf numFmtId="0" fontId="30" fillId="0" borderId="20" xfId="0" applyFont="1" applyBorder="1" applyAlignment="1">
      <alignment horizontal="left" vertical="center"/>
    </xf>
    <xf numFmtId="0" fontId="36" fillId="0" borderId="12" xfId="0" applyFont="1" applyBorder="1" applyAlignment="1">
      <alignment horizontal="left" vertical="top" wrapText="1"/>
    </xf>
    <xf numFmtId="0" fontId="36" fillId="0" borderId="41" xfId="0" applyFont="1" applyBorder="1" applyAlignment="1">
      <alignment horizontal="left" vertical="top" wrapText="1"/>
    </xf>
    <xf numFmtId="0" fontId="36" fillId="0" borderId="8" xfId="0" applyFont="1" applyBorder="1" applyAlignment="1">
      <alignment horizontal="left" vertical="top" wrapText="1"/>
    </xf>
    <xf numFmtId="0" fontId="36" fillId="44" borderId="57" xfId="0" applyFont="1" applyFill="1" applyBorder="1" applyAlignment="1">
      <alignment horizontal="center" vertical="center"/>
    </xf>
    <xf numFmtId="0" fontId="36" fillId="44" borderId="16" xfId="0" applyFont="1" applyFill="1" applyBorder="1" applyAlignment="1">
      <alignment horizontal="center" vertical="center"/>
    </xf>
    <xf numFmtId="0" fontId="36" fillId="44" borderId="17" xfId="0" applyFont="1" applyFill="1" applyBorder="1" applyAlignment="1">
      <alignment horizontal="center" vertical="center"/>
    </xf>
    <xf numFmtId="0" fontId="30" fillId="0" borderId="55" xfId="0" applyFont="1" applyBorder="1" applyAlignment="1">
      <alignment horizontal="left" vertical="center"/>
    </xf>
    <xf numFmtId="0" fontId="30" fillId="0" borderId="38" xfId="0" applyFont="1" applyBorder="1" applyAlignment="1">
      <alignment horizontal="left" vertical="center"/>
    </xf>
    <xf numFmtId="0" fontId="30" fillId="0" borderId="39" xfId="0" applyFont="1" applyBorder="1" applyAlignment="1">
      <alignment horizontal="left" vertical="center"/>
    </xf>
    <xf numFmtId="0" fontId="30" fillId="0" borderId="12" xfId="0" applyFont="1" applyBorder="1" applyAlignment="1">
      <alignment horizontal="left" vertical="center"/>
    </xf>
    <xf numFmtId="0" fontId="30" fillId="0" borderId="41" xfId="0" applyFont="1" applyBorder="1" applyAlignment="1">
      <alignment horizontal="left" vertical="center"/>
    </xf>
    <xf numFmtId="0" fontId="30" fillId="0" borderId="8" xfId="0" applyFont="1" applyBorder="1" applyAlignment="1">
      <alignment horizontal="left" vertical="center"/>
    </xf>
    <xf numFmtId="0" fontId="36" fillId="0" borderId="105" xfId="0" applyFont="1" applyBorder="1" applyAlignment="1">
      <alignment horizontal="center" vertical="center" wrapText="1"/>
    </xf>
    <xf numFmtId="0" fontId="36" fillId="0" borderId="102" xfId="0" applyFont="1" applyBorder="1" applyAlignment="1">
      <alignment horizontal="center" vertical="center" wrapText="1"/>
    </xf>
    <xf numFmtId="0" fontId="36" fillId="0" borderId="101" xfId="0" applyFont="1" applyBorder="1" applyAlignment="1">
      <alignment horizontal="center" vertical="center" wrapText="1"/>
    </xf>
    <xf numFmtId="0" fontId="30" fillId="0" borderId="8" xfId="0" applyFont="1" applyBorder="1" applyAlignment="1">
      <alignment horizontal="center" vertical="center" wrapText="1"/>
    </xf>
    <xf numFmtId="0" fontId="37" fillId="0" borderId="56" xfId="0" applyFont="1" applyBorder="1" applyAlignment="1">
      <alignment horizontal="center" vertical="center" wrapText="1"/>
    </xf>
    <xf numFmtId="0" fontId="37" fillId="0" borderId="44" xfId="0" applyFont="1" applyBorder="1" applyAlignment="1">
      <alignment horizontal="center" vertical="center" wrapText="1"/>
    </xf>
    <xf numFmtId="0" fontId="37" fillId="0" borderId="45" xfId="0" applyFont="1" applyBorder="1" applyAlignment="1">
      <alignment horizontal="center" vertical="center" wrapText="1"/>
    </xf>
    <xf numFmtId="0" fontId="30" fillId="0" borderId="22" xfId="0" applyFont="1" applyBorder="1" applyAlignment="1">
      <alignment horizontal="left" vertical="center"/>
    </xf>
    <xf numFmtId="0" fontId="30" fillId="0" borderId="23" xfId="0" applyFont="1" applyBorder="1" applyAlignment="1">
      <alignment horizontal="left" vertical="center"/>
    </xf>
    <xf numFmtId="0" fontId="36" fillId="44" borderId="2" xfId="0" applyFont="1" applyFill="1" applyBorder="1" applyAlignment="1">
      <alignment horizontal="center" vertical="center"/>
    </xf>
    <xf numFmtId="0" fontId="36" fillId="44" borderId="3" xfId="0" applyFont="1" applyFill="1" applyBorder="1" applyAlignment="1">
      <alignment horizontal="center" vertical="center"/>
    </xf>
    <xf numFmtId="0" fontId="30" fillId="0" borderId="106" xfId="0" applyFont="1" applyBorder="1" applyAlignment="1">
      <alignment horizontal="left" vertical="top" wrapText="1"/>
    </xf>
    <xf numFmtId="0" fontId="30" fillId="0" borderId="30" xfId="0" applyFont="1" applyBorder="1" applyAlignment="1">
      <alignment horizontal="left" vertical="top" wrapText="1"/>
    </xf>
    <xf numFmtId="0" fontId="30" fillId="0" borderId="112" xfId="0" applyFont="1" applyBorder="1" applyAlignment="1">
      <alignment horizontal="left" vertical="top" wrapText="1"/>
    </xf>
    <xf numFmtId="0" fontId="30" fillId="0" borderId="34" xfId="0" applyFont="1" applyBorder="1" applyAlignment="1">
      <alignment horizontal="left" vertical="top" wrapText="1"/>
    </xf>
    <xf numFmtId="0" fontId="30" fillId="0" borderId="35" xfId="0" applyFont="1" applyBorder="1" applyAlignment="1">
      <alignment horizontal="left" vertical="top" wrapText="1"/>
    </xf>
    <xf numFmtId="0" fontId="30" fillId="0" borderId="116" xfId="0" applyFont="1" applyBorder="1" applyAlignment="1">
      <alignment horizontal="left" vertical="top" wrapText="1"/>
    </xf>
    <xf numFmtId="0" fontId="30" fillId="0" borderId="28" xfId="0" applyFont="1" applyBorder="1" applyAlignment="1">
      <alignment horizontal="left" vertical="top" wrapText="1"/>
    </xf>
    <xf numFmtId="0" fontId="30" fillId="0" borderId="29" xfId="0" applyFont="1" applyBorder="1" applyAlignment="1">
      <alignment horizontal="left" vertical="top" wrapText="1"/>
    </xf>
    <xf numFmtId="0" fontId="30" fillId="0" borderId="47" xfId="0" applyFont="1" applyBorder="1" applyAlignment="1">
      <alignment horizontal="left" vertical="top" wrapText="1"/>
    </xf>
    <xf numFmtId="0" fontId="30" fillId="0" borderId="111" xfId="0" applyFont="1" applyBorder="1" applyAlignment="1">
      <alignment horizontal="left" vertical="top" wrapText="1"/>
    </xf>
    <xf numFmtId="0" fontId="30" fillId="0" borderId="25" xfId="0" applyFont="1" applyBorder="1" applyAlignment="1">
      <alignment horizontal="left" vertical="top" wrapText="1"/>
    </xf>
    <xf numFmtId="0" fontId="30" fillId="0" borderId="7" xfId="0" applyFont="1" applyBorder="1" applyAlignment="1">
      <alignment horizontal="left" vertical="center"/>
    </xf>
    <xf numFmtId="0" fontId="30" fillId="0" borderId="25" xfId="0" applyFont="1" applyBorder="1" applyAlignment="1">
      <alignment horizontal="left" vertical="center"/>
    </xf>
    <xf numFmtId="0" fontId="37" fillId="0" borderId="12" xfId="0" applyFont="1" applyBorder="1" applyAlignment="1">
      <alignment horizontal="center" vertical="top" wrapText="1"/>
    </xf>
    <xf numFmtId="0" fontId="37" fillId="0" borderId="41" xfId="0" applyFont="1" applyBorder="1" applyAlignment="1">
      <alignment horizontal="center" vertical="top" wrapText="1"/>
    </xf>
    <xf numFmtId="0" fontId="37" fillId="0" borderId="8" xfId="0" applyFont="1" applyBorder="1" applyAlignment="1">
      <alignment horizontal="center" vertical="top" wrapText="1"/>
    </xf>
    <xf numFmtId="0" fontId="51" fillId="0" borderId="12" xfId="0" applyFont="1" applyBorder="1" applyAlignment="1">
      <alignment horizontal="center" vertical="top" wrapText="1"/>
    </xf>
    <xf numFmtId="0" fontId="51" fillId="0" borderId="41" xfId="0" applyFont="1" applyBorder="1" applyAlignment="1">
      <alignment horizontal="center" vertical="top" wrapText="1"/>
    </xf>
    <xf numFmtId="0" fontId="51" fillId="0" borderId="8" xfId="0" applyFont="1" applyBorder="1" applyAlignment="1">
      <alignment horizontal="center" vertical="top" wrapText="1"/>
    </xf>
    <xf numFmtId="0" fontId="52" fillId="7" borderId="15" xfId="0" applyFont="1" applyFill="1" applyBorder="1" applyAlignment="1">
      <alignment horizontal="center" vertical="center"/>
    </xf>
    <xf numFmtId="0" fontId="52" fillId="7" borderId="16" xfId="0" applyFont="1" applyFill="1" applyBorder="1" applyAlignment="1">
      <alignment horizontal="center" vertical="center"/>
    </xf>
    <xf numFmtId="0" fontId="52" fillId="7" borderId="17" xfId="0" applyFont="1" applyFill="1" applyBorder="1" applyAlignment="1">
      <alignment horizontal="center" vertical="center"/>
    </xf>
    <xf numFmtId="0" fontId="52" fillId="7" borderId="122" xfId="0" applyFont="1" applyFill="1" applyBorder="1" applyAlignment="1">
      <alignment horizontal="center" vertical="center"/>
    </xf>
    <xf numFmtId="0" fontId="62" fillId="0" borderId="37" xfId="4" applyFont="1" applyBorder="1" applyAlignment="1">
      <alignment horizontal="left" vertical="center" wrapText="1"/>
    </xf>
    <xf numFmtId="0" fontId="62" fillId="0" borderId="38" xfId="4" applyFont="1" applyBorder="1" applyAlignment="1">
      <alignment horizontal="left" vertical="center" wrapText="1"/>
    </xf>
    <xf numFmtId="0" fontId="62" fillId="0" borderId="39" xfId="4" applyFont="1" applyBorder="1" applyAlignment="1">
      <alignment horizontal="left" vertical="center" wrapText="1"/>
    </xf>
    <xf numFmtId="0" fontId="62" fillId="0" borderId="43" xfId="4" quotePrefix="1" applyFont="1" applyBorder="1" applyAlignment="1">
      <alignment horizontal="left" vertical="center" wrapText="1"/>
    </xf>
    <xf numFmtId="0" fontId="62" fillId="0" borderId="44" xfId="4" quotePrefix="1" applyFont="1" applyBorder="1" applyAlignment="1">
      <alignment horizontal="left" vertical="center" wrapText="1"/>
    </xf>
    <xf numFmtId="0" fontId="62" fillId="0" borderId="45" xfId="4" quotePrefix="1" applyFont="1" applyBorder="1" applyAlignment="1">
      <alignment horizontal="left" vertical="center" wrapText="1"/>
    </xf>
    <xf numFmtId="0" fontId="36" fillId="42" borderId="4" xfId="0" applyFont="1" applyFill="1" applyBorder="1" applyAlignment="1">
      <alignment horizontal="center" vertical="center"/>
    </xf>
    <xf numFmtId="0" fontId="36" fillId="42" borderId="28" xfId="0" applyFont="1" applyFill="1" applyBorder="1" applyAlignment="1">
      <alignment horizontal="center" vertical="center"/>
    </xf>
    <xf numFmtId="0" fontId="36" fillId="42" borderId="29" xfId="0" applyFont="1" applyFill="1" applyBorder="1" applyAlignment="1">
      <alignment horizontal="center" vertical="center"/>
    </xf>
    <xf numFmtId="0" fontId="36" fillId="0" borderId="15" xfId="0" applyFont="1" applyBorder="1" applyAlignment="1">
      <alignment horizontal="center" vertical="center"/>
    </xf>
    <xf numFmtId="0" fontId="36" fillId="0" borderId="122" xfId="0" applyFont="1" applyBorder="1" applyAlignment="1">
      <alignment horizontal="center" vertical="center"/>
    </xf>
    <xf numFmtId="1" fontId="30" fillId="0" borderId="7" xfId="0" quotePrefix="1" applyNumberFormat="1" applyFont="1" applyBorder="1" applyAlignment="1">
      <alignment horizontal="left" vertical="center" wrapText="1"/>
    </xf>
    <xf numFmtId="1" fontId="30" fillId="0" borderId="7" xfId="0" applyNumberFormat="1" applyFont="1" applyBorder="1" applyAlignment="1">
      <alignment horizontal="left" vertical="center" wrapText="1"/>
    </xf>
    <xf numFmtId="0" fontId="52" fillId="7" borderId="1" xfId="0" applyFont="1" applyFill="1" applyBorder="1" applyAlignment="1">
      <alignment horizontal="center" vertical="center"/>
    </xf>
    <xf numFmtId="0" fontId="52" fillId="7" borderId="2" xfId="0" applyFont="1" applyFill="1" applyBorder="1" applyAlignment="1">
      <alignment horizontal="center" vertical="center"/>
    </xf>
    <xf numFmtId="0" fontId="52" fillId="7" borderId="3" xfId="0" applyFont="1" applyFill="1" applyBorder="1" applyAlignment="1">
      <alignment horizontal="center" vertical="center"/>
    </xf>
    <xf numFmtId="0" fontId="52" fillId="46" borderId="15" xfId="0" applyFont="1" applyFill="1" applyBorder="1" applyAlignment="1">
      <alignment horizontal="center" vertical="center"/>
    </xf>
    <xf numFmtId="0" fontId="52" fillId="46" borderId="16" xfId="0" applyFont="1" applyFill="1" applyBorder="1" applyAlignment="1">
      <alignment horizontal="center" vertical="center"/>
    </xf>
    <xf numFmtId="0" fontId="52" fillId="46" borderId="17" xfId="0" applyFont="1" applyFill="1" applyBorder="1" applyAlignment="1">
      <alignment horizontal="center" vertical="center"/>
    </xf>
    <xf numFmtId="0" fontId="62" fillId="0" borderId="66" xfId="4" quotePrefix="1" applyFont="1" applyBorder="1" applyAlignment="1">
      <alignment horizontal="left" vertical="center" wrapText="1"/>
    </xf>
    <xf numFmtId="0" fontId="62" fillId="0" borderId="37" xfId="4" quotePrefix="1" applyFont="1" applyBorder="1" applyAlignment="1">
      <alignment horizontal="left" vertical="center" wrapText="1"/>
    </xf>
    <xf numFmtId="0" fontId="54" fillId="0" borderId="0" xfId="12" applyNumberFormat="1" applyFont="1" applyBorder="1" applyAlignment="1">
      <alignment horizontal="left" vertical="center" wrapText="1"/>
    </xf>
    <xf numFmtId="0" fontId="62" fillId="0" borderId="0" xfId="0" applyFont="1" applyAlignment="1">
      <alignment horizontal="left"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0" fontId="36" fillId="0" borderId="15" xfId="0" applyFont="1" applyBorder="1" applyAlignment="1">
      <alignment horizontal="center" vertical="center" wrapText="1"/>
    </xf>
    <xf numFmtId="0" fontId="36" fillId="0" borderId="17" xfId="0" applyFont="1" applyBorder="1" applyAlignment="1">
      <alignment horizontal="center" vertical="center" wrapText="1"/>
    </xf>
    <xf numFmtId="0" fontId="38" fillId="0" borderId="59" xfId="0" applyFont="1" applyBorder="1" applyAlignment="1">
      <alignment horizontal="center" vertical="center" wrapText="1"/>
    </xf>
    <xf numFmtId="0" fontId="38" fillId="0" borderId="61" xfId="0" applyFont="1" applyBorder="1" applyAlignment="1">
      <alignment horizontal="center" vertical="center" wrapText="1"/>
    </xf>
    <xf numFmtId="0" fontId="195" fillId="0" borderId="4" xfId="0" applyFont="1" applyBorder="1" applyAlignment="1">
      <alignment horizontal="center" vertical="center"/>
    </xf>
    <xf numFmtId="0" fontId="195" fillId="0" borderId="28" xfId="0" applyFont="1" applyBorder="1" applyAlignment="1">
      <alignment horizontal="center" vertical="center"/>
    </xf>
    <xf numFmtId="0" fontId="195" fillId="0" borderId="29" xfId="0" applyFont="1" applyBorder="1" applyAlignment="1">
      <alignment horizontal="center" vertical="center"/>
    </xf>
    <xf numFmtId="0" fontId="195" fillId="0" borderId="33" xfId="0" applyFont="1" applyBorder="1" applyAlignment="1">
      <alignment horizontal="center" vertical="center"/>
    </xf>
    <xf numFmtId="0" fontId="195" fillId="0" borderId="34" xfId="0" applyFont="1" applyBorder="1" applyAlignment="1">
      <alignment horizontal="center" vertical="center"/>
    </xf>
    <xf numFmtId="0" fontId="195" fillId="0" borderId="35" xfId="0" applyFont="1" applyBorder="1" applyAlignment="1">
      <alignment horizontal="center" vertical="center"/>
    </xf>
    <xf numFmtId="0" fontId="195" fillId="0" borderId="15" xfId="0" applyFont="1" applyBorder="1" applyAlignment="1">
      <alignment horizontal="center" vertical="center" wrapText="1"/>
    </xf>
    <xf numFmtId="0" fontId="195" fillId="0" borderId="16" xfId="0" applyFont="1" applyBorder="1" applyAlignment="1">
      <alignment horizontal="center" vertical="center" wrapText="1"/>
    </xf>
    <xf numFmtId="0" fontId="195" fillId="0" borderId="17" xfId="0" applyFont="1" applyBorder="1" applyAlignment="1">
      <alignment horizontal="center" vertical="center" wrapText="1"/>
    </xf>
    <xf numFmtId="0" fontId="197" fillId="0" borderId="53" xfId="0" applyFont="1" applyBorder="1" applyAlignment="1">
      <alignment horizontal="left" vertical="center" wrapText="1"/>
    </xf>
    <xf numFmtId="0" fontId="197" fillId="0" borderId="10" xfId="0" applyFont="1" applyBorder="1" applyAlignment="1">
      <alignment horizontal="left" vertical="center" wrapText="1"/>
    </xf>
    <xf numFmtId="0" fontId="197" fillId="0" borderId="11" xfId="0" applyFont="1" applyBorder="1" applyAlignment="1">
      <alignment horizontal="left" vertical="center" wrapText="1"/>
    </xf>
    <xf numFmtId="0" fontId="197" fillId="0" borderId="52" xfId="0" applyFont="1" applyBorder="1" applyAlignment="1">
      <alignment horizontal="left" vertical="center" wrapText="1"/>
    </xf>
    <xf numFmtId="0" fontId="197" fillId="0" borderId="7" xfId="0" applyFont="1" applyBorder="1" applyAlignment="1">
      <alignment horizontal="left" vertical="center" wrapText="1"/>
    </xf>
    <xf numFmtId="0" fontId="197" fillId="0" borderId="25" xfId="0" applyFont="1" applyBorder="1" applyAlignment="1">
      <alignment horizontal="left" vertical="center" wrapText="1"/>
    </xf>
    <xf numFmtId="0" fontId="197" fillId="0" borderId="108" xfId="0" applyFont="1" applyBorder="1" applyAlignment="1">
      <alignment horizontal="left" vertical="center" wrapText="1"/>
    </xf>
    <xf numFmtId="0" fontId="197" fillId="0" borderId="19" xfId="0" applyFont="1" applyBorder="1" applyAlignment="1">
      <alignment horizontal="left" vertical="center" wrapText="1"/>
    </xf>
    <xf numFmtId="0" fontId="197" fillId="0" borderId="20" xfId="0" applyFont="1" applyBorder="1" applyAlignment="1">
      <alignment horizontal="left" vertical="center" wrapText="1"/>
    </xf>
    <xf numFmtId="0" fontId="197" fillId="0" borderId="51" xfId="0" applyFont="1" applyBorder="1" applyAlignment="1">
      <alignment horizontal="left" vertical="center" wrapText="1"/>
    </xf>
    <xf numFmtId="0" fontId="197" fillId="0" borderId="22" xfId="0" applyFont="1" applyBorder="1" applyAlignment="1">
      <alignment horizontal="left" vertical="center" wrapText="1"/>
    </xf>
    <xf numFmtId="0" fontId="197" fillId="0" borderId="23" xfId="0" applyFont="1" applyBorder="1" applyAlignment="1">
      <alignment horizontal="left" vertical="center" wrapText="1"/>
    </xf>
    <xf numFmtId="0" fontId="197" fillId="0" borderId="103" xfId="0" applyFont="1" applyBorder="1" applyAlignment="1">
      <alignment horizontal="left" vertical="center" wrapText="1"/>
    </xf>
    <xf numFmtId="0" fontId="197" fillId="0" borderId="47" xfId="0" applyFont="1" applyBorder="1" applyAlignment="1">
      <alignment horizontal="left" vertical="center" wrapText="1"/>
    </xf>
    <xf numFmtId="0" fontId="197" fillId="0" borderId="111" xfId="0" applyFont="1" applyBorder="1" applyAlignment="1">
      <alignment horizontal="left" vertical="center" wrapText="1"/>
    </xf>
    <xf numFmtId="0" fontId="197" fillId="0" borderId="6" xfId="0" applyFont="1" applyBorder="1" applyAlignment="1">
      <alignment horizontal="left" vertical="center" wrapText="1"/>
    </xf>
    <xf numFmtId="0" fontId="197" fillId="0" borderId="41" xfId="0" applyFont="1" applyBorder="1" applyAlignment="1">
      <alignment horizontal="left" vertical="center" wrapText="1"/>
    </xf>
    <xf numFmtId="0" fontId="197" fillId="0" borderId="8" xfId="0" applyFont="1" applyBorder="1" applyAlignment="1">
      <alignment horizontal="left" vertical="center" wrapText="1"/>
    </xf>
    <xf numFmtId="0" fontId="51" fillId="0" borderId="12" xfId="0" applyFont="1" applyBorder="1" applyAlignment="1">
      <alignment horizontal="center" vertical="center"/>
    </xf>
    <xf numFmtId="0" fontId="51" fillId="0" borderId="41" xfId="0" applyFont="1" applyBorder="1" applyAlignment="1">
      <alignment horizontal="center" vertical="center"/>
    </xf>
    <xf numFmtId="0" fontId="51" fillId="0" borderId="52" xfId="0" applyFont="1" applyBorder="1" applyAlignment="1">
      <alignment horizontal="center" vertical="center"/>
    </xf>
    <xf numFmtId="0" fontId="48" fillId="0" borderId="0" xfId="0" applyFont="1" applyBorder="1"/>
    <xf numFmtId="0" fontId="30" fillId="0" borderId="0" xfId="0" applyFont="1" applyBorder="1"/>
  </cellXfs>
  <cellStyles count="13">
    <cellStyle name="Lien hypertexte" xfId="1" builtinId="8"/>
    <cellStyle name="Milliers" xfId="2" builtinId="3"/>
    <cellStyle name="Milliers 2" xfId="3" xr:uid="{00000000-0005-0000-0000-000002000000}"/>
    <cellStyle name="Normal" xfId="0" builtinId="0"/>
    <cellStyle name="Normal 10" xfId="4" xr:uid="{00000000-0005-0000-0000-000004000000}"/>
    <cellStyle name="Normal 2" xfId="5" xr:uid="{00000000-0005-0000-0000-000005000000}"/>
    <cellStyle name="Normal 2 2" xfId="6" xr:uid="{00000000-0005-0000-0000-000006000000}"/>
    <cellStyle name="Normal 2 3 2 2" xfId="7" xr:uid="{00000000-0005-0000-0000-000007000000}"/>
    <cellStyle name="Normal 2 5 2" xfId="8" xr:uid="{00000000-0005-0000-0000-000008000000}"/>
    <cellStyle name="Normal 2 7" xfId="9" xr:uid="{00000000-0005-0000-0000-000009000000}"/>
    <cellStyle name="Normal 3 2" xfId="10" xr:uid="{00000000-0005-0000-0000-00000A000000}"/>
    <cellStyle name="Normal 8" xfId="11" xr:uid="{00000000-0005-0000-0000-00000B000000}"/>
    <cellStyle name="Pourcentage" xfId="12" builtinId="5"/>
  </cellStyles>
  <dxfs count="200">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EFEFEF"/>
          <bgColor rgb="FFEFEFEF"/>
        </patternFill>
      </fill>
    </dxf>
    <dxf>
      <fill>
        <patternFill patternType="solid">
          <fgColor rgb="FFEFEFEF"/>
          <bgColor rgb="FFEFEFEF"/>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rgb="FF00B050"/>
          <bgColor rgb="FF00B050"/>
        </patternFill>
      </fill>
    </dxf>
    <dxf>
      <fill>
        <patternFill patternType="solid">
          <fgColor rgb="FF92D050"/>
          <bgColor rgb="FF92D050"/>
        </patternFill>
      </fill>
    </dxf>
    <dxf>
      <fill>
        <patternFill patternType="solid">
          <fgColor indexed="5"/>
          <bgColor indexed="5"/>
        </patternFill>
      </fill>
    </dxf>
    <dxf>
      <fill>
        <patternFill patternType="solid">
          <fgColor indexed="2"/>
          <bgColor indexed="2"/>
        </patternFill>
      </fill>
    </dxf>
    <dxf>
      <fill>
        <patternFill patternType="solid">
          <fgColor indexed="5"/>
          <bgColor indexed="5"/>
        </patternFill>
      </fill>
    </dxf>
  </dxfs>
  <tableStyles count="0" defaultTableStyle="TableStyleMedium2" defaultPivotStyle="PivotStyleLight16"/>
  <colors>
    <mruColors>
      <color rgb="FFDFDB3C"/>
      <color rgb="FFBFDF5D"/>
      <color rgb="FFFF5058"/>
      <color rgb="FFFEBD7C"/>
      <color rgb="FF82C8FA"/>
      <color rgb="FF555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34935199816017E-2"/>
          <c:y val="0.18817705053190001"/>
          <c:w val="0.9263047042900332"/>
          <c:h val="0.72843148033034488"/>
        </c:manualLayout>
      </c:layout>
      <c:barChart>
        <c:barDir val="col"/>
        <c:grouping val="stacked"/>
        <c:varyColors val="0"/>
        <c:ser>
          <c:idx val="0"/>
          <c:order val="0"/>
          <c:tx>
            <c:strRef>
              <c:f>Récapitulatif!$C$200</c:f>
              <c:strCache>
                <c:ptCount val="1"/>
                <c:pt idx="0">
                  <c:v>Négatif </c:v>
                </c:pt>
              </c:strCache>
            </c:strRef>
          </c:tx>
          <c:spPr>
            <a:solidFill>
              <a:srgbClr val="00005A">
                <a:alpha val="0"/>
              </a:srgbClr>
            </a:solidFill>
            <a:ln>
              <a:noFill/>
            </a:ln>
            <a:effectLst/>
          </c:spPr>
          <c:invertIfNegative val="0"/>
          <c:cat>
            <c:strRef>
              <c:f>Récapitulatif!$B$201:$B$211</c:f>
              <c:strCache>
                <c:ptCount val="11"/>
                <c:pt idx="0">
                  <c:v>Émissions en 2022 </c:v>
                </c:pt>
                <c:pt idx="1">
                  <c:v>Déplacement des spectateurs </c:v>
                </c:pt>
                <c:pt idx="2">
                  <c:v>Transport des équipes </c:v>
                </c:pt>
                <c:pt idx="3">
                  <c:v>Déplacement des salariés</c:v>
                </c:pt>
                <c:pt idx="4">
                  <c:v>Immobilisations</c:v>
                </c:pt>
                <c:pt idx="5">
                  <c:v>Alimentation et boissons</c:v>
                </c:pt>
                <c:pt idx="6">
                  <c:v>Consommation d'énergie</c:v>
                </c:pt>
                <c:pt idx="7">
                  <c:v>Retransmission </c:v>
                </c:pt>
                <c:pt idx="8">
                  <c:v>Autres </c:v>
                </c:pt>
                <c:pt idx="9">
                  <c:v>Déchets </c:v>
                </c:pt>
                <c:pt idx="10">
                  <c:v>Émissions 2050 après transformation</c:v>
                </c:pt>
              </c:strCache>
            </c:strRef>
          </c:cat>
          <c:val>
            <c:numRef>
              <c:f>Récapitulatif!$C$201:$C$211</c:f>
              <c:numCache>
                <c:formatCode>_ * #\ ##0_)\ _€_ ;_ * \(#\ ##0\)\ _€_ ;_ * "-"??_)\ _€_ ;_ @_ </c:formatCode>
                <c:ptCount val="11"/>
                <c:pt idx="1">
                  <c:v>185709.16388025176</c:v>
                </c:pt>
                <c:pt idx="2">
                  <c:v>155210.24078576232</c:v>
                </c:pt>
                <c:pt idx="3">
                  <c:v>135603.88823788453</c:v>
                </c:pt>
                <c:pt idx="4">
                  <c:v>118922.16529104079</c:v>
                </c:pt>
                <c:pt idx="5">
                  <c:v>102230.40281943619</c:v>
                </c:pt>
                <c:pt idx="6">
                  <c:v>93910.402819436189</c:v>
                </c:pt>
                <c:pt idx="7">
                  <c:v>85416.381946853406</c:v>
                </c:pt>
                <c:pt idx="8">
                  <c:v>82653.773644551009</c:v>
                </c:pt>
                <c:pt idx="9">
                  <c:v>81006.191694263063</c:v>
                </c:pt>
              </c:numCache>
            </c:numRef>
          </c:val>
          <c:extLst>
            <c:ext xmlns:c16="http://schemas.microsoft.com/office/drawing/2014/chart" uri="{C3380CC4-5D6E-409C-BE32-E72D297353CC}">
              <c16:uniqueId val="{00000000-CB9D-0B49-B578-2D9AE6CC76D6}"/>
            </c:ext>
          </c:extLst>
        </c:ser>
        <c:ser>
          <c:idx val="1"/>
          <c:order val="1"/>
          <c:tx>
            <c:strRef>
              <c:f>Récapitulatif!$D$200</c:f>
              <c:strCache>
                <c:ptCount val="1"/>
                <c:pt idx="0">
                  <c:v>Émissions (ktCO2e)</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2-CB9D-0B49-B578-2D9AE6CC76D6}"/>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4-CB9D-0B49-B578-2D9AE6CC76D6}"/>
              </c:ext>
            </c:extLst>
          </c:dPt>
          <c:dPt>
            <c:idx val="2"/>
            <c:invertIfNegative val="0"/>
            <c:bubble3D val="0"/>
            <c:spPr>
              <a:solidFill>
                <a:schemeClr val="accent5"/>
              </a:solidFill>
              <a:ln>
                <a:noFill/>
              </a:ln>
              <a:effectLst/>
            </c:spPr>
            <c:extLst>
              <c:ext xmlns:c16="http://schemas.microsoft.com/office/drawing/2014/chart" uri="{C3380CC4-5D6E-409C-BE32-E72D297353CC}">
                <c16:uniqueId val="{00000006-CB9D-0B49-B578-2D9AE6CC76D6}"/>
              </c:ext>
            </c:extLst>
          </c:dPt>
          <c:dPt>
            <c:idx val="3"/>
            <c:invertIfNegative val="0"/>
            <c:bubble3D val="0"/>
            <c:spPr>
              <a:solidFill>
                <a:schemeClr val="accent5"/>
              </a:solidFill>
              <a:ln>
                <a:noFill/>
              </a:ln>
              <a:effectLst/>
            </c:spPr>
            <c:extLst>
              <c:ext xmlns:c16="http://schemas.microsoft.com/office/drawing/2014/chart" uri="{C3380CC4-5D6E-409C-BE32-E72D297353CC}">
                <c16:uniqueId val="{00000008-CB9D-0B49-B578-2D9AE6CC76D6}"/>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A-CB9D-0B49-B578-2D9AE6CC76D6}"/>
              </c:ext>
            </c:extLst>
          </c:dPt>
          <c:dPt>
            <c:idx val="5"/>
            <c:invertIfNegative val="0"/>
            <c:bubble3D val="0"/>
            <c:spPr>
              <a:solidFill>
                <a:schemeClr val="accent5"/>
              </a:solidFill>
              <a:ln>
                <a:noFill/>
              </a:ln>
              <a:effectLst/>
            </c:spPr>
            <c:extLst>
              <c:ext xmlns:c16="http://schemas.microsoft.com/office/drawing/2014/chart" uri="{C3380CC4-5D6E-409C-BE32-E72D297353CC}">
                <c16:uniqueId val="{0000000C-CB9D-0B49-B578-2D9AE6CC76D6}"/>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E-CB9D-0B49-B578-2D9AE6CC76D6}"/>
              </c:ext>
            </c:extLst>
          </c:dPt>
          <c:dPt>
            <c:idx val="7"/>
            <c:invertIfNegative val="0"/>
            <c:bubble3D val="0"/>
            <c:spPr>
              <a:solidFill>
                <a:schemeClr val="accent5"/>
              </a:solidFill>
              <a:ln>
                <a:noFill/>
              </a:ln>
              <a:effectLst/>
            </c:spPr>
            <c:extLst>
              <c:ext xmlns:c16="http://schemas.microsoft.com/office/drawing/2014/chart" uri="{C3380CC4-5D6E-409C-BE32-E72D297353CC}">
                <c16:uniqueId val="{00000010-CB9D-0B49-B578-2D9AE6CC76D6}"/>
              </c:ext>
            </c:extLst>
          </c:dPt>
          <c:dPt>
            <c:idx val="8"/>
            <c:invertIfNegative val="0"/>
            <c:bubble3D val="0"/>
            <c:spPr>
              <a:solidFill>
                <a:schemeClr val="accent5"/>
              </a:solidFill>
              <a:ln>
                <a:noFill/>
              </a:ln>
              <a:effectLst/>
            </c:spPr>
            <c:extLst>
              <c:ext xmlns:c16="http://schemas.microsoft.com/office/drawing/2014/chart" uri="{C3380CC4-5D6E-409C-BE32-E72D297353CC}">
                <c16:uniqueId val="{00000012-CB9D-0B49-B578-2D9AE6CC76D6}"/>
              </c:ext>
            </c:extLst>
          </c:dPt>
          <c:dPt>
            <c:idx val="9"/>
            <c:invertIfNegative val="0"/>
            <c:bubble3D val="0"/>
            <c:spPr>
              <a:solidFill>
                <a:schemeClr val="accent5"/>
              </a:solidFill>
              <a:ln>
                <a:noFill/>
              </a:ln>
              <a:effectLst/>
            </c:spPr>
            <c:extLst>
              <c:ext xmlns:c16="http://schemas.microsoft.com/office/drawing/2014/chart" uri="{C3380CC4-5D6E-409C-BE32-E72D297353CC}">
                <c16:uniqueId val="{00000014-CB9D-0B49-B578-2D9AE6CC76D6}"/>
              </c:ext>
            </c:extLst>
          </c:dPt>
          <c:dPt>
            <c:idx val="10"/>
            <c:invertIfNegative val="0"/>
            <c:bubble3D val="0"/>
            <c:spPr>
              <a:solidFill>
                <a:schemeClr val="tx2"/>
              </a:solidFill>
              <a:ln>
                <a:noFill/>
              </a:ln>
              <a:effectLst/>
            </c:spPr>
            <c:extLst>
              <c:ext xmlns:c16="http://schemas.microsoft.com/office/drawing/2014/chart" uri="{C3380CC4-5D6E-409C-BE32-E72D297353CC}">
                <c16:uniqueId val="{00000016-CB9D-0B49-B578-2D9AE6CC76D6}"/>
              </c:ext>
            </c:extLst>
          </c:dPt>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2-CB9D-0B49-B578-2D9AE6CC76D6}"/>
                </c:ext>
              </c:extLst>
            </c:dLbl>
            <c:dLbl>
              <c:idx val="7"/>
              <c:layout>
                <c:manualLayout>
                  <c:x val="-2.7528999199491386E-3"/>
                  <c:y val="2.96612690450423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B9D-0B49-B578-2D9AE6CC76D6}"/>
                </c:ext>
              </c:extLst>
            </c:dLbl>
            <c:dLbl>
              <c:idx val="8"/>
              <c:layout>
                <c:manualLayout>
                  <c:x val="1.0566289907712194E-3"/>
                  <c:y val="2.24914383363363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B9D-0B49-B578-2D9AE6CC76D6}"/>
                </c:ext>
              </c:extLst>
            </c:dLbl>
            <c:dLbl>
              <c:idx val="9"/>
              <c:layout>
                <c:manualLayout>
                  <c:x val="1.0566289907712968E-3"/>
                  <c:y val="2.76817702601063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B9D-0B49-B578-2D9AE6CC76D6}"/>
                </c:ext>
              </c:extLst>
            </c:dLbl>
            <c:dLbl>
              <c:idx val="1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6-CB9D-0B49-B578-2D9AE6CC76D6}"/>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Récapitulatif!$B$201:$B$211</c:f>
              <c:strCache>
                <c:ptCount val="11"/>
                <c:pt idx="0">
                  <c:v>Émissions en 2022 </c:v>
                </c:pt>
                <c:pt idx="1">
                  <c:v>Déplacement des spectateurs </c:v>
                </c:pt>
                <c:pt idx="2">
                  <c:v>Transport des équipes </c:v>
                </c:pt>
                <c:pt idx="3">
                  <c:v>Déplacement des salariés</c:v>
                </c:pt>
                <c:pt idx="4">
                  <c:v>Immobilisations</c:v>
                </c:pt>
                <c:pt idx="5">
                  <c:v>Alimentation et boissons</c:v>
                </c:pt>
                <c:pt idx="6">
                  <c:v>Consommation d'énergie</c:v>
                </c:pt>
                <c:pt idx="7">
                  <c:v>Retransmission </c:v>
                </c:pt>
                <c:pt idx="8">
                  <c:v>Autres </c:v>
                </c:pt>
                <c:pt idx="9">
                  <c:v>Déchets </c:v>
                </c:pt>
                <c:pt idx="10">
                  <c:v>Émissions 2050 après transformation</c:v>
                </c:pt>
              </c:strCache>
            </c:strRef>
          </c:cat>
          <c:val>
            <c:numRef>
              <c:f>Récapitulatif!$D$201:$D$211</c:f>
              <c:numCache>
                <c:formatCode>_ * #\ ##0_)_ ;_ * \(#\ ##0\)_ ;_ * "-"??_)_ ;_ @_ </c:formatCode>
                <c:ptCount val="11"/>
                <c:pt idx="0">
                  <c:v>442868.54547044227</c:v>
                </c:pt>
                <c:pt idx="1">
                  <c:v>257159.38159019052</c:v>
                </c:pt>
                <c:pt idx="2">
                  <c:v>30498.923094489426</c:v>
                </c:pt>
                <c:pt idx="3">
                  <c:v>19606.352547877788</c:v>
                </c:pt>
                <c:pt idx="4">
                  <c:v>16681.722946843747</c:v>
                </c:pt>
                <c:pt idx="5">
                  <c:v>16691.762471604598</c:v>
                </c:pt>
                <c:pt idx="6">
                  <c:v>8320</c:v>
                </c:pt>
                <c:pt idx="7">
                  <c:v>8494.0208725827815</c:v>
                </c:pt>
                <c:pt idx="8">
                  <c:v>2762.608302302393</c:v>
                </c:pt>
                <c:pt idx="9">
                  <c:v>1647.5819502879388</c:v>
                </c:pt>
                <c:pt idx="10">
                  <c:v>81006.191694263078</c:v>
                </c:pt>
              </c:numCache>
            </c:numRef>
          </c:val>
          <c:extLst>
            <c:ext xmlns:c16="http://schemas.microsoft.com/office/drawing/2014/chart" uri="{C3380CC4-5D6E-409C-BE32-E72D297353CC}">
              <c16:uniqueId val="{00000017-CB9D-0B49-B578-2D9AE6CC76D6}"/>
            </c:ext>
          </c:extLst>
        </c:ser>
        <c:dLbls>
          <c:showLegendKey val="0"/>
          <c:showVal val="0"/>
          <c:showCatName val="0"/>
          <c:showSerName val="0"/>
          <c:showPercent val="0"/>
          <c:showBubbleSize val="0"/>
        </c:dLbls>
        <c:gapWidth val="10"/>
        <c:overlap val="100"/>
        <c:axId val="597750128"/>
        <c:axId val="597712944"/>
      </c:barChart>
      <c:catAx>
        <c:axId val="597750128"/>
        <c:scaling>
          <c:orientation val="minMax"/>
        </c:scaling>
        <c:delete val="1"/>
        <c:axPos val="b"/>
        <c:numFmt formatCode="General" sourceLinked="1"/>
        <c:majorTickMark val="none"/>
        <c:minorTickMark val="none"/>
        <c:tickLblPos val="nextTo"/>
        <c:crossAx val="597712944"/>
        <c:crosses val="autoZero"/>
        <c:auto val="1"/>
        <c:lblAlgn val="ctr"/>
        <c:lblOffset val="100"/>
        <c:noMultiLvlLbl val="0"/>
      </c:catAx>
      <c:valAx>
        <c:axId val="597712944"/>
        <c:scaling>
          <c:orientation val="minMax"/>
        </c:scaling>
        <c:delete val="1"/>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fr-FR" sz="1800" b="1" i="0" u="none" strike="noStrike" kern="1200" baseline="0">
                    <a:solidFill>
                      <a:schemeClr val="tx1"/>
                    </a:solidFill>
                  </a:rPr>
                  <a:t>Émissions en tonnes de CO2 équivalents</a:t>
                </a:r>
              </a:p>
            </c:rich>
          </c:tx>
          <c:layout>
            <c:manualLayout>
              <c:xMode val="edge"/>
              <c:yMode val="edge"/>
              <c:x val="2.6236490712304633E-2"/>
              <c:y val="0.27690306739145226"/>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crossAx val="597750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07-8C4E-915D-FC1506D88E8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07-8C4E-915D-FC1506D88E8F}"/>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Récapitulatif!$G$58:$H$58</c:f>
              <c:strCache>
                <c:ptCount val="2"/>
                <c:pt idx="0">
                  <c:v>Football et rugby professionnel 
Niveau international et national</c:v>
                </c:pt>
                <c:pt idx="1">
                  <c:v>Football et rugby amateur
Niveau départemental, régional et national</c:v>
                </c:pt>
              </c:strCache>
            </c:strRef>
          </c:cat>
          <c:val>
            <c:numRef>
              <c:f>Récapitulatif!$G$60:$H$60</c:f>
              <c:numCache>
                <c:formatCode>0%</c:formatCode>
                <c:ptCount val="2"/>
                <c:pt idx="0">
                  <c:v>0.20400252795012661</c:v>
                </c:pt>
                <c:pt idx="1">
                  <c:v>0.79599747204987348</c:v>
                </c:pt>
              </c:numCache>
            </c:numRef>
          </c:val>
          <c:extLst>
            <c:ext xmlns:c16="http://schemas.microsoft.com/office/drawing/2014/chart" uri="{C3380CC4-5D6E-409C-BE32-E72D297353CC}">
              <c16:uniqueId val="{00000004-5707-8C4E-915D-FC1506D88E8F}"/>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5.0000043160338063E-2"/>
          <c:y val="0.8111134762274077"/>
          <c:w val="0.89999991367932386"/>
          <c:h val="0.10948303325880848"/>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strRef>
              <c:f>Récapitulatif!$B$224</c:f>
              <c:strCache>
                <c:ptCount val="1"/>
                <c:pt idx="0">
                  <c:v>BUT 1</c:v>
                </c:pt>
              </c:strCache>
            </c:strRef>
          </c:tx>
          <c:spPr>
            <a:ln w="25400" cap="rnd">
              <a:solidFill>
                <a:schemeClr val="accent2"/>
              </a:solidFill>
              <a:round/>
            </a:ln>
            <a:effectLst/>
          </c:spPr>
          <c:marker>
            <c:symbol val="square"/>
            <c:size val="7"/>
            <c:spPr>
              <a:solidFill>
                <a:schemeClr val="accent2"/>
              </a:solidFill>
              <a:ln w="9525">
                <a:noFill/>
              </a:ln>
              <a:effectLst/>
            </c:spPr>
          </c:marker>
          <c:xVal>
            <c:numRef>
              <c:f>Récapitulatif!$C$222:$Q$222</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Récapitulatif!$C$224:$Q$224</c:f>
              <c:numCache>
                <c:formatCode>_ * #\ ##0_)_ ;_ * \(#\ ##0\)_ ;_ * "-"??_)_ ;_ @_ </c:formatCode>
                <c:ptCount val="15"/>
                <c:pt idx="0">
                  <c:v>442868.54547044227</c:v>
                </c:pt>
                <c:pt idx="1">
                  <c:v>408623.66205678857</c:v>
                </c:pt>
                <c:pt idx="2">
                  <c:v>377026.76990828337</c:v>
                </c:pt>
                <c:pt idx="3">
                  <c:v>347873.11266306066</c:v>
                </c:pt>
                <c:pt idx="4">
                  <c:v>320973.76677874924</c:v>
                </c:pt>
                <c:pt idx="5">
                  <c:v>296154.41725709051</c:v>
                </c:pt>
                <c:pt idx="6">
                  <c:v>273254.22803585243</c:v>
                </c:pt>
                <c:pt idx="7">
                  <c:v>252124.79972787554</c:v>
                </c:pt>
                <c:pt idx="8">
                  <c:v>232629.20795311916</c:v>
                </c:pt>
                <c:pt idx="9">
                  <c:v>214641.11603184076</c:v>
                </c:pt>
                <c:pt idx="10">
                  <c:v>198043.95628892229</c:v>
                </c:pt>
                <c:pt idx="11">
                  <c:v>182730.17466397391</c:v>
                </c:pt>
                <c:pt idx="12">
                  <c:v>168600.53373208706</c:v>
                </c:pt>
                <c:pt idx="13">
                  <c:v>155563.46961862213</c:v>
                </c:pt>
                <c:pt idx="14">
                  <c:v>143534.49864066698</c:v>
                </c:pt>
              </c:numCache>
            </c:numRef>
          </c:yVal>
          <c:smooth val="0"/>
          <c:extLst>
            <c:ext xmlns:c16="http://schemas.microsoft.com/office/drawing/2014/chart" uri="{C3380CC4-5D6E-409C-BE32-E72D297353CC}">
              <c16:uniqueId val="{00000001-07C8-A442-8D13-ED7E720DC15D}"/>
            </c:ext>
          </c:extLst>
        </c:ser>
        <c:ser>
          <c:idx val="2"/>
          <c:order val="1"/>
          <c:tx>
            <c:strRef>
              <c:f>Récapitulatif!$B$225</c:f>
              <c:strCache>
                <c:ptCount val="1"/>
                <c:pt idx="0">
                  <c:v>BUT 2</c:v>
                </c:pt>
              </c:strCache>
            </c:strRef>
          </c:tx>
          <c:spPr>
            <a:ln w="25400" cap="rnd">
              <a:solidFill>
                <a:schemeClr val="accent4"/>
              </a:solidFill>
              <a:round/>
            </a:ln>
            <a:effectLst/>
          </c:spPr>
          <c:marker>
            <c:symbol val="circle"/>
            <c:size val="8"/>
            <c:spPr>
              <a:solidFill>
                <a:schemeClr val="accent4"/>
              </a:solidFill>
              <a:ln w="9525">
                <a:noFill/>
              </a:ln>
              <a:effectLst/>
            </c:spPr>
          </c:marker>
          <c:xVal>
            <c:numRef>
              <c:f>Récapitulatif!$C$222:$Q$222</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Récapitulatif!$C$225:$Q$225</c:f>
              <c:numCache>
                <c:formatCode>_ * #\ ##0_)_ ;_ * \(#\ ##0\)_ ;_ * "-"??_)_ ;_ @_ </c:formatCode>
                <c:ptCount val="15"/>
                <c:pt idx="0">
                  <c:v>442868.54547044227</c:v>
                </c:pt>
                <c:pt idx="1">
                  <c:v>390217.64324568521</c:v>
                </c:pt>
                <c:pt idx="2">
                  <c:v>343826.20002616459</c:v>
                </c:pt>
                <c:pt idx="3">
                  <c:v>302950.05331166385</c:v>
                </c:pt>
                <c:pt idx="4">
                  <c:v>266933.51115928846</c:v>
                </c:pt>
                <c:pt idx="5">
                  <c:v>235198.83426633041</c:v>
                </c:pt>
                <c:pt idx="6">
                  <c:v>207236.96848699637</c:v>
                </c:pt>
                <c:pt idx="7">
                  <c:v>182599.37912382916</c:v>
                </c:pt>
                <c:pt idx="8">
                  <c:v>160890.85600815504</c:v>
                </c:pt>
                <c:pt idx="9">
                  <c:v>141763.17395626224</c:v>
                </c:pt>
                <c:pt idx="10">
                  <c:v>124909.50690904915</c:v>
                </c:pt>
                <c:pt idx="11">
                  <c:v>110059.5061526737</c:v>
                </c:pt>
                <c:pt idx="12">
                  <c:v>96974.963670222292</c:v>
                </c:pt>
                <c:pt idx="13">
                  <c:v>85445.99106046847</c:v>
                </c:pt>
                <c:pt idx="14">
                  <c:v>75287.652729975205</c:v>
                </c:pt>
              </c:numCache>
            </c:numRef>
          </c:yVal>
          <c:smooth val="0"/>
          <c:extLst>
            <c:ext xmlns:c16="http://schemas.microsoft.com/office/drawing/2014/chart" uri="{C3380CC4-5D6E-409C-BE32-E72D297353CC}">
              <c16:uniqueId val="{00000002-07C8-A442-8D13-ED7E720DC15D}"/>
            </c:ext>
          </c:extLst>
        </c:ser>
        <c:ser>
          <c:idx val="4"/>
          <c:order val="2"/>
          <c:tx>
            <c:strRef>
              <c:f>Récapitulatif!$B$226</c:f>
              <c:strCache>
                <c:ptCount val="1"/>
                <c:pt idx="0">
                  <c:v>Objectif -83%</c:v>
                </c:pt>
              </c:strCache>
            </c:strRef>
          </c:tx>
          <c:spPr>
            <a:ln w="25400" cap="rnd">
              <a:solidFill>
                <a:schemeClr val="accent6"/>
              </a:solidFill>
              <a:prstDash val="sysDash"/>
              <a:round/>
            </a:ln>
            <a:effectLst/>
          </c:spPr>
          <c:marker>
            <c:symbol val="none"/>
          </c:marker>
          <c:xVal>
            <c:numRef>
              <c:f>Récapitulatif!$C$222:$Q$222</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Récapitulatif!$C$226:$Q$226</c:f>
              <c:numCache>
                <c:formatCode>_ * #\ ##0_)_ ;_ * \(#\ ##0\)_ ;_ * "-"??_)_ ;_ @_ </c:formatCode>
                <c:ptCount val="15"/>
                <c:pt idx="0">
                  <c:v>75287.652729975205</c:v>
                </c:pt>
                <c:pt idx="1">
                  <c:v>75287.652729975205</c:v>
                </c:pt>
                <c:pt idx="2">
                  <c:v>75287.652729975205</c:v>
                </c:pt>
                <c:pt idx="3">
                  <c:v>75287.652729975205</c:v>
                </c:pt>
                <c:pt idx="4">
                  <c:v>75287.652729975205</c:v>
                </c:pt>
                <c:pt idx="5">
                  <c:v>75287.652729975205</c:v>
                </c:pt>
                <c:pt idx="6">
                  <c:v>75287.652729975205</c:v>
                </c:pt>
                <c:pt idx="7">
                  <c:v>75287.652729975205</c:v>
                </c:pt>
                <c:pt idx="8">
                  <c:v>75287.652729975205</c:v>
                </c:pt>
                <c:pt idx="9">
                  <c:v>75287.652729975205</c:v>
                </c:pt>
                <c:pt idx="10">
                  <c:v>75287.652729975205</c:v>
                </c:pt>
                <c:pt idx="11">
                  <c:v>75287.652729975205</c:v>
                </c:pt>
                <c:pt idx="12">
                  <c:v>75287.652729975205</c:v>
                </c:pt>
                <c:pt idx="13">
                  <c:v>75287.652729975205</c:v>
                </c:pt>
                <c:pt idx="14">
                  <c:v>75287.652729975205</c:v>
                </c:pt>
              </c:numCache>
            </c:numRef>
          </c:yVal>
          <c:smooth val="0"/>
          <c:extLst>
            <c:ext xmlns:c16="http://schemas.microsoft.com/office/drawing/2014/chart" uri="{C3380CC4-5D6E-409C-BE32-E72D297353CC}">
              <c16:uniqueId val="{00000004-07C8-A442-8D13-ED7E720DC15D}"/>
            </c:ext>
          </c:extLst>
        </c:ser>
        <c:dLbls>
          <c:showLegendKey val="0"/>
          <c:showVal val="0"/>
          <c:showCatName val="0"/>
          <c:showSerName val="0"/>
          <c:showPercent val="0"/>
          <c:showBubbleSize val="0"/>
        </c:dLbls>
        <c:axId val="652779039"/>
        <c:axId val="652780751"/>
      </c:scatterChart>
      <c:valAx>
        <c:axId val="652779039"/>
        <c:scaling>
          <c:orientation val="minMax"/>
          <c:max val="2050"/>
          <c:min val="202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fr-FR"/>
          </a:p>
        </c:txPr>
        <c:crossAx val="652780751"/>
        <c:crosses val="autoZero"/>
        <c:crossBetween val="midCat"/>
        <c:majorUnit val="4"/>
      </c:valAx>
      <c:valAx>
        <c:axId val="652780751"/>
        <c:scaling>
          <c:orientation val="minMax"/>
          <c:max val="4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400" b="1">
                    <a:solidFill>
                      <a:schemeClr val="accent1"/>
                    </a:solidFill>
                  </a:rPr>
                  <a:t>Emissions de GES en 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 ##0_)_ ;_ * \(#\ ##0\)_ ;_ * &quot;-&quot;??_)_ ;_ @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fr-FR"/>
          </a:p>
        </c:txPr>
        <c:crossAx val="6527790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Récapitulatif!$Z$42</c:f>
              <c:strCache>
                <c:ptCount val="1"/>
                <c:pt idx="0">
                  <c:v> Avion </c:v>
                </c:pt>
              </c:strCache>
            </c:strRef>
          </c:tx>
          <c:spPr>
            <a:solidFill>
              <a:schemeClr val="accent1"/>
            </a:solidFill>
            <a:ln w="12700">
              <a:solidFill>
                <a:schemeClr val="bg1"/>
              </a:solidFill>
            </a:ln>
            <a:effectLst/>
          </c:spPr>
          <c:invertIfNegative val="0"/>
          <c:dLbls>
            <c:dLbl>
              <c:idx val="0"/>
              <c:tx>
                <c:rich>
                  <a:bodyPr/>
                  <a:lstStyle/>
                  <a:p>
                    <a:fld id="{0B40C8CF-7EC1-284D-8CD8-E1ED8D1FF808}" type="CELLRANGE">
                      <a:rPr lang="en-US"/>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90B-FF4B-9B67-3EB776C72D8B}"/>
                </c:ext>
              </c:extLst>
            </c:dLbl>
            <c:dLbl>
              <c:idx val="1"/>
              <c:tx>
                <c:rich>
                  <a:bodyPr/>
                  <a:lstStyle/>
                  <a:p>
                    <a:endParaRPr lang="fr-FR"/>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90B-FF4B-9B67-3EB776C72D8B}"/>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2"/>
                    </a:solidFill>
                    <a:latin typeface="Poppins" pitchFamily="2" charset="77"/>
                    <a:ea typeface="+mn-ea"/>
                    <a:cs typeface="Poppins" pitchFamily="2" charset="77"/>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Récapitulatif!$Y$43:$Y$44</c:f>
              <c:strCache>
                <c:ptCount val="2"/>
                <c:pt idx="0">
                  <c:v> Match international  </c:v>
                </c:pt>
                <c:pt idx="1">
                  <c:v> Match national </c:v>
                </c:pt>
              </c:strCache>
            </c:strRef>
          </c:cat>
          <c:val>
            <c:numRef>
              <c:f>Récapitulatif!$Z$43:$Z$44</c:f>
              <c:numCache>
                <c:formatCode>_ * #\ ##0_)_ ;_ * \(#\ ##0\)_ ;_ * "-"??_)_ ;_ @_ </c:formatCode>
                <c:ptCount val="2"/>
                <c:pt idx="0">
                  <c:v>1512.9356214210311</c:v>
                </c:pt>
                <c:pt idx="1">
                  <c:v>4.6956000000000016</c:v>
                </c:pt>
              </c:numCache>
            </c:numRef>
          </c:val>
          <c:extLst>
            <c:ext xmlns:c15="http://schemas.microsoft.com/office/drawing/2012/chart" uri="{02D57815-91ED-43cb-92C2-25804820EDAC}">
              <c15:datalabelsRange>
                <c15:f>Récapitulatif!$AC$43</c15:f>
                <c15:dlblRangeCache>
                  <c:ptCount val="1"/>
                  <c:pt idx="0">
                    <c:v>81%</c:v>
                  </c:pt>
                </c15:dlblRangeCache>
              </c15:datalabelsRange>
            </c:ext>
            <c:ext xmlns:c16="http://schemas.microsoft.com/office/drawing/2014/chart" uri="{C3380CC4-5D6E-409C-BE32-E72D297353CC}">
              <c16:uniqueId val="{00000000-87B0-1447-AF7D-6960656F1470}"/>
            </c:ext>
          </c:extLst>
        </c:ser>
        <c:ser>
          <c:idx val="1"/>
          <c:order val="1"/>
          <c:tx>
            <c:strRef>
              <c:f>Récapitulatif!$AA$42</c:f>
              <c:strCache>
                <c:ptCount val="1"/>
                <c:pt idx="0">
                  <c:v> Voiture </c:v>
                </c:pt>
              </c:strCache>
            </c:strRef>
          </c:tx>
          <c:spPr>
            <a:solidFill>
              <a:schemeClr val="accent2"/>
            </a:solidFill>
            <a:ln w="12700">
              <a:solidFill>
                <a:schemeClr val="bg1"/>
              </a:solidFill>
            </a:ln>
            <a:effectLst/>
          </c:spPr>
          <c:invertIfNegative val="0"/>
          <c:dLbls>
            <c:dLbl>
              <c:idx val="0"/>
              <c:tx>
                <c:rich>
                  <a:bodyPr/>
                  <a:lstStyle/>
                  <a:p>
                    <a:fld id="{BD3DB413-9A47-DE42-AF3D-722EE6217B1C}" type="CELLRANGE">
                      <a:rPr lang="en-US"/>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90B-FF4B-9B67-3EB776C72D8B}"/>
                </c:ext>
              </c:extLst>
            </c:dLbl>
            <c:dLbl>
              <c:idx val="1"/>
              <c:tx>
                <c:rich>
                  <a:bodyPr/>
                  <a:lstStyle/>
                  <a:p>
                    <a:endParaRPr lang="fr-FR"/>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90B-FF4B-9B67-3EB776C72D8B}"/>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Poppins" pitchFamily="2" charset="77"/>
                    <a:ea typeface="+mn-ea"/>
                    <a:cs typeface="Poppins" pitchFamily="2" charset="77"/>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Récapitulatif!$Y$43:$Y$44</c:f>
              <c:strCache>
                <c:ptCount val="2"/>
                <c:pt idx="0">
                  <c:v> Match international  </c:v>
                </c:pt>
                <c:pt idx="1">
                  <c:v> Match national </c:v>
                </c:pt>
              </c:strCache>
            </c:strRef>
          </c:cat>
          <c:val>
            <c:numRef>
              <c:f>Récapitulatif!$AA$43:$AA$44</c:f>
              <c:numCache>
                <c:formatCode>_ * #\ ##0_)_ ;_ * \(#\ ##0\)_ ;_ * "-"??_)_ ;_ @_ </c:formatCode>
                <c:ptCount val="2"/>
                <c:pt idx="0">
                  <c:v>305.30296319584352</c:v>
                </c:pt>
                <c:pt idx="1">
                  <c:v>89.044225437809501</c:v>
                </c:pt>
              </c:numCache>
            </c:numRef>
          </c:val>
          <c:extLst>
            <c:ext xmlns:c15="http://schemas.microsoft.com/office/drawing/2012/chart" uri="{02D57815-91ED-43cb-92C2-25804820EDAC}">
              <c15:datalabelsRange>
                <c15:f>Récapitulatif!$AD$43</c15:f>
                <c15:dlblRangeCache>
                  <c:ptCount val="1"/>
                  <c:pt idx="0">
                    <c:v>16%</c:v>
                  </c:pt>
                </c15:dlblRangeCache>
              </c15:datalabelsRange>
            </c:ext>
            <c:ext xmlns:c16="http://schemas.microsoft.com/office/drawing/2014/chart" uri="{C3380CC4-5D6E-409C-BE32-E72D297353CC}">
              <c16:uniqueId val="{00000001-87B0-1447-AF7D-6960656F1470}"/>
            </c:ext>
          </c:extLst>
        </c:ser>
        <c:ser>
          <c:idx val="2"/>
          <c:order val="2"/>
          <c:tx>
            <c:strRef>
              <c:f>Récapitulatif!$AB$42</c:f>
              <c:strCache>
                <c:ptCount val="1"/>
                <c:pt idx="0">
                  <c:v> Transports en commun </c:v>
                </c:pt>
              </c:strCache>
            </c:strRef>
          </c:tx>
          <c:spPr>
            <a:solidFill>
              <a:schemeClr val="accent4"/>
            </a:solidFill>
            <a:ln w="12700">
              <a:solidFill>
                <a:schemeClr val="bg1"/>
              </a:solidFill>
            </a:ln>
            <a:effectLst/>
          </c:spPr>
          <c:invertIfNegative val="0"/>
          <c:dLbls>
            <c:dLbl>
              <c:idx val="0"/>
              <c:tx>
                <c:rich>
                  <a:bodyPr/>
                  <a:lstStyle/>
                  <a:p>
                    <a:fld id="{5871E5C5-F5F5-AD41-BB80-4D709DE3035F}" type="CELLRANGE">
                      <a:rPr lang="en-US"/>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90B-FF4B-9B67-3EB776C72D8B}"/>
                </c:ext>
              </c:extLst>
            </c:dLbl>
            <c:dLbl>
              <c:idx val="1"/>
              <c:tx>
                <c:rich>
                  <a:bodyPr/>
                  <a:lstStyle/>
                  <a:p>
                    <a:endParaRPr lang="fr-FR"/>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90B-FF4B-9B67-3EB776C72D8B}"/>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Récapitulatif!$Y$43:$Y$44</c:f>
              <c:strCache>
                <c:ptCount val="2"/>
                <c:pt idx="0">
                  <c:v> Match international  </c:v>
                </c:pt>
                <c:pt idx="1">
                  <c:v> Match national </c:v>
                </c:pt>
              </c:strCache>
            </c:strRef>
          </c:cat>
          <c:val>
            <c:numRef>
              <c:f>Récapitulatif!$AB$43:$AB$44</c:f>
              <c:numCache>
                <c:formatCode>_ * #\ ##0_)_ ;_ * \(#\ ##0\)_ ;_ * "-"??_)_ ;_ @_ </c:formatCode>
                <c:ptCount val="2"/>
                <c:pt idx="0">
                  <c:v>51.865027915604848</c:v>
                </c:pt>
                <c:pt idx="1">
                  <c:v>7.2739293270234304</c:v>
                </c:pt>
              </c:numCache>
            </c:numRef>
          </c:val>
          <c:extLst>
            <c:ext xmlns:c15="http://schemas.microsoft.com/office/drawing/2012/chart" uri="{02D57815-91ED-43cb-92C2-25804820EDAC}">
              <c15:datalabelsRange>
                <c15:f>Récapitulatif!$AE$43</c15:f>
                <c15:dlblRangeCache>
                  <c:ptCount val="1"/>
                  <c:pt idx="0">
                    <c:v>3%</c:v>
                  </c:pt>
                </c15:dlblRangeCache>
              </c15:datalabelsRange>
            </c:ext>
            <c:ext xmlns:c16="http://schemas.microsoft.com/office/drawing/2014/chart" uri="{C3380CC4-5D6E-409C-BE32-E72D297353CC}">
              <c16:uniqueId val="{00000002-87B0-1447-AF7D-6960656F1470}"/>
            </c:ext>
          </c:extLst>
        </c:ser>
        <c:dLbls>
          <c:dLblPos val="ctr"/>
          <c:showLegendKey val="0"/>
          <c:showVal val="1"/>
          <c:showCatName val="0"/>
          <c:showSerName val="0"/>
          <c:showPercent val="0"/>
          <c:showBubbleSize val="0"/>
        </c:dLbls>
        <c:gapWidth val="150"/>
        <c:overlap val="100"/>
        <c:axId val="1050925968"/>
        <c:axId val="675222832"/>
      </c:barChart>
      <c:catAx>
        <c:axId val="1050925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2"/>
                </a:solidFill>
                <a:latin typeface="Poppins" pitchFamily="2" charset="77"/>
                <a:ea typeface="+mn-ea"/>
                <a:cs typeface="Poppins" pitchFamily="2" charset="77"/>
              </a:defRPr>
            </a:pPr>
            <a:endParaRPr lang="fr-FR"/>
          </a:p>
        </c:txPr>
        <c:crossAx val="675222832"/>
        <c:crosses val="autoZero"/>
        <c:auto val="1"/>
        <c:lblAlgn val="ctr"/>
        <c:lblOffset val="100"/>
        <c:noMultiLvlLbl val="0"/>
      </c:catAx>
      <c:valAx>
        <c:axId val="6752228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1" u="none" strike="noStrike" kern="1200" baseline="0">
                    <a:solidFill>
                      <a:schemeClr val="tx1">
                        <a:lumMod val="65000"/>
                        <a:lumOff val="35000"/>
                      </a:schemeClr>
                    </a:solidFill>
                    <a:latin typeface="+mn-lt"/>
                    <a:ea typeface="+mn-ea"/>
                    <a:cs typeface="+mn-cs"/>
                  </a:defRPr>
                </a:pPr>
                <a:r>
                  <a:rPr lang="fr-FR" sz="1400" b="1" i="1">
                    <a:solidFill>
                      <a:schemeClr val="tx2"/>
                    </a:solidFill>
                    <a:latin typeface="Poppins" pitchFamily="2" charset="77"/>
                    <a:cs typeface="Poppins" pitchFamily="2" charset="77"/>
                  </a:rPr>
                  <a:t>Empreinte</a:t>
                </a:r>
                <a:r>
                  <a:rPr lang="fr-FR" sz="1400" b="1" i="1" baseline="0">
                    <a:solidFill>
                      <a:schemeClr val="tx2"/>
                    </a:solidFill>
                    <a:latin typeface="Poppins" pitchFamily="2" charset="77"/>
                    <a:cs typeface="Poppins" pitchFamily="2" charset="77"/>
                  </a:rPr>
                  <a:t> carbone en tCO2e</a:t>
                </a:r>
                <a:endParaRPr lang="fr-FR" sz="1400" b="1" i="1">
                  <a:solidFill>
                    <a:schemeClr val="tx2"/>
                  </a:solidFill>
                  <a:latin typeface="Poppins" pitchFamily="2" charset="77"/>
                  <a:cs typeface="Poppins" pitchFamily="2" charset="77"/>
                </a:endParaRPr>
              </a:p>
            </c:rich>
          </c:tx>
          <c:layout>
            <c:manualLayout>
              <c:xMode val="edge"/>
              <c:yMode val="edge"/>
              <c:x val="0.39508137337868932"/>
              <c:y val="0.8618045081490262"/>
            </c:manualLayout>
          </c:layout>
          <c:overlay val="0"/>
          <c:spPr>
            <a:noFill/>
            <a:ln>
              <a:noFill/>
            </a:ln>
            <a:effectLst/>
          </c:spPr>
          <c:txPr>
            <a:bodyPr rot="0" spcFirstLastPara="1" vertOverflow="ellipsis" vert="horz" wrap="square" anchor="ctr" anchorCtr="1"/>
            <a:lstStyle/>
            <a:p>
              <a:pPr>
                <a:defRPr sz="1400" b="0" i="1" u="none" strike="noStrike" kern="1200" baseline="0">
                  <a:solidFill>
                    <a:schemeClr val="tx1">
                      <a:lumMod val="65000"/>
                      <a:lumOff val="35000"/>
                    </a:schemeClr>
                  </a:solidFill>
                  <a:latin typeface="+mn-lt"/>
                  <a:ea typeface="+mn-ea"/>
                  <a:cs typeface="+mn-cs"/>
                </a:defRPr>
              </a:pPr>
              <a:endParaRPr lang="fr-FR"/>
            </a:p>
          </c:txPr>
        </c:title>
        <c:numFmt formatCode="_ * #\ ##0_)_ ;_ *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2"/>
                </a:solidFill>
                <a:latin typeface="Poppins" pitchFamily="2" charset="77"/>
                <a:ea typeface="+mn-ea"/>
                <a:cs typeface="Poppins" pitchFamily="2" charset="77"/>
              </a:defRPr>
            </a:pPr>
            <a:endParaRPr lang="fr-FR"/>
          </a:p>
        </c:txPr>
        <c:crossAx val="1050925968"/>
        <c:crosses val="autoZero"/>
        <c:crossBetween val="between"/>
      </c:valAx>
      <c:spPr>
        <a:noFill/>
        <a:ln>
          <a:noFill/>
        </a:ln>
        <a:effectLst/>
      </c:spPr>
    </c:plotArea>
    <c:legend>
      <c:legendPos val="b"/>
      <c:layout>
        <c:manualLayout>
          <c:xMode val="edge"/>
          <c:yMode val="edge"/>
          <c:x val="0.59134284361023193"/>
          <c:y val="7.9389641801267466E-2"/>
          <c:w val="0.3429211730636576"/>
          <c:h val="6.497461070213179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Poppins" pitchFamily="2" charset="77"/>
              <a:ea typeface="+mn-ea"/>
              <a:cs typeface="Poppins" pitchFamily="2" charset="77"/>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Récapitulatif!$C$289</c:f>
              <c:strCache>
                <c:ptCount val="1"/>
                <c:pt idx="0">
                  <c:v>Négatif </c:v>
                </c:pt>
              </c:strCache>
            </c:strRef>
          </c:tx>
          <c:spPr>
            <a:noFill/>
            <a:ln>
              <a:noFill/>
            </a:ln>
            <a:effectLst/>
          </c:spPr>
          <c:invertIfNegative val="0"/>
          <c:cat>
            <c:strRef>
              <c:f>Récapitulatif!$B$290:$B$297</c:f>
              <c:strCache>
                <c:ptCount val="8"/>
                <c:pt idx="0">
                  <c:v>Émissions en 2022 </c:v>
                </c:pt>
                <c:pt idx="1">
                  <c:v>Construction et entretien des infras.</c:v>
                </c:pt>
                <c:pt idx="2">
                  <c:v>Consommation d'énergie des infras.</c:v>
                </c:pt>
                <c:pt idx="3">
                  <c:v>Alimentation et boissons</c:v>
                </c:pt>
                <c:pt idx="4">
                  <c:v>Retransmission, déchets et autres</c:v>
                </c:pt>
                <c:pt idx="5">
                  <c:v>Déplacements des équipes et salariés</c:v>
                </c:pt>
                <c:pt idx="6">
                  <c:v>Déplacements des spectateurs</c:v>
                </c:pt>
                <c:pt idx="7">
                  <c:v>Émissions après transformation 2050</c:v>
                </c:pt>
              </c:strCache>
            </c:strRef>
          </c:cat>
          <c:val>
            <c:numRef>
              <c:f>Récapitulatif!$C$290:$C$297</c:f>
              <c:numCache>
                <c:formatCode>_ * #\ ##0_)_ ;_ * \(#\ ##0\)_ ;_ * "-"??_)_ ;_ @_ </c:formatCode>
                <c:ptCount val="8"/>
                <c:pt idx="0" formatCode="General">
                  <c:v>0</c:v>
                </c:pt>
                <c:pt idx="1">
                  <c:v>423000</c:v>
                </c:pt>
                <c:pt idx="2">
                  <c:v>415000</c:v>
                </c:pt>
                <c:pt idx="3">
                  <c:v>398000</c:v>
                </c:pt>
                <c:pt idx="4">
                  <c:v>385000</c:v>
                </c:pt>
                <c:pt idx="5">
                  <c:v>338000</c:v>
                </c:pt>
                <c:pt idx="6">
                  <c:v>140000</c:v>
                </c:pt>
              </c:numCache>
            </c:numRef>
          </c:val>
          <c:extLst>
            <c:ext xmlns:c16="http://schemas.microsoft.com/office/drawing/2014/chart" uri="{C3380CC4-5D6E-409C-BE32-E72D297353CC}">
              <c16:uniqueId val="{00000000-2B38-9F4F-BCF1-9D5B58D81419}"/>
            </c:ext>
          </c:extLst>
        </c:ser>
        <c:ser>
          <c:idx val="1"/>
          <c:order val="1"/>
          <c:tx>
            <c:strRef>
              <c:f>Récapitulatif!$D$289</c:f>
              <c:strCache>
                <c:ptCount val="1"/>
                <c:pt idx="0">
                  <c:v>Émissions (ktCO2e)</c:v>
                </c:pt>
              </c:strCache>
            </c:strRef>
          </c:tx>
          <c:spPr>
            <a:solidFill>
              <a:schemeClr val="accent2"/>
            </a:solidFill>
            <a:ln>
              <a:noFill/>
            </a:ln>
            <a:effectLst/>
          </c:spPr>
          <c:invertIfNegative val="0"/>
          <c:dPt>
            <c:idx val="1"/>
            <c:invertIfNegative val="0"/>
            <c:bubble3D val="0"/>
            <c:spPr>
              <a:solidFill>
                <a:schemeClr val="accent6"/>
              </a:solidFill>
              <a:ln>
                <a:noFill/>
              </a:ln>
              <a:effectLst/>
            </c:spPr>
            <c:extLst>
              <c:ext xmlns:c16="http://schemas.microsoft.com/office/drawing/2014/chart" uri="{C3380CC4-5D6E-409C-BE32-E72D297353CC}">
                <c16:uniqueId val="{00000002-2B38-9F4F-BCF1-9D5B58D81419}"/>
              </c:ext>
            </c:extLst>
          </c:dPt>
          <c:dPt>
            <c:idx val="2"/>
            <c:invertIfNegative val="0"/>
            <c:bubble3D val="0"/>
            <c:spPr>
              <a:solidFill>
                <a:schemeClr val="accent6"/>
              </a:solidFill>
              <a:ln>
                <a:noFill/>
              </a:ln>
              <a:effectLst/>
            </c:spPr>
            <c:extLst>
              <c:ext xmlns:c16="http://schemas.microsoft.com/office/drawing/2014/chart" uri="{C3380CC4-5D6E-409C-BE32-E72D297353CC}">
                <c16:uniqueId val="{00000003-2B38-9F4F-BCF1-9D5B58D81419}"/>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4-2B38-9F4F-BCF1-9D5B58D81419}"/>
              </c:ext>
            </c:extLst>
          </c:dPt>
          <c:dPt>
            <c:idx val="4"/>
            <c:invertIfNegative val="0"/>
            <c:bubble3D val="0"/>
            <c:spPr>
              <a:solidFill>
                <a:schemeClr val="accent6"/>
              </a:solidFill>
              <a:ln>
                <a:noFill/>
              </a:ln>
              <a:effectLst/>
            </c:spPr>
            <c:extLst>
              <c:ext xmlns:c16="http://schemas.microsoft.com/office/drawing/2014/chart" uri="{C3380CC4-5D6E-409C-BE32-E72D297353CC}">
                <c16:uniqueId val="{00000005-2B38-9F4F-BCF1-9D5B58D81419}"/>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6-2B38-9F4F-BCF1-9D5B58D81419}"/>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7-2B38-9F4F-BCF1-9D5B58D81419}"/>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8-2B38-9F4F-BCF1-9D5B58D81419}"/>
              </c:ext>
            </c:extLst>
          </c:dPt>
          <c:dPt>
            <c:idx val="8"/>
            <c:invertIfNegative val="0"/>
            <c:bubble3D val="0"/>
            <c:spPr>
              <a:solidFill>
                <a:schemeClr val="accent6"/>
              </a:solidFill>
              <a:ln>
                <a:noFill/>
              </a:ln>
              <a:effectLst/>
            </c:spPr>
            <c:extLst>
              <c:ext xmlns:c16="http://schemas.microsoft.com/office/drawing/2014/chart" uri="{C3380CC4-5D6E-409C-BE32-E72D297353CC}">
                <c16:uniqueId val="{00000009-2B38-9F4F-BCF1-9D5B58D81419}"/>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A-2B38-9F4F-BCF1-9D5B58D81419}"/>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B38-9F4F-BCF1-9D5B58D81419}"/>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38-9F4F-BCF1-9D5B58D81419}"/>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38-9F4F-BCF1-9D5B58D8141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1"/>
                    </a:solidFill>
                    <a:latin typeface="Poppins" pitchFamily="2" charset="77"/>
                    <a:ea typeface="+mn-ea"/>
                    <a:cs typeface="Poppins" pitchFamily="2" charset="77"/>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Récapitulatif!$B$290:$B$297</c:f>
              <c:strCache>
                <c:ptCount val="8"/>
                <c:pt idx="0">
                  <c:v>Émissions en 2022 </c:v>
                </c:pt>
                <c:pt idx="1">
                  <c:v>Construction et entretien des infras.</c:v>
                </c:pt>
                <c:pt idx="2">
                  <c:v>Consommation d'énergie des infras.</c:v>
                </c:pt>
                <c:pt idx="3">
                  <c:v>Alimentation et boissons</c:v>
                </c:pt>
                <c:pt idx="4">
                  <c:v>Retransmission, déchets et autres</c:v>
                </c:pt>
                <c:pt idx="5">
                  <c:v>Déplacements des équipes et salariés</c:v>
                </c:pt>
                <c:pt idx="6">
                  <c:v>Déplacements des spectateurs</c:v>
                </c:pt>
                <c:pt idx="7">
                  <c:v>Émissions après transformation 2050</c:v>
                </c:pt>
              </c:strCache>
            </c:strRef>
          </c:cat>
          <c:val>
            <c:numRef>
              <c:f>Récapitulatif!$D$290:$D$297</c:f>
              <c:numCache>
                <c:formatCode>_ * #\ ##0_)_ ;_ * \(#\ ##0\)_ ;_ * "-"??_)_ ;_ @_ </c:formatCode>
                <c:ptCount val="8"/>
                <c:pt idx="0">
                  <c:v>440000</c:v>
                </c:pt>
                <c:pt idx="1">
                  <c:v>17000</c:v>
                </c:pt>
                <c:pt idx="2">
                  <c:v>8000</c:v>
                </c:pt>
                <c:pt idx="3">
                  <c:v>17000</c:v>
                </c:pt>
                <c:pt idx="4">
                  <c:v>13000</c:v>
                </c:pt>
                <c:pt idx="5">
                  <c:v>47000</c:v>
                </c:pt>
                <c:pt idx="6">
                  <c:v>198000</c:v>
                </c:pt>
                <c:pt idx="7">
                  <c:v>144000</c:v>
                </c:pt>
              </c:numCache>
            </c:numRef>
          </c:val>
          <c:extLst>
            <c:ext xmlns:c16="http://schemas.microsoft.com/office/drawing/2014/chart" uri="{C3380CC4-5D6E-409C-BE32-E72D297353CC}">
              <c16:uniqueId val="{00000001-2B38-9F4F-BCF1-9D5B58D81419}"/>
            </c:ext>
          </c:extLst>
        </c:ser>
        <c:dLbls>
          <c:showLegendKey val="0"/>
          <c:showVal val="0"/>
          <c:showCatName val="0"/>
          <c:showSerName val="0"/>
          <c:showPercent val="0"/>
          <c:showBubbleSize val="0"/>
        </c:dLbls>
        <c:gapWidth val="10"/>
        <c:overlap val="100"/>
        <c:axId val="1939745455"/>
        <c:axId val="1939052191"/>
      </c:barChart>
      <c:catAx>
        <c:axId val="193974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solidFill>
                <a:latin typeface="Poppins" pitchFamily="2" charset="77"/>
                <a:ea typeface="+mn-ea"/>
                <a:cs typeface="Poppins" pitchFamily="2" charset="77"/>
              </a:defRPr>
            </a:pPr>
            <a:endParaRPr lang="fr-FR"/>
          </a:p>
        </c:txPr>
        <c:crossAx val="1939052191"/>
        <c:crosses val="autoZero"/>
        <c:auto val="1"/>
        <c:lblAlgn val="ctr"/>
        <c:lblOffset val="100"/>
        <c:noMultiLvlLbl val="0"/>
      </c:catAx>
      <c:valAx>
        <c:axId val="1939052191"/>
        <c:scaling>
          <c:orientation val="minMax"/>
          <c:max val="45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accent1"/>
                </a:solidFill>
                <a:latin typeface="Poppins" pitchFamily="2" charset="77"/>
                <a:ea typeface="+mn-ea"/>
                <a:cs typeface="Poppins" pitchFamily="2" charset="77"/>
              </a:defRPr>
            </a:pPr>
            <a:endParaRPr lang="fr-FR"/>
          </a:p>
        </c:txPr>
        <c:crossAx val="1939745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Récapitulatif!$C$289</c:f>
              <c:strCache>
                <c:ptCount val="1"/>
                <c:pt idx="0">
                  <c:v>Négatif </c:v>
                </c:pt>
              </c:strCache>
            </c:strRef>
          </c:tx>
          <c:spPr>
            <a:noFill/>
            <a:ln>
              <a:noFill/>
            </a:ln>
            <a:effectLst/>
          </c:spPr>
          <c:invertIfNegative val="0"/>
          <c:cat>
            <c:strRef>
              <c:f>Récapitulatif!$B$318:$B$326</c:f>
              <c:strCache>
                <c:ptCount val="9"/>
                <c:pt idx="0">
                  <c:v>Émissions en 2022 </c:v>
                </c:pt>
                <c:pt idx="1">
                  <c:v>Construction et entretien des infras.</c:v>
                </c:pt>
                <c:pt idx="2">
                  <c:v>Consommation d'énergie des infras.</c:v>
                </c:pt>
                <c:pt idx="3">
                  <c:v>Alimentation et boissons</c:v>
                </c:pt>
                <c:pt idx="4">
                  <c:v>Retransmission, déchets et autres</c:v>
                </c:pt>
                <c:pt idx="5">
                  <c:v>Déplacements des équipes et salariés</c:v>
                </c:pt>
                <c:pt idx="6">
                  <c:v>Déplacements des spectateurs</c:v>
                </c:pt>
                <c:pt idx="7">
                  <c:v>Rapprocher et modérer</c:v>
                </c:pt>
                <c:pt idx="8">
                  <c:v>Émissions après transformation 2050</c:v>
                </c:pt>
              </c:strCache>
            </c:strRef>
          </c:cat>
          <c:val>
            <c:numRef>
              <c:f>Récapitulatif!$C$318:$C$326</c:f>
              <c:numCache>
                <c:formatCode>_ * #\ ##0_)_ ;_ * \(#\ ##0\)_ ;_ * "-"??_)_ ;_ @_ </c:formatCode>
                <c:ptCount val="9"/>
                <c:pt idx="0">
                  <c:v>0</c:v>
                </c:pt>
                <c:pt idx="1">
                  <c:v>423000</c:v>
                </c:pt>
                <c:pt idx="2">
                  <c:v>415000</c:v>
                </c:pt>
                <c:pt idx="3">
                  <c:v>398000</c:v>
                </c:pt>
                <c:pt idx="4">
                  <c:v>385000</c:v>
                </c:pt>
                <c:pt idx="5">
                  <c:v>338000</c:v>
                </c:pt>
                <c:pt idx="6">
                  <c:v>140000</c:v>
                </c:pt>
                <c:pt idx="7">
                  <c:v>74800.000000000015</c:v>
                </c:pt>
                <c:pt idx="8">
                  <c:v>0</c:v>
                </c:pt>
              </c:numCache>
            </c:numRef>
          </c:val>
          <c:extLst>
            <c:ext xmlns:c16="http://schemas.microsoft.com/office/drawing/2014/chart" uri="{C3380CC4-5D6E-409C-BE32-E72D297353CC}">
              <c16:uniqueId val="{00000000-16EB-BF4D-8020-A8B603B4DB85}"/>
            </c:ext>
          </c:extLst>
        </c:ser>
        <c:ser>
          <c:idx val="1"/>
          <c:order val="1"/>
          <c:tx>
            <c:strRef>
              <c:f>Récapitulatif!$D$289</c:f>
              <c:strCache>
                <c:ptCount val="1"/>
                <c:pt idx="0">
                  <c:v>Émissions (ktCO2e)</c:v>
                </c:pt>
              </c:strCache>
            </c:strRef>
          </c:tx>
          <c:spPr>
            <a:solidFill>
              <a:schemeClr val="accent2"/>
            </a:solidFill>
            <a:ln>
              <a:noFill/>
            </a:ln>
            <a:effectLst/>
          </c:spPr>
          <c:invertIfNegative val="0"/>
          <c:dPt>
            <c:idx val="1"/>
            <c:invertIfNegative val="0"/>
            <c:bubble3D val="0"/>
            <c:spPr>
              <a:solidFill>
                <a:schemeClr val="accent6"/>
              </a:solidFill>
              <a:ln>
                <a:noFill/>
              </a:ln>
              <a:effectLst/>
            </c:spPr>
            <c:extLst>
              <c:ext xmlns:c16="http://schemas.microsoft.com/office/drawing/2014/chart" uri="{C3380CC4-5D6E-409C-BE32-E72D297353CC}">
                <c16:uniqueId val="{00000002-16EB-BF4D-8020-A8B603B4DB85}"/>
              </c:ext>
            </c:extLst>
          </c:dPt>
          <c:dPt>
            <c:idx val="2"/>
            <c:invertIfNegative val="0"/>
            <c:bubble3D val="0"/>
            <c:spPr>
              <a:solidFill>
                <a:schemeClr val="accent6"/>
              </a:solidFill>
              <a:ln>
                <a:noFill/>
              </a:ln>
              <a:effectLst/>
            </c:spPr>
            <c:extLst>
              <c:ext xmlns:c16="http://schemas.microsoft.com/office/drawing/2014/chart" uri="{C3380CC4-5D6E-409C-BE32-E72D297353CC}">
                <c16:uniqueId val="{00000004-16EB-BF4D-8020-A8B603B4DB85}"/>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6-16EB-BF4D-8020-A8B603B4DB85}"/>
              </c:ext>
            </c:extLst>
          </c:dPt>
          <c:dPt>
            <c:idx val="4"/>
            <c:invertIfNegative val="0"/>
            <c:bubble3D val="0"/>
            <c:spPr>
              <a:solidFill>
                <a:schemeClr val="accent6"/>
              </a:solidFill>
              <a:ln>
                <a:noFill/>
              </a:ln>
              <a:effectLst/>
            </c:spPr>
            <c:extLst>
              <c:ext xmlns:c16="http://schemas.microsoft.com/office/drawing/2014/chart" uri="{C3380CC4-5D6E-409C-BE32-E72D297353CC}">
                <c16:uniqueId val="{00000008-16EB-BF4D-8020-A8B603B4DB85}"/>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A-16EB-BF4D-8020-A8B603B4DB85}"/>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C-16EB-BF4D-8020-A8B603B4DB85}"/>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E-16EB-BF4D-8020-A8B603B4DB85}"/>
              </c:ext>
            </c:extLst>
          </c:dPt>
          <c:dPt>
            <c:idx val="8"/>
            <c:invertIfNegative val="0"/>
            <c:bubble3D val="0"/>
            <c:spPr>
              <a:solidFill>
                <a:schemeClr val="accent2"/>
              </a:solidFill>
              <a:ln>
                <a:noFill/>
              </a:ln>
              <a:effectLst/>
            </c:spPr>
            <c:extLst>
              <c:ext xmlns:c16="http://schemas.microsoft.com/office/drawing/2014/chart" uri="{C3380CC4-5D6E-409C-BE32-E72D297353CC}">
                <c16:uniqueId val="{00000010-16EB-BF4D-8020-A8B603B4DB85}"/>
              </c:ext>
            </c:extLst>
          </c:dPt>
          <c:dPt>
            <c:idx val="9"/>
            <c:invertIfNegative val="0"/>
            <c:bubble3D val="0"/>
            <c:spPr>
              <a:solidFill>
                <a:schemeClr val="accent2"/>
              </a:solidFill>
              <a:ln>
                <a:noFill/>
              </a:ln>
              <a:effectLst/>
            </c:spPr>
            <c:extLst>
              <c:ext xmlns:c16="http://schemas.microsoft.com/office/drawing/2014/chart" uri="{C3380CC4-5D6E-409C-BE32-E72D297353CC}">
                <c16:uniqueId val="{00000012-16EB-BF4D-8020-A8B603B4DB85}"/>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6EB-BF4D-8020-A8B603B4DB85}"/>
                </c:ext>
              </c:extLst>
            </c:dLbl>
            <c:dLbl>
              <c:idx val="8"/>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6EB-BF4D-8020-A8B603B4DB8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1"/>
                    </a:solidFill>
                    <a:latin typeface="Poppins" pitchFamily="2" charset="77"/>
                    <a:ea typeface="+mn-ea"/>
                    <a:cs typeface="Poppins" pitchFamily="2" charset="77"/>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Récapitulatif!$B$318:$B$326</c:f>
              <c:strCache>
                <c:ptCount val="9"/>
                <c:pt idx="0">
                  <c:v>Émissions en 2022 </c:v>
                </c:pt>
                <c:pt idx="1">
                  <c:v>Construction et entretien des infras.</c:v>
                </c:pt>
                <c:pt idx="2">
                  <c:v>Consommation d'énergie des infras.</c:v>
                </c:pt>
                <c:pt idx="3">
                  <c:v>Alimentation et boissons</c:v>
                </c:pt>
                <c:pt idx="4">
                  <c:v>Retransmission, déchets et autres</c:v>
                </c:pt>
                <c:pt idx="5">
                  <c:v>Déplacements des équipes et salariés</c:v>
                </c:pt>
                <c:pt idx="6">
                  <c:v>Déplacements des spectateurs</c:v>
                </c:pt>
                <c:pt idx="7">
                  <c:v>Rapprocher et modérer</c:v>
                </c:pt>
                <c:pt idx="8">
                  <c:v>Émissions après transformation 2050</c:v>
                </c:pt>
              </c:strCache>
            </c:strRef>
          </c:cat>
          <c:val>
            <c:numRef>
              <c:f>Récapitulatif!$D$318:$D$326</c:f>
              <c:numCache>
                <c:formatCode>_ * #\ ##0_)_ ;_ * \(#\ ##0\)_ ;_ * "-"??_)_ ;_ @_ </c:formatCode>
                <c:ptCount val="9"/>
                <c:pt idx="0">
                  <c:v>440000</c:v>
                </c:pt>
                <c:pt idx="1">
                  <c:v>17000</c:v>
                </c:pt>
                <c:pt idx="2">
                  <c:v>8000</c:v>
                </c:pt>
                <c:pt idx="3">
                  <c:v>17000</c:v>
                </c:pt>
                <c:pt idx="4">
                  <c:v>13000</c:v>
                </c:pt>
                <c:pt idx="5">
                  <c:v>47000</c:v>
                </c:pt>
                <c:pt idx="6">
                  <c:v>198000</c:v>
                </c:pt>
                <c:pt idx="7">
                  <c:v>65199.999999999985</c:v>
                </c:pt>
                <c:pt idx="8">
                  <c:v>74800.000000000015</c:v>
                </c:pt>
              </c:numCache>
            </c:numRef>
          </c:val>
          <c:extLst>
            <c:ext xmlns:c16="http://schemas.microsoft.com/office/drawing/2014/chart" uri="{C3380CC4-5D6E-409C-BE32-E72D297353CC}">
              <c16:uniqueId val="{00000014-16EB-BF4D-8020-A8B603B4DB85}"/>
            </c:ext>
          </c:extLst>
        </c:ser>
        <c:dLbls>
          <c:showLegendKey val="0"/>
          <c:showVal val="0"/>
          <c:showCatName val="0"/>
          <c:showSerName val="0"/>
          <c:showPercent val="0"/>
          <c:showBubbleSize val="0"/>
        </c:dLbls>
        <c:gapWidth val="10"/>
        <c:overlap val="100"/>
        <c:axId val="1939745455"/>
        <c:axId val="1939052191"/>
      </c:barChart>
      <c:catAx>
        <c:axId val="193974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solidFill>
                <a:latin typeface="Poppins" pitchFamily="2" charset="77"/>
                <a:ea typeface="+mn-ea"/>
                <a:cs typeface="Poppins" pitchFamily="2" charset="77"/>
              </a:defRPr>
            </a:pPr>
            <a:endParaRPr lang="fr-FR"/>
          </a:p>
        </c:txPr>
        <c:crossAx val="1939052191"/>
        <c:crosses val="autoZero"/>
        <c:auto val="1"/>
        <c:lblAlgn val="ctr"/>
        <c:lblOffset val="100"/>
        <c:noMultiLvlLbl val="0"/>
      </c:catAx>
      <c:valAx>
        <c:axId val="1939052191"/>
        <c:scaling>
          <c:orientation val="minMax"/>
          <c:max val="450000"/>
        </c:scaling>
        <c:delete val="0"/>
        <c:axPos val="l"/>
        <c:numFmt formatCode="_ * #\ ##0_)_ ;_ *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accent1"/>
                </a:solidFill>
                <a:latin typeface="Poppins" pitchFamily="2" charset="77"/>
                <a:ea typeface="+mn-ea"/>
                <a:cs typeface="Poppins" pitchFamily="2" charset="77"/>
              </a:defRPr>
            </a:pPr>
            <a:endParaRPr lang="fr-FR"/>
          </a:p>
        </c:txPr>
        <c:crossAx val="1939745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Récapitulatif!$C$289</c:f>
              <c:strCache>
                <c:ptCount val="1"/>
                <c:pt idx="0">
                  <c:v>Négatif </c:v>
                </c:pt>
              </c:strCache>
            </c:strRef>
          </c:tx>
          <c:spPr>
            <a:noFill/>
            <a:ln>
              <a:noFill/>
            </a:ln>
            <a:effectLst/>
          </c:spPr>
          <c:invertIfNegative val="0"/>
          <c:cat>
            <c:strRef>
              <c:f>Récapitulatif!$B$304:$B$313</c:f>
              <c:strCache>
                <c:ptCount val="10"/>
                <c:pt idx="0">
                  <c:v>Émissions en 2022 </c:v>
                </c:pt>
                <c:pt idx="1">
                  <c:v>Construction et entretien des infras.</c:v>
                </c:pt>
                <c:pt idx="2">
                  <c:v>Consommation d'énergie des infras.</c:v>
                </c:pt>
                <c:pt idx="3">
                  <c:v>Alimentation et boissons</c:v>
                </c:pt>
                <c:pt idx="4">
                  <c:v>Retransmission, déchets et autres</c:v>
                </c:pt>
                <c:pt idx="5">
                  <c:v>Déplacements des équipes et salariés</c:v>
                </c:pt>
                <c:pt idx="6">
                  <c:v>Déplacements des spectateurs</c:v>
                </c:pt>
                <c:pt idx="7">
                  <c:v>Émissions après transformation 2050</c:v>
                </c:pt>
                <c:pt idx="8">
                  <c:v>Rapprocher et modérer</c:v>
                </c:pt>
                <c:pt idx="9">
                  <c:v>Émissions après transformation 2050</c:v>
                </c:pt>
              </c:strCache>
            </c:strRef>
          </c:cat>
          <c:val>
            <c:numRef>
              <c:f>Récapitulatif!$C$304:$C$313</c:f>
              <c:numCache>
                <c:formatCode>_ * #\ ##0_)_ ;_ * \(#\ ##0\)_ ;_ * "-"??_)_ ;_ @_ </c:formatCode>
                <c:ptCount val="10"/>
                <c:pt idx="0">
                  <c:v>0</c:v>
                </c:pt>
                <c:pt idx="1">
                  <c:v>423000</c:v>
                </c:pt>
                <c:pt idx="2">
                  <c:v>415000</c:v>
                </c:pt>
                <c:pt idx="3">
                  <c:v>398000</c:v>
                </c:pt>
                <c:pt idx="4">
                  <c:v>385000</c:v>
                </c:pt>
                <c:pt idx="5">
                  <c:v>338000</c:v>
                </c:pt>
                <c:pt idx="6">
                  <c:v>140000</c:v>
                </c:pt>
                <c:pt idx="7">
                  <c:v>0</c:v>
                </c:pt>
                <c:pt idx="8">
                  <c:v>74800.000000000015</c:v>
                </c:pt>
                <c:pt idx="9">
                  <c:v>0</c:v>
                </c:pt>
              </c:numCache>
            </c:numRef>
          </c:val>
          <c:extLst>
            <c:ext xmlns:c16="http://schemas.microsoft.com/office/drawing/2014/chart" uri="{C3380CC4-5D6E-409C-BE32-E72D297353CC}">
              <c16:uniqueId val="{00000000-B823-664A-86A3-0635930C1E87}"/>
            </c:ext>
          </c:extLst>
        </c:ser>
        <c:ser>
          <c:idx val="1"/>
          <c:order val="1"/>
          <c:tx>
            <c:strRef>
              <c:f>Récapitulatif!$D$289</c:f>
              <c:strCache>
                <c:ptCount val="1"/>
                <c:pt idx="0">
                  <c:v>Émissions (ktCO2e)</c:v>
                </c:pt>
              </c:strCache>
            </c:strRef>
          </c:tx>
          <c:spPr>
            <a:solidFill>
              <a:schemeClr val="accent2"/>
            </a:solidFill>
            <a:ln>
              <a:noFill/>
            </a:ln>
            <a:effectLst/>
          </c:spPr>
          <c:invertIfNegative val="0"/>
          <c:dPt>
            <c:idx val="1"/>
            <c:invertIfNegative val="0"/>
            <c:bubble3D val="0"/>
            <c:spPr>
              <a:solidFill>
                <a:schemeClr val="accent6"/>
              </a:solidFill>
              <a:ln>
                <a:noFill/>
              </a:ln>
              <a:effectLst/>
            </c:spPr>
            <c:extLst>
              <c:ext xmlns:c16="http://schemas.microsoft.com/office/drawing/2014/chart" uri="{C3380CC4-5D6E-409C-BE32-E72D297353CC}">
                <c16:uniqueId val="{00000002-B823-664A-86A3-0635930C1E87}"/>
              </c:ext>
            </c:extLst>
          </c:dPt>
          <c:dPt>
            <c:idx val="2"/>
            <c:invertIfNegative val="0"/>
            <c:bubble3D val="0"/>
            <c:spPr>
              <a:solidFill>
                <a:schemeClr val="accent6"/>
              </a:solidFill>
              <a:ln>
                <a:noFill/>
              </a:ln>
              <a:effectLst/>
            </c:spPr>
            <c:extLst>
              <c:ext xmlns:c16="http://schemas.microsoft.com/office/drawing/2014/chart" uri="{C3380CC4-5D6E-409C-BE32-E72D297353CC}">
                <c16:uniqueId val="{00000004-B823-664A-86A3-0635930C1E87}"/>
              </c:ext>
            </c:extLst>
          </c:dPt>
          <c:dPt>
            <c:idx val="3"/>
            <c:invertIfNegative val="0"/>
            <c:bubble3D val="0"/>
            <c:spPr>
              <a:solidFill>
                <a:schemeClr val="accent6"/>
              </a:solidFill>
              <a:ln>
                <a:noFill/>
              </a:ln>
              <a:effectLst/>
            </c:spPr>
            <c:extLst>
              <c:ext xmlns:c16="http://schemas.microsoft.com/office/drawing/2014/chart" uri="{C3380CC4-5D6E-409C-BE32-E72D297353CC}">
                <c16:uniqueId val="{00000006-B823-664A-86A3-0635930C1E87}"/>
              </c:ext>
            </c:extLst>
          </c:dPt>
          <c:dPt>
            <c:idx val="4"/>
            <c:invertIfNegative val="0"/>
            <c:bubble3D val="0"/>
            <c:spPr>
              <a:solidFill>
                <a:schemeClr val="accent6"/>
              </a:solidFill>
              <a:ln>
                <a:noFill/>
              </a:ln>
              <a:effectLst/>
            </c:spPr>
            <c:extLst>
              <c:ext xmlns:c16="http://schemas.microsoft.com/office/drawing/2014/chart" uri="{C3380CC4-5D6E-409C-BE32-E72D297353CC}">
                <c16:uniqueId val="{00000008-B823-664A-86A3-0635930C1E87}"/>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A-B823-664A-86A3-0635930C1E87}"/>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C-B823-664A-86A3-0635930C1E87}"/>
              </c:ext>
            </c:extLst>
          </c:dPt>
          <c:dPt>
            <c:idx val="7"/>
            <c:invertIfNegative val="0"/>
            <c:bubble3D val="0"/>
            <c:spPr>
              <a:solidFill>
                <a:schemeClr val="accent2"/>
              </a:solidFill>
              <a:ln>
                <a:noFill/>
              </a:ln>
              <a:effectLst/>
            </c:spPr>
            <c:extLst>
              <c:ext xmlns:c16="http://schemas.microsoft.com/office/drawing/2014/chart" uri="{C3380CC4-5D6E-409C-BE32-E72D297353CC}">
                <c16:uniqueId val="{0000000E-B823-664A-86A3-0635930C1E87}"/>
              </c:ext>
            </c:extLst>
          </c:dPt>
          <c:dPt>
            <c:idx val="8"/>
            <c:invertIfNegative val="0"/>
            <c:bubble3D val="0"/>
            <c:spPr>
              <a:solidFill>
                <a:schemeClr val="accent1"/>
              </a:solidFill>
              <a:ln>
                <a:noFill/>
              </a:ln>
              <a:effectLst/>
            </c:spPr>
            <c:extLst>
              <c:ext xmlns:c16="http://schemas.microsoft.com/office/drawing/2014/chart" uri="{C3380CC4-5D6E-409C-BE32-E72D297353CC}">
                <c16:uniqueId val="{00000010-B823-664A-86A3-0635930C1E87}"/>
              </c:ext>
            </c:extLst>
          </c:dPt>
          <c:dPt>
            <c:idx val="9"/>
            <c:invertIfNegative val="0"/>
            <c:bubble3D val="0"/>
            <c:spPr>
              <a:solidFill>
                <a:schemeClr val="accent2"/>
              </a:solidFill>
              <a:ln>
                <a:noFill/>
              </a:ln>
              <a:effectLst/>
            </c:spPr>
            <c:extLst>
              <c:ext xmlns:c16="http://schemas.microsoft.com/office/drawing/2014/chart" uri="{C3380CC4-5D6E-409C-BE32-E72D297353CC}">
                <c16:uniqueId val="{00000012-B823-664A-86A3-0635930C1E87}"/>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23-664A-86A3-0635930C1E8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23-664A-86A3-0635930C1E87}"/>
                </c:ext>
              </c:extLst>
            </c:dLbl>
            <c:dLbl>
              <c:idx val="9"/>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23-664A-86A3-0635930C1E87}"/>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1"/>
                    </a:solidFill>
                    <a:latin typeface="Poppins" pitchFamily="2" charset="77"/>
                    <a:ea typeface="+mn-ea"/>
                    <a:cs typeface="Poppins" pitchFamily="2" charset="77"/>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Récapitulatif!$B$304:$B$313</c:f>
              <c:strCache>
                <c:ptCount val="10"/>
                <c:pt idx="0">
                  <c:v>Émissions en 2022 </c:v>
                </c:pt>
                <c:pt idx="1">
                  <c:v>Construction et entretien des infras.</c:v>
                </c:pt>
                <c:pt idx="2">
                  <c:v>Consommation d'énergie des infras.</c:v>
                </c:pt>
                <c:pt idx="3">
                  <c:v>Alimentation et boissons</c:v>
                </c:pt>
                <c:pt idx="4">
                  <c:v>Retransmission, déchets et autres</c:v>
                </c:pt>
                <c:pt idx="5">
                  <c:v>Déplacements des équipes et salariés</c:v>
                </c:pt>
                <c:pt idx="6">
                  <c:v>Déplacements des spectateurs</c:v>
                </c:pt>
                <c:pt idx="7">
                  <c:v>Émissions après transformation 2050</c:v>
                </c:pt>
                <c:pt idx="8">
                  <c:v>Rapprocher et modérer</c:v>
                </c:pt>
                <c:pt idx="9">
                  <c:v>Émissions après transformation 2050</c:v>
                </c:pt>
              </c:strCache>
            </c:strRef>
          </c:cat>
          <c:val>
            <c:numRef>
              <c:f>Récapitulatif!$D$304:$D$313</c:f>
              <c:numCache>
                <c:formatCode>_ * #\ ##0_)_ ;_ * \(#\ ##0\)_ ;_ * "-"??_)_ ;_ @_ </c:formatCode>
                <c:ptCount val="10"/>
                <c:pt idx="0">
                  <c:v>440000</c:v>
                </c:pt>
                <c:pt idx="1">
                  <c:v>17000</c:v>
                </c:pt>
                <c:pt idx="2">
                  <c:v>8000</c:v>
                </c:pt>
                <c:pt idx="3">
                  <c:v>17000</c:v>
                </c:pt>
                <c:pt idx="4">
                  <c:v>13000</c:v>
                </c:pt>
                <c:pt idx="5">
                  <c:v>47000</c:v>
                </c:pt>
                <c:pt idx="6">
                  <c:v>198000</c:v>
                </c:pt>
                <c:pt idx="7">
                  <c:v>144000</c:v>
                </c:pt>
                <c:pt idx="8">
                  <c:v>65199.999999999985</c:v>
                </c:pt>
                <c:pt idx="9">
                  <c:v>74800.000000000015</c:v>
                </c:pt>
              </c:numCache>
            </c:numRef>
          </c:val>
          <c:extLst>
            <c:ext xmlns:c16="http://schemas.microsoft.com/office/drawing/2014/chart" uri="{C3380CC4-5D6E-409C-BE32-E72D297353CC}">
              <c16:uniqueId val="{00000014-B823-664A-86A3-0635930C1E87}"/>
            </c:ext>
          </c:extLst>
        </c:ser>
        <c:dLbls>
          <c:showLegendKey val="0"/>
          <c:showVal val="0"/>
          <c:showCatName val="0"/>
          <c:showSerName val="0"/>
          <c:showPercent val="0"/>
          <c:showBubbleSize val="0"/>
        </c:dLbls>
        <c:gapWidth val="10"/>
        <c:overlap val="100"/>
        <c:axId val="1939745455"/>
        <c:axId val="1939052191"/>
      </c:barChart>
      <c:catAx>
        <c:axId val="193974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solidFill>
                <a:latin typeface="Poppins" pitchFamily="2" charset="77"/>
                <a:ea typeface="+mn-ea"/>
                <a:cs typeface="Poppins" pitchFamily="2" charset="77"/>
              </a:defRPr>
            </a:pPr>
            <a:endParaRPr lang="fr-FR"/>
          </a:p>
        </c:txPr>
        <c:crossAx val="1939052191"/>
        <c:crosses val="autoZero"/>
        <c:auto val="1"/>
        <c:lblAlgn val="ctr"/>
        <c:lblOffset val="100"/>
        <c:noMultiLvlLbl val="0"/>
      </c:catAx>
      <c:valAx>
        <c:axId val="1939052191"/>
        <c:scaling>
          <c:orientation val="minMax"/>
          <c:max val="450000"/>
        </c:scaling>
        <c:delete val="0"/>
        <c:axPos val="l"/>
        <c:numFmt formatCode="_ * #\ ##0_)_ ;_ *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accent1"/>
                </a:solidFill>
                <a:latin typeface="Poppins" pitchFamily="2" charset="77"/>
                <a:ea typeface="+mn-ea"/>
                <a:cs typeface="Poppins" pitchFamily="2" charset="77"/>
              </a:defRPr>
            </a:pPr>
            <a:endParaRPr lang="fr-FR"/>
          </a:p>
        </c:txPr>
        <c:crossAx val="1939745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spc="0" baseline="0">
                <a:solidFill>
                  <a:srgbClr val="00005A"/>
                </a:solidFill>
                <a:latin typeface="+mn-lt"/>
                <a:ea typeface="+mn-ea"/>
                <a:cs typeface="+mn-cs"/>
              </a:defRPr>
            </a:pPr>
            <a:r>
              <a:rPr lang="fr-FR" b="1">
                <a:solidFill>
                  <a:srgbClr val="00005A"/>
                </a:solidFill>
              </a:rPr>
              <a:t>Graphique 1 : Relation entre la capacité du stade et la consommation d'électricité </a:t>
            </a:r>
            <a:endParaRPr lang="fr-FR"/>
          </a:p>
        </c:rich>
      </c:tx>
      <c:overlay val="0"/>
      <c:spPr>
        <a:prstGeom prst="rect">
          <a:avLst/>
        </a:prstGeom>
        <a:noFill/>
        <a:ln>
          <a:noFill/>
        </a:ln>
        <a:effectLst/>
      </c:spPr>
      <c:txPr>
        <a:bodyPr rot="0" spcFirstLastPara="1" vertOverflow="ellipsis" vert="horz" wrap="square" anchor="ctr" anchorCtr="1"/>
        <a:lstStyle/>
        <a:p>
          <a:pPr>
            <a:defRPr sz="1400" b="1" i="0" u="none" strike="noStrike" spc="0" baseline="0">
              <a:solidFill>
                <a:srgbClr val="00005A"/>
              </a:solidFill>
              <a:latin typeface="+mn-lt"/>
              <a:ea typeface="+mn-ea"/>
              <a:cs typeface="+mn-cs"/>
            </a:defRPr>
          </a:pPr>
          <a:endParaRPr lang="fr-FR"/>
        </a:p>
      </c:txPr>
    </c:title>
    <c:autoTitleDeleted val="0"/>
    <c:plotArea>
      <c:layout/>
      <c:scatterChart>
        <c:scatterStyle val="lineMarker"/>
        <c:varyColors val="0"/>
        <c:ser>
          <c:idx val="0"/>
          <c:order val="0"/>
          <c:spPr bwMode="auto">
            <a:prstGeom prst="rect">
              <a:avLst/>
            </a:prstGeom>
            <a:ln w="19050" cap="rnd">
              <a:noFill/>
              <a:round/>
            </a:ln>
            <a:effectLst/>
          </c:spPr>
          <c:marker>
            <c:symbol val="circle"/>
            <c:size val="5"/>
            <c:spPr bwMode="auto">
              <a:prstGeom prst="rect">
                <a:avLst/>
              </a:prstGeom>
              <a:solidFill>
                <a:schemeClr val="accent1"/>
              </a:solidFill>
              <a:ln w="9525">
                <a:solidFill>
                  <a:schemeClr val="accent1"/>
                </a:solidFill>
              </a:ln>
              <a:effectLst/>
            </c:spPr>
          </c:marker>
          <c:trendline>
            <c:spPr bwMode="auto">
              <a:prstGeom prst="rect">
                <a:avLst/>
              </a:prstGeom>
              <a:ln w="19050" cap="rnd">
                <a:solidFill>
                  <a:schemeClr val="accent1"/>
                </a:solidFill>
                <a:prstDash val="sysDot"/>
              </a:ln>
              <a:effectLst/>
            </c:spPr>
            <c:trendlineType val="exp"/>
            <c:dispRSqr val="1"/>
            <c:dispEq val="1"/>
            <c:trendlineLbl>
              <c:numFmt formatCode="General" sourceLinked="0"/>
              <c:spPr>
                <a:prstGeom prst="rect">
                  <a:avLst/>
                </a:prstGeom>
                <a:noFill/>
                <a:ln>
                  <a:noFill/>
                </a:ln>
                <a:effectLst/>
              </c:spPr>
              <c:txPr>
                <a:bodyPr rot="0" spcFirstLastPara="1" vertOverflow="ellipsis" vert="horz" wrap="square" anchor="ctr" anchorCtr="1"/>
                <a:lstStyle/>
                <a:p>
                  <a:pPr>
                    <a:defRPr sz="900" b="0" i="0" u="none" strike="noStrike" baseline="0">
                      <a:solidFill>
                        <a:srgbClr val="00005A"/>
                      </a:solidFill>
                      <a:latin typeface="+mn-lt"/>
                      <a:ea typeface="+mn-ea"/>
                      <a:cs typeface="+mn-cs"/>
                    </a:defRPr>
                  </a:pPr>
                  <a:endParaRPr lang="fr-FR"/>
                </a:p>
              </c:txPr>
            </c:trendlineLbl>
          </c:trendline>
          <c:xVal>
            <c:numRef>
              <c:f>'6'!$C$61:$C$98</c:f>
            </c:numRef>
          </c:xVal>
          <c:yVal>
            <c:numRef>
              <c:f>'6'!$D$61:$D$98</c:f>
            </c:numRef>
          </c:yVal>
          <c:smooth val="0"/>
          <c:extLst>
            <c:ext xmlns:c16="http://schemas.microsoft.com/office/drawing/2014/chart" uri="{C3380CC4-5D6E-409C-BE32-E72D297353CC}">
              <c16:uniqueId val="{00000001-EBDE-47B0-88B9-214BC5CB00D6}"/>
            </c:ext>
          </c:extLst>
        </c:ser>
        <c:dLbls>
          <c:showLegendKey val="0"/>
          <c:showVal val="0"/>
          <c:showCatName val="0"/>
          <c:showSerName val="0"/>
          <c:showPercent val="0"/>
          <c:showBubbleSize val="0"/>
        </c:dLbls>
        <c:axId val="44911216"/>
        <c:axId val="64901712"/>
      </c:scatterChart>
      <c:valAx>
        <c:axId val="44911216"/>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_ * #,##0_)_ ;_ * \(#,##0\)_ ;_ * &quot;-&quot;??_)_ ;_ @_ " sourceLinked="1"/>
        <c:majorTickMark val="none"/>
        <c:minorTickMark val="none"/>
        <c:tickLblPos val="nextTo"/>
        <c:spPr bwMode="auto">
          <a:prstGeom prst="rect">
            <a:avLst/>
          </a:prstGeom>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baseline="0">
                <a:solidFill>
                  <a:srgbClr val="00005A"/>
                </a:solidFill>
                <a:latin typeface="+mn-lt"/>
                <a:ea typeface="+mn-ea"/>
                <a:cs typeface="+mn-cs"/>
              </a:defRPr>
            </a:pPr>
            <a:endParaRPr lang="fr-FR"/>
          </a:p>
        </c:txPr>
        <c:crossAx val="64901712"/>
        <c:crosses val="autoZero"/>
        <c:crossBetween val="midCat"/>
      </c:valAx>
      <c:valAx>
        <c:axId val="6490171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 #,##0_)_ ;_ * \(#,##0\)_ ;_ * &quot;-&quot;??_)_ ;_ @_ " sourceLinked="1"/>
        <c:majorTickMark val="none"/>
        <c:minorTickMark val="none"/>
        <c:tickLblPos val="nextTo"/>
        <c:spPr bwMode="auto">
          <a:prstGeom prst="rect">
            <a:avLst/>
          </a:prstGeom>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baseline="0">
                <a:solidFill>
                  <a:srgbClr val="00005A"/>
                </a:solidFill>
                <a:latin typeface="+mn-lt"/>
                <a:ea typeface="+mn-ea"/>
                <a:cs typeface="+mn-cs"/>
              </a:defRPr>
            </a:pPr>
            <a:endParaRPr lang="fr-FR"/>
          </a:p>
        </c:txPr>
        <c:crossAx val="44911216"/>
        <c:crosses val="autoZero"/>
        <c:crossBetween val="midCat"/>
      </c:valAx>
      <c:spPr>
        <a:prstGeom prst="rect">
          <a:avLst/>
        </a:prstGeom>
        <a:noFill/>
        <a:ln>
          <a:noFill/>
        </a:ln>
        <a:effectLst/>
      </c:spPr>
    </c:plotArea>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spc="0" baseline="0">
                <a:solidFill>
                  <a:srgbClr val="00005A"/>
                </a:solidFill>
                <a:latin typeface="+mn-lt"/>
                <a:ea typeface="+mn-ea"/>
                <a:cs typeface="+mn-cs"/>
              </a:defRPr>
            </a:pPr>
            <a:r>
              <a:rPr lang="fr-FR" b="1">
                <a:solidFill>
                  <a:srgbClr val="00005A"/>
                </a:solidFill>
              </a:rPr>
              <a:t>Graphique 2 : Relation entre la capacité du stade et la consommation d'électricité </a:t>
            </a:r>
            <a:endParaRPr lang="fr-FR"/>
          </a:p>
        </c:rich>
      </c:tx>
      <c:overlay val="0"/>
      <c:spPr>
        <a:prstGeom prst="rect">
          <a:avLst/>
        </a:prstGeom>
        <a:noFill/>
        <a:ln>
          <a:noFill/>
        </a:ln>
        <a:effectLst/>
      </c:spPr>
      <c:txPr>
        <a:bodyPr rot="0" spcFirstLastPara="1" vertOverflow="ellipsis" vert="horz" wrap="square" anchor="ctr" anchorCtr="1"/>
        <a:lstStyle/>
        <a:p>
          <a:pPr>
            <a:defRPr sz="1400" b="1" i="0" u="none" strike="noStrike" spc="0" baseline="0">
              <a:solidFill>
                <a:srgbClr val="00005A"/>
              </a:solidFill>
              <a:latin typeface="+mn-lt"/>
              <a:ea typeface="+mn-ea"/>
              <a:cs typeface="+mn-cs"/>
            </a:defRPr>
          </a:pPr>
          <a:endParaRPr lang="fr-FR"/>
        </a:p>
      </c:txPr>
    </c:title>
    <c:autoTitleDeleted val="0"/>
    <c:plotArea>
      <c:layout/>
      <c:scatterChart>
        <c:scatterStyle val="lineMarker"/>
        <c:varyColors val="0"/>
        <c:ser>
          <c:idx val="0"/>
          <c:order val="0"/>
          <c:spPr bwMode="auto">
            <a:prstGeom prst="rect">
              <a:avLst/>
            </a:prstGeom>
            <a:ln w="19050" cap="rnd">
              <a:noFill/>
              <a:round/>
            </a:ln>
            <a:effectLst/>
          </c:spPr>
          <c:marker>
            <c:symbol val="circle"/>
            <c:size val="5"/>
            <c:spPr bwMode="auto">
              <a:prstGeom prst="rect">
                <a:avLst/>
              </a:prstGeom>
              <a:solidFill>
                <a:schemeClr val="accent1"/>
              </a:solidFill>
              <a:ln w="9525">
                <a:solidFill>
                  <a:schemeClr val="accent1"/>
                </a:solidFill>
              </a:ln>
              <a:effectLst/>
            </c:spPr>
          </c:marker>
          <c:trendline>
            <c:spPr bwMode="auto">
              <a:prstGeom prst="rect">
                <a:avLst/>
              </a:prstGeom>
              <a:ln w="19050" cap="rnd">
                <a:solidFill>
                  <a:schemeClr val="accent1"/>
                </a:solidFill>
                <a:prstDash val="sysDot"/>
              </a:ln>
              <a:effectLst/>
            </c:spPr>
            <c:trendlineType val="poly"/>
            <c:order val="2"/>
            <c:dispRSqr val="1"/>
            <c:dispEq val="1"/>
            <c:trendlineLbl>
              <c:numFmt formatCode="General" sourceLinked="0"/>
              <c:spPr>
                <a:prstGeom prst="rect">
                  <a:avLst/>
                </a:prstGeom>
                <a:noFill/>
                <a:ln>
                  <a:noFill/>
                </a:ln>
                <a:effectLst/>
              </c:spPr>
              <c:txPr>
                <a:bodyPr rot="0" spcFirstLastPara="1" vertOverflow="ellipsis" vert="horz" wrap="square" anchor="ctr" anchorCtr="1"/>
                <a:lstStyle/>
                <a:p>
                  <a:pPr>
                    <a:defRPr sz="900" b="0" i="0" u="none" strike="noStrike" baseline="0">
                      <a:solidFill>
                        <a:srgbClr val="00005A"/>
                      </a:solidFill>
                      <a:latin typeface="+mn-lt"/>
                      <a:ea typeface="+mn-ea"/>
                      <a:cs typeface="+mn-cs"/>
                    </a:defRPr>
                  </a:pPr>
                  <a:endParaRPr lang="fr-FR"/>
                </a:p>
              </c:txPr>
            </c:trendlineLbl>
          </c:trendline>
          <c:xVal>
            <c:numRef>
              <c:f>'6'!$C$61:$C$98</c:f>
            </c:numRef>
          </c:xVal>
          <c:yVal>
            <c:numRef>
              <c:f>'6'!$D$61:$D$98</c:f>
            </c:numRef>
          </c:yVal>
          <c:smooth val="0"/>
          <c:extLst>
            <c:ext xmlns:c16="http://schemas.microsoft.com/office/drawing/2014/chart" uri="{C3380CC4-5D6E-409C-BE32-E72D297353CC}">
              <c16:uniqueId val="{00000001-E75E-4874-909C-BE7598A21A08}"/>
            </c:ext>
          </c:extLst>
        </c:ser>
        <c:dLbls>
          <c:showLegendKey val="0"/>
          <c:showVal val="0"/>
          <c:showCatName val="0"/>
          <c:showSerName val="0"/>
          <c:showPercent val="0"/>
          <c:showBubbleSize val="0"/>
        </c:dLbls>
        <c:axId val="44911216"/>
        <c:axId val="64901712"/>
      </c:scatterChart>
      <c:valAx>
        <c:axId val="44911216"/>
        <c:scaling>
          <c:orientation val="minMax"/>
        </c:scaling>
        <c:delete val="0"/>
        <c:axPos val="b"/>
        <c:majorGridlines>
          <c:spPr bwMode="auto">
            <a:prstGeom prst="rect">
              <a:avLst/>
            </a:prstGeom>
            <a:ln w="9525" cap="flat" cmpd="sng" algn="ctr">
              <a:solidFill>
                <a:schemeClr val="tx1">
                  <a:lumMod val="15000"/>
                  <a:lumOff val="85000"/>
                </a:schemeClr>
              </a:solidFill>
              <a:round/>
            </a:ln>
            <a:effectLst/>
          </c:spPr>
        </c:majorGridlines>
        <c:numFmt formatCode="_ * #,##0_)_ ;_ * \(#,##0\)_ ;_ * &quot;-&quot;??_)_ ;_ @_ " sourceLinked="1"/>
        <c:majorTickMark val="none"/>
        <c:minorTickMark val="none"/>
        <c:tickLblPos val="nextTo"/>
        <c:spPr bwMode="auto">
          <a:prstGeom prst="rect">
            <a:avLst/>
          </a:prstGeom>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baseline="0">
                <a:solidFill>
                  <a:srgbClr val="00005A"/>
                </a:solidFill>
                <a:latin typeface="+mn-lt"/>
                <a:ea typeface="+mn-ea"/>
                <a:cs typeface="+mn-cs"/>
              </a:defRPr>
            </a:pPr>
            <a:endParaRPr lang="fr-FR"/>
          </a:p>
        </c:txPr>
        <c:crossAx val="64901712"/>
        <c:crosses val="autoZero"/>
        <c:crossBetween val="midCat"/>
      </c:valAx>
      <c:valAx>
        <c:axId val="64901712"/>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_ * #,##0_)_ ;_ * \(#,##0\)_ ;_ * &quot;-&quot;??_)_ ;_ @_ " sourceLinked="1"/>
        <c:majorTickMark val="none"/>
        <c:minorTickMark val="none"/>
        <c:tickLblPos val="nextTo"/>
        <c:spPr bwMode="auto">
          <a:prstGeom prst="rect">
            <a:avLst/>
          </a:prstGeom>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baseline="0">
                <a:solidFill>
                  <a:srgbClr val="00005A"/>
                </a:solidFill>
                <a:latin typeface="+mn-lt"/>
                <a:ea typeface="+mn-ea"/>
                <a:cs typeface="+mn-cs"/>
              </a:defRPr>
            </a:pPr>
            <a:endParaRPr lang="fr-FR"/>
          </a:p>
        </c:txPr>
        <c:crossAx val="44911216"/>
        <c:crosses val="autoZero"/>
        <c:crossBetween val="midCat"/>
      </c:valAx>
      <c:spPr>
        <a:prstGeom prst="rect">
          <a:avLst/>
        </a:prstGeom>
        <a:noFill/>
        <a:ln>
          <a:noFill/>
        </a:ln>
        <a:effectLst/>
      </c:spPr>
    </c:plotArea>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85999999999996E-2"/>
          <c:y val="0.14191699999999999"/>
          <c:w val="0.41437499999999999"/>
          <c:h val="0.82849799999999996"/>
        </c:manualLayout>
      </c:layout>
      <c:doughnutChart>
        <c:varyColors val="1"/>
        <c:ser>
          <c:idx val="0"/>
          <c:order val="0"/>
          <c:dPt>
            <c:idx val="0"/>
            <c:bubble3D val="0"/>
            <c:spPr>
              <a:prstGeom prst="rect">
                <a:avLst/>
              </a:prstGeom>
              <a:solidFill>
                <a:srgbClr val="FFDE23"/>
              </a:solidFill>
              <a:ln w="19050">
                <a:solidFill>
                  <a:schemeClr val="lt1"/>
                </a:solidFill>
              </a:ln>
              <a:effectLst/>
            </c:spPr>
            <c:extLst>
              <c:ext xmlns:c16="http://schemas.microsoft.com/office/drawing/2014/chart" uri="{C3380CC4-5D6E-409C-BE32-E72D297353CC}">
                <c16:uniqueId val="{00000001-672F-48D2-A89C-A23EF4CD043A}"/>
              </c:ext>
            </c:extLst>
          </c:dPt>
          <c:dPt>
            <c:idx val="1"/>
            <c:bubble3D val="0"/>
            <c:spPr>
              <a:prstGeom prst="rect">
                <a:avLst/>
              </a:prstGeom>
              <a:solidFill>
                <a:schemeClr val="tx2"/>
              </a:solidFill>
              <a:ln w="19050">
                <a:solidFill>
                  <a:schemeClr val="lt1"/>
                </a:solidFill>
              </a:ln>
              <a:effectLst/>
            </c:spPr>
            <c:extLst>
              <c:ext xmlns:c16="http://schemas.microsoft.com/office/drawing/2014/chart" uri="{C3380CC4-5D6E-409C-BE32-E72D297353CC}">
                <c16:uniqueId val="{00000003-672F-48D2-A89C-A23EF4CD043A}"/>
              </c:ext>
            </c:extLst>
          </c:dPt>
          <c:dPt>
            <c:idx val="2"/>
            <c:bubble3D val="0"/>
            <c:spPr>
              <a:prstGeom prst="rect">
                <a:avLst/>
              </a:prstGeom>
              <a:solidFill>
                <a:schemeClr val="accent6"/>
              </a:solidFill>
              <a:ln w="19050">
                <a:solidFill>
                  <a:schemeClr val="lt1"/>
                </a:solidFill>
              </a:ln>
              <a:effectLst/>
            </c:spPr>
            <c:extLst>
              <c:ext xmlns:c16="http://schemas.microsoft.com/office/drawing/2014/chart" uri="{C3380CC4-5D6E-409C-BE32-E72D297353CC}">
                <c16:uniqueId val="{00000005-672F-48D2-A89C-A23EF4CD043A}"/>
              </c:ext>
            </c:extLst>
          </c:dPt>
          <c:dPt>
            <c:idx val="3"/>
            <c:bubble3D val="0"/>
            <c:spPr>
              <a:prstGeom prst="rect">
                <a:avLst/>
              </a:prstGeom>
              <a:solidFill>
                <a:schemeClr val="accent2"/>
              </a:solidFill>
              <a:ln w="19050">
                <a:solidFill>
                  <a:schemeClr val="lt1"/>
                </a:solidFill>
              </a:ln>
              <a:effectLst/>
            </c:spPr>
            <c:extLst>
              <c:ext xmlns:c16="http://schemas.microsoft.com/office/drawing/2014/chart" uri="{C3380CC4-5D6E-409C-BE32-E72D297353CC}">
                <c16:uniqueId val="{00000007-672F-48D2-A89C-A23EF4CD043A}"/>
              </c:ext>
            </c:extLst>
          </c:dPt>
          <c:dPt>
            <c:idx val="4"/>
            <c:bubble3D val="0"/>
            <c:spPr>
              <a:prstGeom prst="rect">
                <a:avLst/>
              </a:prstGeom>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9-672F-48D2-A89C-A23EF4CD043A}"/>
              </c:ext>
            </c:extLst>
          </c:dPt>
          <c:dLbls>
            <c:dLbl>
              <c:idx val="0"/>
              <c:layout>
                <c:manualLayout>
                  <c:x val="-3.5299700223989073E-3"/>
                  <c:y val="1.71523520618935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F-48D2-A89C-A23EF4CD043A}"/>
                </c:ext>
              </c:extLst>
            </c:dLbl>
            <c:dLbl>
              <c:idx val="1"/>
              <c:layout>
                <c:manualLayout>
                  <c:x val="-8.4002861962287803E-2"/>
                  <c:y val="2.3663617276879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2F-48D2-A89C-A23EF4CD043A}"/>
                </c:ext>
              </c:extLst>
            </c:dLbl>
            <c:dLbl>
              <c:idx val="2"/>
              <c:layout>
                <c:manualLayout>
                  <c:x val="-7.1615564100747764E-2"/>
                  <c:y val="-6.8712560690503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2F-48D2-A89C-A23EF4CD043A}"/>
                </c:ext>
              </c:extLst>
            </c:dLbl>
            <c:dLbl>
              <c:idx val="3"/>
              <c:layout>
                <c:manualLayout>
                  <c:x val="2.5781479342491076E-3"/>
                  <c:y val="-9.659835268900604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2F-48D2-A89C-A23EF4CD043A}"/>
                </c:ext>
              </c:extLst>
            </c:dLbl>
            <c:dLbl>
              <c:idx val="4"/>
              <c:layout>
                <c:manualLayout>
                  <c:x val="0"/>
                  <c:y val="-0.156786000000000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2F-48D2-A89C-A23EF4CD043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accent1"/>
                    </a:solidFill>
                    <a:latin typeface="+mn-lt"/>
                    <a:ea typeface="+mn-ea"/>
                    <a:cs typeface="+mn-cs"/>
                  </a:defRPr>
                </a:pPr>
                <a:endParaRPr lang="fr-FR"/>
              </a:p>
            </c:txPr>
            <c:showLegendKey val="0"/>
            <c:showVal val="1"/>
            <c:showCatName val="0"/>
            <c:showSerName val="0"/>
            <c:showPercent val="0"/>
            <c:showBubbleSize val="0"/>
            <c:showLeaderLines val="1"/>
            <c:leaderLines>
              <c:spPr>
                <a:prstGeom prst="rect">
                  <a:avLst/>
                </a:prstGeom>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multiLvlStrRef>
              <c:f>'6'!$B$113:$B$117</c:f>
            </c:multiLvlStrRef>
          </c:cat>
          <c:val>
            <c:numRef>
              <c:f>'6'!$F$113:$F$117</c:f>
            </c:numRef>
          </c:val>
          <c:extLst>
            <c:ext xmlns:c16="http://schemas.microsoft.com/office/drawing/2014/chart" uri="{C3380CC4-5D6E-409C-BE32-E72D297353CC}">
              <c16:uniqueId val="{0000000A-672F-48D2-A89C-A23EF4CD043A}"/>
            </c:ext>
          </c:extLst>
        </c:ser>
        <c:dLbls>
          <c:showLegendKey val="0"/>
          <c:showVal val="1"/>
          <c:showCatName val="0"/>
          <c:showSerName val="0"/>
          <c:showPercent val="0"/>
          <c:showBubbleSize val="0"/>
          <c:showLeaderLines val="1"/>
        </c:dLbls>
        <c:firstSliceAng val="0"/>
        <c:holeSize val="50"/>
      </c:doughnutChart>
      <c:spPr>
        <a:prstGeom prst="rect">
          <a:avLst/>
        </a:prstGeom>
        <a:noFill/>
        <a:ln>
          <a:noFill/>
        </a:ln>
        <a:effectLst/>
      </c:spPr>
    </c:plotArea>
    <c:plotVisOnly val="1"/>
    <c:dispBlanksAs val="gap"/>
    <c:showDLblsOverMax val="0"/>
  </c:chart>
  <c:spPr>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85999999999996E-2"/>
          <c:y val="0.14191699999999999"/>
          <c:w val="0.41437499999999999"/>
          <c:h val="0.82849799999999996"/>
        </c:manualLayout>
      </c:layout>
      <c:doughnutChart>
        <c:varyColors val="1"/>
        <c:ser>
          <c:idx val="0"/>
          <c:order val="0"/>
          <c:dPt>
            <c:idx val="0"/>
            <c:bubble3D val="0"/>
            <c:spPr>
              <a:prstGeom prst="rect">
                <a:avLst/>
              </a:prstGeom>
              <a:solidFill>
                <a:srgbClr val="FFDE23"/>
              </a:solidFill>
              <a:ln w="19050">
                <a:solidFill>
                  <a:schemeClr val="lt1"/>
                </a:solidFill>
              </a:ln>
              <a:effectLst/>
            </c:spPr>
            <c:extLst>
              <c:ext xmlns:c16="http://schemas.microsoft.com/office/drawing/2014/chart" uri="{C3380CC4-5D6E-409C-BE32-E72D297353CC}">
                <c16:uniqueId val="{00000001-9271-854E-B51E-AE205DCE7D28}"/>
              </c:ext>
            </c:extLst>
          </c:dPt>
          <c:dPt>
            <c:idx val="1"/>
            <c:bubble3D val="0"/>
            <c:spPr>
              <a:prstGeom prst="rect">
                <a:avLst/>
              </a:prstGeom>
              <a:solidFill>
                <a:schemeClr val="tx2"/>
              </a:solidFill>
              <a:ln w="19050">
                <a:solidFill>
                  <a:schemeClr val="lt1"/>
                </a:solidFill>
              </a:ln>
              <a:effectLst/>
            </c:spPr>
            <c:extLst>
              <c:ext xmlns:c16="http://schemas.microsoft.com/office/drawing/2014/chart" uri="{C3380CC4-5D6E-409C-BE32-E72D297353CC}">
                <c16:uniqueId val="{00000003-9271-854E-B51E-AE205DCE7D28}"/>
              </c:ext>
            </c:extLst>
          </c:dPt>
          <c:dPt>
            <c:idx val="2"/>
            <c:bubble3D val="0"/>
            <c:spPr>
              <a:prstGeom prst="rect">
                <a:avLst/>
              </a:prstGeom>
              <a:solidFill>
                <a:schemeClr val="accent6"/>
              </a:solidFill>
              <a:ln w="19050">
                <a:solidFill>
                  <a:schemeClr val="lt1"/>
                </a:solidFill>
              </a:ln>
              <a:effectLst/>
            </c:spPr>
            <c:extLst>
              <c:ext xmlns:c16="http://schemas.microsoft.com/office/drawing/2014/chart" uri="{C3380CC4-5D6E-409C-BE32-E72D297353CC}">
                <c16:uniqueId val="{00000005-9271-854E-B51E-AE205DCE7D28}"/>
              </c:ext>
            </c:extLst>
          </c:dPt>
          <c:dPt>
            <c:idx val="3"/>
            <c:bubble3D val="0"/>
            <c:spPr>
              <a:prstGeom prst="rect">
                <a:avLst/>
              </a:prstGeom>
              <a:solidFill>
                <a:schemeClr val="accent2"/>
              </a:solidFill>
              <a:ln w="19050">
                <a:solidFill>
                  <a:schemeClr val="lt1"/>
                </a:solidFill>
              </a:ln>
              <a:effectLst/>
            </c:spPr>
            <c:extLst>
              <c:ext xmlns:c16="http://schemas.microsoft.com/office/drawing/2014/chart" uri="{C3380CC4-5D6E-409C-BE32-E72D297353CC}">
                <c16:uniqueId val="{00000007-9271-854E-B51E-AE205DCE7D28}"/>
              </c:ext>
            </c:extLst>
          </c:dPt>
          <c:dPt>
            <c:idx val="4"/>
            <c:bubble3D val="0"/>
            <c:spPr>
              <a:prstGeom prst="rect">
                <a:avLst/>
              </a:prstGeom>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9-9271-854E-B51E-AE205DCE7D28}"/>
              </c:ext>
            </c:extLst>
          </c:dPt>
          <c:dLbls>
            <c:dLbl>
              <c:idx val="0"/>
              <c:layout>
                <c:manualLayout>
                  <c:x val="-3.5299700223989073E-3"/>
                  <c:y val="1.71523520618935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1-854E-B51E-AE205DCE7D28}"/>
                </c:ext>
              </c:extLst>
            </c:dLbl>
            <c:dLbl>
              <c:idx val="1"/>
              <c:layout>
                <c:manualLayout>
                  <c:x val="4.1172054379429836E-3"/>
                  <c:y val="4.4636209225522088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2"/>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9271-854E-B51E-AE205DCE7D28}"/>
                </c:ext>
              </c:extLst>
            </c:dLbl>
            <c:dLbl>
              <c:idx val="2"/>
              <c:layout>
                <c:manualLayout>
                  <c:x val="2.7970229437602567E-3"/>
                  <c:y val="-6.3125653385662141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2"/>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9271-854E-B51E-AE205DCE7D28}"/>
                </c:ext>
              </c:extLst>
            </c:dLbl>
            <c:dLbl>
              <c:idx val="3"/>
              <c:layout>
                <c:manualLayout>
                  <c:x val="2.5781479342491076E-3"/>
                  <c:y val="-9.659835268900604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71-854E-B51E-AE205DCE7D28}"/>
                </c:ext>
              </c:extLst>
            </c:dLbl>
            <c:dLbl>
              <c:idx val="4"/>
              <c:layout>
                <c:manualLayout>
                  <c:x val="-3.5775819566992794E-17"/>
                  <c:y val="-2.34892167293758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71-854E-B51E-AE205DCE7D2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tx2"/>
                    </a:solidFill>
                    <a:latin typeface="+mn-lt"/>
                    <a:ea typeface="+mn-ea"/>
                    <a:cs typeface="+mn-cs"/>
                  </a:defRPr>
                </a:pPr>
                <a:endParaRPr lang="fr-FR"/>
              </a:p>
            </c:txPr>
            <c:showLegendKey val="0"/>
            <c:showVal val="1"/>
            <c:showCatName val="0"/>
            <c:showSerName val="0"/>
            <c:showPercent val="0"/>
            <c:showBubbleSize val="0"/>
            <c:showLeaderLines val="1"/>
            <c:leaderLines>
              <c:spPr>
                <a:prstGeom prst="rect">
                  <a:avLst/>
                </a:prstGeom>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rect">
                    <a:avLst/>
                  </a:prstGeom>
                </c15:spPr>
              </c:ext>
            </c:extLst>
          </c:dLbls>
          <c:cat>
            <c:multiLvlStrRef>
              <c:f>'6'!$B$113:$B$117</c:f>
            </c:multiLvlStrRef>
          </c:cat>
          <c:val>
            <c:numRef>
              <c:f>'6'!$H$113:$H$117</c:f>
            </c:numRef>
          </c:val>
          <c:extLst>
            <c:ext xmlns:c16="http://schemas.microsoft.com/office/drawing/2014/chart" uri="{C3380CC4-5D6E-409C-BE32-E72D297353CC}">
              <c16:uniqueId val="{0000000A-9271-854E-B51E-AE205DCE7D28}"/>
            </c:ext>
          </c:extLst>
        </c:ser>
        <c:dLbls>
          <c:showLegendKey val="0"/>
          <c:showVal val="1"/>
          <c:showCatName val="0"/>
          <c:showSerName val="0"/>
          <c:showPercent val="0"/>
          <c:showBubbleSize val="0"/>
          <c:showLeaderLines val="1"/>
        </c:dLbls>
        <c:firstSliceAng val="0"/>
        <c:holeSize val="50"/>
      </c:doughnutChart>
      <c:spPr>
        <a:prstGeom prst="rect">
          <a:avLst/>
        </a:prstGeom>
        <a:noFill/>
        <a:ln>
          <a:noFill/>
        </a:ln>
        <a:effectLst/>
      </c:spPr>
    </c:plotArea>
    <c:legend>
      <c:legendPos val="r"/>
      <c:layout>
        <c:manualLayout>
          <c:xMode val="edge"/>
          <c:yMode val="edge"/>
          <c:x val="0.44768495468406516"/>
          <c:y val="0.16672285562888678"/>
          <c:w val="0.39564598817633334"/>
          <c:h val="0.83313300000000001"/>
        </c:manualLayout>
      </c:layout>
      <c:overlay val="0"/>
      <c:spPr>
        <a:prstGeom prst="rect">
          <a:avLst/>
        </a:prstGeom>
        <a:noFill/>
        <a:ln>
          <a:noFill/>
        </a:ln>
        <a:effectLst/>
      </c:spPr>
      <c:txPr>
        <a:bodyPr rot="0" spcFirstLastPara="1" vertOverflow="ellipsis" vert="horz" wrap="square" anchor="ctr" anchorCtr="1"/>
        <a:lstStyle/>
        <a:p>
          <a:pPr>
            <a:defRPr sz="1100" b="1" i="0" u="none" strike="noStrike" baseline="0">
              <a:solidFill>
                <a:schemeClr val="tx2"/>
              </a:solidFill>
              <a:latin typeface="+mn-lt"/>
              <a:ea typeface="+mn-ea"/>
              <a:cs typeface="+mn-cs"/>
            </a:defRPr>
          </a:pPr>
          <a:endParaRPr lang="fr-FR"/>
        </a:p>
      </c:txPr>
    </c:legend>
    <c:plotVisOnly val="1"/>
    <c:dispBlanksAs val="gap"/>
    <c:showDLblsOverMax val="0"/>
  </c:chart>
  <c:spPr>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34935199816017E-2"/>
          <c:y val="0.18817705053190001"/>
          <c:w val="0.9263047042900332"/>
          <c:h val="0.72843148033034488"/>
        </c:manualLayout>
      </c:layout>
      <c:barChart>
        <c:barDir val="col"/>
        <c:grouping val="stacked"/>
        <c:varyColors val="0"/>
        <c:ser>
          <c:idx val="0"/>
          <c:order val="0"/>
          <c:tx>
            <c:strRef>
              <c:f>Récapitulatif!$C$133</c:f>
              <c:strCache>
                <c:ptCount val="1"/>
                <c:pt idx="0">
                  <c:v>Négatif </c:v>
                </c:pt>
              </c:strCache>
            </c:strRef>
          </c:tx>
          <c:spPr>
            <a:solidFill>
              <a:srgbClr val="00005A">
                <a:alpha val="0"/>
              </a:srgbClr>
            </a:solidFill>
            <a:ln>
              <a:noFill/>
            </a:ln>
            <a:effectLst/>
          </c:spPr>
          <c:invertIfNegative val="0"/>
          <c:cat>
            <c:strRef>
              <c:f>Récapitulatif!$B$134:$B$144</c:f>
              <c:strCache>
                <c:ptCount val="11"/>
                <c:pt idx="0">
                  <c:v>Émissions en 2022 </c:v>
                </c:pt>
                <c:pt idx="1">
                  <c:v>Déplacement des spectateurs </c:v>
                </c:pt>
                <c:pt idx="2">
                  <c:v>Transport des équipes </c:v>
                </c:pt>
                <c:pt idx="3">
                  <c:v>Déplacement des salariés</c:v>
                </c:pt>
                <c:pt idx="4">
                  <c:v>Immobilisations</c:v>
                </c:pt>
                <c:pt idx="5">
                  <c:v>Alimentation et boissons</c:v>
                </c:pt>
                <c:pt idx="6">
                  <c:v>Consommation d'énergie</c:v>
                </c:pt>
                <c:pt idx="7">
                  <c:v>Retransmission </c:v>
                </c:pt>
                <c:pt idx="8">
                  <c:v>Autres </c:v>
                </c:pt>
                <c:pt idx="9">
                  <c:v>Déchets </c:v>
                </c:pt>
                <c:pt idx="10">
                  <c:v>Émissions 2050 après transformation</c:v>
                </c:pt>
              </c:strCache>
            </c:strRef>
          </c:cat>
          <c:val>
            <c:numRef>
              <c:f>Récapitulatif!$C$134:$C$144</c:f>
              <c:numCache>
                <c:formatCode>_ * #\ ##0_)\ _€_ ;_ * \(#\ ##0\)\ _€_ ;_ * "-"??_)\ _€_ ;_ @_ </c:formatCode>
                <c:ptCount val="11"/>
                <c:pt idx="1">
                  <c:v>186727.59760503139</c:v>
                </c:pt>
                <c:pt idx="2">
                  <c:v>156656.60255837301</c:v>
                </c:pt>
                <c:pt idx="3">
                  <c:v>137050.25001049522</c:v>
                </c:pt>
                <c:pt idx="4">
                  <c:v>120368.52706365148</c:v>
                </c:pt>
                <c:pt idx="5">
                  <c:v>103676.76459204688</c:v>
                </c:pt>
                <c:pt idx="6">
                  <c:v>95356.764592046879</c:v>
                </c:pt>
                <c:pt idx="7">
                  <c:v>86862.743719464095</c:v>
                </c:pt>
                <c:pt idx="8">
                  <c:v>84100.135417161699</c:v>
                </c:pt>
                <c:pt idx="9">
                  <c:v>82452.553466873753</c:v>
                </c:pt>
              </c:numCache>
            </c:numRef>
          </c:val>
          <c:extLst>
            <c:ext xmlns:c16="http://schemas.microsoft.com/office/drawing/2014/chart" uri="{C3380CC4-5D6E-409C-BE32-E72D297353CC}">
              <c16:uniqueId val="{00000000-F3FB-8641-9804-65F7D56AF5F1}"/>
            </c:ext>
          </c:extLst>
        </c:ser>
        <c:ser>
          <c:idx val="1"/>
          <c:order val="1"/>
          <c:tx>
            <c:strRef>
              <c:f>Récapitulatif!$D$133</c:f>
              <c:strCache>
                <c:ptCount val="1"/>
                <c:pt idx="0">
                  <c:v>Émissions (ktCO2e)</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2-F3FB-8641-9804-65F7D56AF5F1}"/>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4-F3FB-8641-9804-65F7D56AF5F1}"/>
              </c:ext>
            </c:extLst>
          </c:dPt>
          <c:dPt>
            <c:idx val="2"/>
            <c:invertIfNegative val="0"/>
            <c:bubble3D val="0"/>
            <c:spPr>
              <a:solidFill>
                <a:schemeClr val="accent5"/>
              </a:solidFill>
              <a:ln>
                <a:noFill/>
              </a:ln>
              <a:effectLst/>
            </c:spPr>
            <c:extLst>
              <c:ext xmlns:c16="http://schemas.microsoft.com/office/drawing/2014/chart" uri="{C3380CC4-5D6E-409C-BE32-E72D297353CC}">
                <c16:uniqueId val="{00000006-F3FB-8641-9804-65F7D56AF5F1}"/>
              </c:ext>
            </c:extLst>
          </c:dPt>
          <c:dPt>
            <c:idx val="3"/>
            <c:invertIfNegative val="0"/>
            <c:bubble3D val="0"/>
            <c:spPr>
              <a:solidFill>
                <a:schemeClr val="accent5"/>
              </a:solidFill>
              <a:ln>
                <a:noFill/>
              </a:ln>
              <a:effectLst/>
            </c:spPr>
            <c:extLst>
              <c:ext xmlns:c16="http://schemas.microsoft.com/office/drawing/2014/chart" uri="{C3380CC4-5D6E-409C-BE32-E72D297353CC}">
                <c16:uniqueId val="{00000008-F3FB-8641-9804-65F7D56AF5F1}"/>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A-F3FB-8641-9804-65F7D56AF5F1}"/>
              </c:ext>
            </c:extLst>
          </c:dPt>
          <c:dPt>
            <c:idx val="5"/>
            <c:invertIfNegative val="0"/>
            <c:bubble3D val="0"/>
            <c:spPr>
              <a:solidFill>
                <a:schemeClr val="accent5"/>
              </a:solidFill>
              <a:ln>
                <a:noFill/>
              </a:ln>
              <a:effectLst/>
            </c:spPr>
            <c:extLst>
              <c:ext xmlns:c16="http://schemas.microsoft.com/office/drawing/2014/chart" uri="{C3380CC4-5D6E-409C-BE32-E72D297353CC}">
                <c16:uniqueId val="{0000000C-F3FB-8641-9804-65F7D56AF5F1}"/>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E-F3FB-8641-9804-65F7D56AF5F1}"/>
              </c:ext>
            </c:extLst>
          </c:dPt>
          <c:dPt>
            <c:idx val="7"/>
            <c:invertIfNegative val="0"/>
            <c:bubble3D val="0"/>
            <c:spPr>
              <a:solidFill>
                <a:schemeClr val="accent5"/>
              </a:solidFill>
              <a:ln>
                <a:noFill/>
              </a:ln>
              <a:effectLst/>
            </c:spPr>
            <c:extLst>
              <c:ext xmlns:c16="http://schemas.microsoft.com/office/drawing/2014/chart" uri="{C3380CC4-5D6E-409C-BE32-E72D297353CC}">
                <c16:uniqueId val="{00000010-F3FB-8641-9804-65F7D56AF5F1}"/>
              </c:ext>
            </c:extLst>
          </c:dPt>
          <c:dPt>
            <c:idx val="8"/>
            <c:invertIfNegative val="0"/>
            <c:bubble3D val="0"/>
            <c:spPr>
              <a:solidFill>
                <a:schemeClr val="accent5"/>
              </a:solidFill>
              <a:ln>
                <a:noFill/>
              </a:ln>
              <a:effectLst/>
            </c:spPr>
            <c:extLst>
              <c:ext xmlns:c16="http://schemas.microsoft.com/office/drawing/2014/chart" uri="{C3380CC4-5D6E-409C-BE32-E72D297353CC}">
                <c16:uniqueId val="{00000012-F3FB-8641-9804-65F7D56AF5F1}"/>
              </c:ext>
            </c:extLst>
          </c:dPt>
          <c:dPt>
            <c:idx val="9"/>
            <c:invertIfNegative val="0"/>
            <c:bubble3D val="0"/>
            <c:spPr>
              <a:solidFill>
                <a:schemeClr val="accent5"/>
              </a:solidFill>
              <a:ln>
                <a:noFill/>
              </a:ln>
              <a:effectLst/>
            </c:spPr>
            <c:extLst>
              <c:ext xmlns:c16="http://schemas.microsoft.com/office/drawing/2014/chart" uri="{C3380CC4-5D6E-409C-BE32-E72D297353CC}">
                <c16:uniqueId val="{00000014-F3FB-8641-9804-65F7D56AF5F1}"/>
              </c:ext>
            </c:extLst>
          </c:dPt>
          <c:dPt>
            <c:idx val="10"/>
            <c:invertIfNegative val="0"/>
            <c:bubble3D val="0"/>
            <c:spPr>
              <a:solidFill>
                <a:schemeClr val="tx2"/>
              </a:solidFill>
              <a:ln>
                <a:noFill/>
              </a:ln>
              <a:effectLst/>
            </c:spPr>
            <c:extLst>
              <c:ext xmlns:c16="http://schemas.microsoft.com/office/drawing/2014/chart" uri="{C3380CC4-5D6E-409C-BE32-E72D297353CC}">
                <c16:uniqueId val="{00000016-F3FB-8641-9804-65F7D56AF5F1}"/>
              </c:ext>
            </c:extLst>
          </c:dPt>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2-F3FB-8641-9804-65F7D56AF5F1}"/>
                </c:ext>
              </c:extLst>
            </c:dLbl>
            <c:dLbl>
              <c:idx val="6"/>
              <c:layout>
                <c:manualLayout>
                  <c:x val="0"/>
                  <c:y val="3.0380547455072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FB-8641-9804-65F7D56AF5F1}"/>
                </c:ext>
              </c:extLst>
            </c:dLbl>
            <c:dLbl>
              <c:idx val="7"/>
              <c:layout>
                <c:manualLayout>
                  <c:x val="-2.7528999199491386E-3"/>
                  <c:y val="2.96612690450423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3FB-8641-9804-65F7D56AF5F1}"/>
                </c:ext>
              </c:extLst>
            </c:dLbl>
            <c:dLbl>
              <c:idx val="8"/>
              <c:layout>
                <c:manualLayout>
                  <c:x val="1.0566289907712194E-3"/>
                  <c:y val="2.24914383363363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3FB-8641-9804-65F7D56AF5F1}"/>
                </c:ext>
              </c:extLst>
            </c:dLbl>
            <c:dLbl>
              <c:idx val="9"/>
              <c:layout>
                <c:manualLayout>
                  <c:x val="1.0566289907712968E-3"/>
                  <c:y val="2.76817702601063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3FB-8641-9804-65F7D56AF5F1}"/>
                </c:ext>
              </c:extLst>
            </c:dLbl>
            <c:dLbl>
              <c:idx val="1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6-F3FB-8641-9804-65F7D56AF5F1}"/>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Récapitulatif!$B$134:$B$144</c:f>
              <c:strCache>
                <c:ptCount val="11"/>
                <c:pt idx="0">
                  <c:v>Émissions en 2022 </c:v>
                </c:pt>
                <c:pt idx="1">
                  <c:v>Déplacement des spectateurs </c:v>
                </c:pt>
                <c:pt idx="2">
                  <c:v>Transport des équipes </c:v>
                </c:pt>
                <c:pt idx="3">
                  <c:v>Déplacement des salariés</c:v>
                </c:pt>
                <c:pt idx="4">
                  <c:v>Immobilisations</c:v>
                </c:pt>
                <c:pt idx="5">
                  <c:v>Alimentation et boissons</c:v>
                </c:pt>
                <c:pt idx="6">
                  <c:v>Consommation d'énergie</c:v>
                </c:pt>
                <c:pt idx="7">
                  <c:v>Retransmission </c:v>
                </c:pt>
                <c:pt idx="8">
                  <c:v>Autres </c:v>
                </c:pt>
                <c:pt idx="9">
                  <c:v>Déchets </c:v>
                </c:pt>
                <c:pt idx="10">
                  <c:v>Émissions 2050 après transformation</c:v>
                </c:pt>
              </c:strCache>
            </c:strRef>
          </c:cat>
          <c:val>
            <c:numRef>
              <c:f>Récapitulatif!$D$134:$D$144</c:f>
              <c:numCache>
                <c:formatCode>_ * #\ ##0_)_ ;_ * \(#\ ##0\)_ ;_ * "-"??_)_ ;_ @_ </c:formatCode>
                <c:ptCount val="11"/>
                <c:pt idx="0">
                  <c:v>442868.54547044227</c:v>
                </c:pt>
                <c:pt idx="1">
                  <c:v>256140.94786541088</c:v>
                </c:pt>
                <c:pt idx="2">
                  <c:v>30070.995046658372</c:v>
                </c:pt>
                <c:pt idx="3">
                  <c:v>19606.352547877788</c:v>
                </c:pt>
                <c:pt idx="4">
                  <c:v>16681.722946843747</c:v>
                </c:pt>
                <c:pt idx="5">
                  <c:v>16691.762471604598</c:v>
                </c:pt>
                <c:pt idx="6">
                  <c:v>8320</c:v>
                </c:pt>
                <c:pt idx="7">
                  <c:v>8494.0208725827815</c:v>
                </c:pt>
                <c:pt idx="8">
                  <c:v>2762.608302302393</c:v>
                </c:pt>
                <c:pt idx="9">
                  <c:v>1647.5819502879388</c:v>
                </c:pt>
                <c:pt idx="10">
                  <c:v>82452.553466873767</c:v>
                </c:pt>
              </c:numCache>
            </c:numRef>
          </c:val>
          <c:extLst>
            <c:ext xmlns:c16="http://schemas.microsoft.com/office/drawing/2014/chart" uri="{C3380CC4-5D6E-409C-BE32-E72D297353CC}">
              <c16:uniqueId val="{00000017-F3FB-8641-9804-65F7D56AF5F1}"/>
            </c:ext>
          </c:extLst>
        </c:ser>
        <c:dLbls>
          <c:showLegendKey val="0"/>
          <c:showVal val="0"/>
          <c:showCatName val="0"/>
          <c:showSerName val="0"/>
          <c:showPercent val="0"/>
          <c:showBubbleSize val="0"/>
        </c:dLbls>
        <c:gapWidth val="10"/>
        <c:overlap val="100"/>
        <c:axId val="597750128"/>
        <c:axId val="597712944"/>
      </c:barChart>
      <c:catAx>
        <c:axId val="597750128"/>
        <c:scaling>
          <c:orientation val="minMax"/>
        </c:scaling>
        <c:delete val="1"/>
        <c:axPos val="b"/>
        <c:numFmt formatCode="General" sourceLinked="1"/>
        <c:majorTickMark val="none"/>
        <c:minorTickMark val="none"/>
        <c:tickLblPos val="nextTo"/>
        <c:crossAx val="597712944"/>
        <c:crosses val="autoZero"/>
        <c:auto val="1"/>
        <c:lblAlgn val="ctr"/>
        <c:lblOffset val="100"/>
        <c:noMultiLvlLbl val="0"/>
      </c:catAx>
      <c:valAx>
        <c:axId val="597712944"/>
        <c:scaling>
          <c:orientation val="minMax"/>
        </c:scaling>
        <c:delete val="1"/>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fr-FR" sz="1800" b="1" i="0" u="none" strike="noStrike" kern="1200" baseline="0">
                    <a:solidFill>
                      <a:schemeClr val="tx1"/>
                    </a:solidFill>
                  </a:rPr>
                  <a:t>Émissions en tonnes de CO2 équivalents</a:t>
                </a:r>
              </a:p>
            </c:rich>
          </c:tx>
          <c:layout>
            <c:manualLayout>
              <c:xMode val="edge"/>
              <c:yMode val="edge"/>
              <c:x val="2.2323939210115076E-2"/>
              <c:y val="0.24226022135291667"/>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crossAx val="597750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prstGeom prst="rect">
              <a:avLst/>
            </a:prstGeom>
            <a:solidFill>
              <a:schemeClr val="accent1">
                <a:alpha val="0"/>
              </a:schemeClr>
            </a:solidFill>
            <a:ln>
              <a:noFill/>
            </a:ln>
            <a:effectLst/>
          </c:spPr>
          <c:invertIfNegative val="0"/>
          <c:cat>
            <c:strRef>
              <c:f>'Fiche levier - 1 + 6 + 7'!$G$21:$G$25</c:f>
              <c:strCache>
                <c:ptCount val="5"/>
                <c:pt idx="0">
                  <c:v>Émissions annuelles en 2022</c:v>
                </c:pt>
                <c:pt idx="1">
                  <c:v>Sortie des énergies fossiles (remplacement des groupes électrogènes, chaudières fioul et gaz)</c:v>
                </c:pt>
                <c:pt idx="2">
                  <c:v>Baisse de la consommation d'énergie (rénovation, optimisation, sobriété)</c:v>
                </c:pt>
                <c:pt idx="3">
                  <c:v>Baisse de l'intensité carbone de l'énergie (électricité, chauffage urbain)</c:v>
                </c:pt>
                <c:pt idx="4">
                  <c:v>Émissions annuelles en 2050 après transformation</c:v>
                </c:pt>
              </c:strCache>
            </c:strRef>
          </c:cat>
          <c:val>
            <c:numRef>
              <c:f>'Fiche levier - 1 + 6 + 7'!$H$21:$H$25</c:f>
              <c:numCache>
                <c:formatCode>_-* #\ ##0_-;\-* #\ ##0_-;_-* "-"??_-;_-@_-</c:formatCode>
                <c:ptCount val="5"/>
                <c:pt idx="0">
                  <c:v>0</c:v>
                </c:pt>
                <c:pt idx="1">
                  <c:v>5236.569641115344</c:v>
                </c:pt>
                <c:pt idx="2">
                  <c:v>2094.6278564461372</c:v>
                </c:pt>
                <c:pt idx="3">
                  <c:v>459.88461412518882</c:v>
                </c:pt>
                <c:pt idx="4">
                  <c:v>0</c:v>
                </c:pt>
              </c:numCache>
            </c:numRef>
          </c:val>
          <c:extLst>
            <c:ext xmlns:c16="http://schemas.microsoft.com/office/drawing/2014/chart" uri="{C3380CC4-5D6E-409C-BE32-E72D297353CC}">
              <c16:uniqueId val="{00000000-1B1F-4F7C-907B-C969EAF653F8}"/>
            </c:ext>
          </c:extLst>
        </c:ser>
        <c:ser>
          <c:idx val="1"/>
          <c:order val="1"/>
          <c:spPr>
            <a:prstGeom prst="rect">
              <a:avLst/>
            </a:prstGeom>
            <a:solidFill>
              <a:schemeClr val="accent2"/>
            </a:solidFill>
            <a:ln>
              <a:noFill/>
            </a:ln>
            <a:effectLst/>
          </c:spPr>
          <c:invertIfNegative val="0"/>
          <c:dPt>
            <c:idx val="0"/>
            <c:invertIfNegative val="0"/>
            <c:bubble3D val="0"/>
            <c:spPr>
              <a:prstGeom prst="rect">
                <a:avLst/>
              </a:prstGeom>
              <a:solidFill>
                <a:srgbClr val="002060"/>
              </a:solidFill>
              <a:ln>
                <a:noFill/>
              </a:ln>
              <a:effectLst/>
            </c:spPr>
            <c:extLst>
              <c:ext xmlns:c16="http://schemas.microsoft.com/office/drawing/2014/chart" uri="{C3380CC4-5D6E-409C-BE32-E72D297353CC}">
                <c16:uniqueId val="{00000002-1B1F-4F7C-907B-C969EAF653F8}"/>
              </c:ext>
            </c:extLst>
          </c:dPt>
          <c:dPt>
            <c:idx val="1"/>
            <c:invertIfNegative val="0"/>
            <c:bubble3D val="0"/>
            <c:spPr>
              <a:prstGeom prst="rect">
                <a:avLst/>
              </a:prstGeom>
              <a:solidFill>
                <a:schemeClr val="accent4"/>
              </a:solidFill>
              <a:ln>
                <a:noFill/>
              </a:ln>
              <a:effectLst/>
            </c:spPr>
            <c:extLst>
              <c:ext xmlns:c16="http://schemas.microsoft.com/office/drawing/2014/chart" uri="{C3380CC4-5D6E-409C-BE32-E72D297353CC}">
                <c16:uniqueId val="{00000004-1B1F-4F7C-907B-C969EAF653F8}"/>
              </c:ext>
            </c:extLst>
          </c:dPt>
          <c:dPt>
            <c:idx val="2"/>
            <c:invertIfNegative val="0"/>
            <c:bubble3D val="0"/>
            <c:spPr>
              <a:prstGeom prst="rect">
                <a:avLst/>
              </a:prstGeom>
              <a:solidFill>
                <a:schemeClr val="accent5"/>
              </a:solidFill>
              <a:ln>
                <a:noFill/>
              </a:ln>
              <a:effectLst/>
            </c:spPr>
            <c:extLst>
              <c:ext xmlns:c16="http://schemas.microsoft.com/office/drawing/2014/chart" uri="{C3380CC4-5D6E-409C-BE32-E72D297353CC}">
                <c16:uniqueId val="{00000006-1B1F-4F7C-907B-C969EAF653F8}"/>
              </c:ext>
            </c:extLst>
          </c:dPt>
          <c:dPt>
            <c:idx val="3"/>
            <c:invertIfNegative val="0"/>
            <c:bubble3D val="0"/>
            <c:spPr>
              <a:prstGeom prst="rect">
                <a:avLst/>
              </a:prstGeom>
              <a:solidFill>
                <a:schemeClr val="accent3"/>
              </a:solidFill>
              <a:ln>
                <a:noFill/>
              </a:ln>
              <a:effectLst/>
            </c:spPr>
            <c:extLst>
              <c:ext xmlns:c16="http://schemas.microsoft.com/office/drawing/2014/chart" uri="{C3380CC4-5D6E-409C-BE32-E72D297353CC}">
                <c16:uniqueId val="{00000008-1B1F-4F7C-907B-C969EAF653F8}"/>
              </c:ext>
            </c:extLst>
          </c:dPt>
          <c:dPt>
            <c:idx val="4"/>
            <c:invertIfNegative val="0"/>
            <c:bubble3D val="0"/>
            <c:spPr>
              <a:prstGeom prst="rect">
                <a:avLst/>
              </a:prstGeom>
              <a:solidFill>
                <a:srgbClr val="00005A"/>
              </a:solidFill>
              <a:ln>
                <a:noFill/>
              </a:ln>
              <a:effectLst/>
            </c:spPr>
            <c:extLst>
              <c:ext xmlns:c16="http://schemas.microsoft.com/office/drawing/2014/chart" uri="{C3380CC4-5D6E-409C-BE32-E72D297353CC}">
                <c16:uniqueId val="{0000000A-1B1F-4F7C-907B-C969EAF653F8}"/>
              </c:ext>
            </c:extLst>
          </c:dPt>
          <c:cat>
            <c:strRef>
              <c:f>'Fiche levier - 1 + 6 + 7'!$G$21:$G$25</c:f>
              <c:strCache>
                <c:ptCount val="5"/>
                <c:pt idx="0">
                  <c:v>Émissions annuelles en 2022</c:v>
                </c:pt>
                <c:pt idx="1">
                  <c:v>Sortie des énergies fossiles (remplacement des groupes électrogènes, chaudières fioul et gaz)</c:v>
                </c:pt>
                <c:pt idx="2">
                  <c:v>Baisse de la consommation d'énergie (rénovation, optimisation, sobriété)</c:v>
                </c:pt>
                <c:pt idx="3">
                  <c:v>Baisse de l'intensité carbone de l'énergie (électricité, chauffage urbain)</c:v>
                </c:pt>
                <c:pt idx="4">
                  <c:v>Émissions annuelles en 2050 après transformation</c:v>
                </c:pt>
              </c:strCache>
            </c:strRef>
          </c:cat>
          <c:val>
            <c:numRef>
              <c:f>'Fiche levier - 1 + 6 + 7'!$I$21:$I$25</c:f>
              <c:numCache>
                <c:formatCode>_-* #\ ##0_-;\-* #\ ##0_-;_-* "-"??_-;_-@_-</c:formatCode>
                <c:ptCount val="5"/>
                <c:pt idx="0">
                  <c:v>8777.1747453238986</c:v>
                </c:pt>
                <c:pt idx="1">
                  <c:v>3540.6051042085546</c:v>
                </c:pt>
                <c:pt idx="2">
                  <c:v>3141.9417846692068</c:v>
                </c:pt>
                <c:pt idx="3">
                  <c:v>1634.7432423209484</c:v>
                </c:pt>
                <c:pt idx="4">
                  <c:v>459.88461412518876</c:v>
                </c:pt>
              </c:numCache>
            </c:numRef>
          </c:val>
          <c:extLst>
            <c:ext xmlns:c16="http://schemas.microsoft.com/office/drawing/2014/chart" uri="{C3380CC4-5D6E-409C-BE32-E72D297353CC}">
              <c16:uniqueId val="{0000000B-1B1F-4F7C-907B-C969EAF653F8}"/>
            </c:ext>
          </c:extLst>
        </c:ser>
        <c:dLbls>
          <c:showLegendKey val="0"/>
          <c:showVal val="0"/>
          <c:showCatName val="0"/>
          <c:showSerName val="0"/>
          <c:showPercent val="0"/>
          <c:showBubbleSize val="0"/>
        </c:dLbls>
        <c:gapWidth val="11"/>
        <c:overlap val="100"/>
        <c:axId val="182660096"/>
        <c:axId val="183281040"/>
      </c:barChart>
      <c:catAx>
        <c:axId val="182660096"/>
        <c:scaling>
          <c:orientation val="minMax"/>
        </c:scaling>
        <c:delete val="0"/>
        <c:axPos val="b"/>
        <c:numFmt formatCode="General" sourceLinked="1"/>
        <c:majorTickMark val="none"/>
        <c:minorTickMark val="none"/>
        <c:tickLblPos val="nextTo"/>
        <c:spPr>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baseline="0">
                <a:solidFill>
                  <a:schemeClr val="tx2"/>
                </a:solidFill>
                <a:latin typeface="+mn-lt"/>
                <a:ea typeface="+mn-ea"/>
                <a:cs typeface="+mn-cs"/>
              </a:defRPr>
            </a:pPr>
            <a:endParaRPr lang="fr-FR"/>
          </a:p>
        </c:txPr>
        <c:crossAx val="183281040"/>
        <c:crosses val="autoZero"/>
        <c:auto val="1"/>
        <c:lblAlgn val="ctr"/>
        <c:lblOffset val="100"/>
        <c:noMultiLvlLbl val="0"/>
      </c:catAx>
      <c:valAx>
        <c:axId val="183281040"/>
        <c:scaling>
          <c:orientation val="minMax"/>
          <c:max val="9000"/>
          <c:min val="0"/>
        </c:scaling>
        <c:delete val="0"/>
        <c:axPos val="l"/>
        <c:majorGridlines>
          <c:spPr>
            <a:prstGeom prst="rect">
              <a:avLst/>
            </a:prstGeom>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a:lnSpc>
                    <a:spcPct val="100000"/>
                  </a:lnSpc>
                  <a:spcBef>
                    <a:spcPts val="0"/>
                  </a:spcBef>
                  <a:spcAft>
                    <a:spcPts val="0"/>
                  </a:spcAft>
                  <a:buClrTx/>
                  <a:buSzTx/>
                  <a:buFontTx/>
                  <a:buNone/>
                  <a:defRPr sz="1100" b="0" i="0" u="none" strike="noStrike" baseline="0">
                    <a:solidFill>
                      <a:schemeClr val="tx2"/>
                    </a:solidFill>
                    <a:latin typeface="+mn-lt"/>
                    <a:ea typeface="+mn-ea"/>
                    <a:cs typeface="+mn-cs"/>
                  </a:defRPr>
                </a:pPr>
                <a:r>
                  <a:rPr lang="fr-FR" sz="1100" b="1" i="0" u="none" strike="noStrike">
                    <a:solidFill>
                      <a:schemeClr val="tx2"/>
                    </a:solidFill>
                  </a:rPr>
                  <a:t>Émissions en tonnes de CO2 équivalents</a:t>
                </a:r>
                <a:endParaRPr lang="fr-FR" sz="1100">
                  <a:solidFill>
                    <a:schemeClr val="tx2"/>
                  </a:solidFill>
                </a:endParaRPr>
              </a:p>
            </c:rich>
          </c:tx>
          <c:overlay val="0"/>
          <c:spPr>
            <a:prstGeom prst="rect">
              <a:avLst/>
            </a:prstGeom>
            <a:noFill/>
            <a:ln>
              <a:noFill/>
            </a:ln>
            <a:effectLst/>
          </c:spPr>
        </c:title>
        <c:numFmt formatCode="_-* #\ ##0_-;\-* #\ ##0_-;_-* &quot;-&quot;??_-;_-@_-"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100" b="1" i="0" u="none" strike="noStrike" baseline="0">
                <a:solidFill>
                  <a:schemeClr val="tx2"/>
                </a:solidFill>
                <a:latin typeface="+mn-lt"/>
                <a:ea typeface="+mn-ea"/>
                <a:cs typeface="+mn-cs"/>
              </a:defRPr>
            </a:pPr>
            <a:endParaRPr lang="fr-FR"/>
          </a:p>
        </c:txPr>
        <c:crossAx val="182660096"/>
        <c:crosses val="autoZero"/>
        <c:crossBetween val="between"/>
        <c:majorUnit val="1000"/>
      </c:valAx>
      <c:spPr>
        <a:prstGeom prst="rect">
          <a:avLst/>
        </a:prstGeom>
        <a:noFill/>
        <a:ln>
          <a:noFill/>
        </a:ln>
        <a:effectLst/>
      </c:spPr>
    </c:plotArea>
    <c:plotVisOnly val="1"/>
    <c:dispBlanksAs val="gap"/>
    <c:showDLblsOverMax val="0"/>
  </c:chart>
  <c:spPr>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Électricité </c:v>
          </c:tx>
          <c:spPr>
            <a:prstGeom prst="rect">
              <a:avLst/>
            </a:prstGeom>
            <a:solidFill>
              <a:srgbClr val="00005A"/>
            </a:solidFill>
            <a:ln>
              <a:noFill/>
            </a:ln>
            <a:effectLst/>
          </c:spPr>
          <c:invertIfNegative val="0"/>
          <c:cat>
            <c:numLit>
              <c:formatCode>General</c:formatCode>
              <c:ptCount val="2"/>
              <c:pt idx="0">
                <c:v>2020</c:v>
              </c:pt>
              <c:pt idx="1">
                <c:v>2050</c:v>
              </c:pt>
            </c:numLit>
          </c:cat>
          <c:val>
            <c:numLit>
              <c:formatCode>General</c:formatCode>
              <c:ptCount val="2"/>
              <c:pt idx="0">
                <c:v>0.7465459954655923</c:v>
              </c:pt>
              <c:pt idx="1">
                <c:v>0.91153563764701573</c:v>
              </c:pt>
            </c:numLit>
          </c:val>
          <c:extLst>
            <c:ext xmlns:c16="http://schemas.microsoft.com/office/drawing/2014/chart" uri="{C3380CC4-5D6E-409C-BE32-E72D297353CC}">
              <c16:uniqueId val="{00000000-F015-4B07-AAC2-C7F57A993741}"/>
            </c:ext>
          </c:extLst>
        </c:ser>
        <c:ser>
          <c:idx val="1"/>
          <c:order val="1"/>
          <c:tx>
            <c:v>Autres Fioul</c:v>
          </c:tx>
          <c:spPr>
            <a:prstGeom prst="rect">
              <a:avLst/>
            </a:prstGeom>
            <a:solidFill>
              <a:srgbClr val="FF8200"/>
            </a:solidFill>
            <a:ln>
              <a:noFill/>
            </a:ln>
            <a:effectLst/>
          </c:spPr>
          <c:invertIfNegative val="0"/>
          <c:cat>
            <c:numLit>
              <c:formatCode>General</c:formatCode>
              <c:ptCount val="2"/>
              <c:pt idx="0">
                <c:v>2020</c:v>
              </c:pt>
              <c:pt idx="1">
                <c:v>2050</c:v>
              </c:pt>
            </c:numLit>
          </c:cat>
          <c:val>
            <c:numLit>
              <c:formatCode>General</c:formatCode>
              <c:ptCount val="2"/>
              <c:pt idx="0">
                <c:v>2.2717734500568972E-2</c:v>
              </c:pt>
              <c:pt idx="1">
                <c:v>0</c:v>
              </c:pt>
            </c:numLit>
          </c:val>
          <c:extLst>
            <c:ext xmlns:c16="http://schemas.microsoft.com/office/drawing/2014/chart" uri="{C3380CC4-5D6E-409C-BE32-E72D297353CC}">
              <c16:uniqueId val="{00000001-F015-4B07-AAC2-C7F57A993741}"/>
            </c:ext>
          </c:extLst>
        </c:ser>
        <c:ser>
          <c:idx val="2"/>
          <c:order val="2"/>
          <c:tx>
            <c:v>Fioul pour groupes électrogènes</c:v>
          </c:tx>
          <c:spPr>
            <a:prstGeom prst="rect">
              <a:avLst/>
            </a:prstGeom>
            <a:solidFill>
              <a:srgbClr val="EFB771"/>
            </a:solidFill>
            <a:ln>
              <a:noFill/>
            </a:ln>
            <a:effectLst/>
          </c:spPr>
          <c:invertIfNegative val="0"/>
          <c:cat>
            <c:numLit>
              <c:formatCode>General</c:formatCode>
              <c:ptCount val="2"/>
              <c:pt idx="0">
                <c:v>2020</c:v>
              </c:pt>
              <c:pt idx="1">
                <c:v>2050</c:v>
              </c:pt>
            </c:numLit>
          </c:cat>
          <c:val>
            <c:numLit>
              <c:formatCode>General</c:formatCode>
              <c:ptCount val="2"/>
              <c:pt idx="0">
                <c:v>2.3130510733028551E-2</c:v>
              </c:pt>
              <c:pt idx="1">
                <c:v>0</c:v>
              </c:pt>
            </c:numLit>
          </c:val>
          <c:extLst>
            <c:ext xmlns:c16="http://schemas.microsoft.com/office/drawing/2014/chart" uri="{C3380CC4-5D6E-409C-BE32-E72D297353CC}">
              <c16:uniqueId val="{00000002-F015-4B07-AAC2-C7F57A993741}"/>
            </c:ext>
          </c:extLst>
        </c:ser>
        <c:ser>
          <c:idx val="3"/>
          <c:order val="3"/>
          <c:tx>
            <c:v>Gaz </c:v>
          </c:tx>
          <c:spPr>
            <a:prstGeom prst="rect">
              <a:avLst/>
            </a:prstGeom>
            <a:solidFill>
              <a:srgbClr val="FFDE23"/>
            </a:solidFill>
            <a:ln>
              <a:noFill/>
            </a:ln>
            <a:effectLst/>
          </c:spPr>
          <c:invertIfNegative val="0"/>
          <c:cat>
            <c:numLit>
              <c:formatCode>General</c:formatCode>
              <c:ptCount val="2"/>
              <c:pt idx="0">
                <c:v>2020</c:v>
              </c:pt>
              <c:pt idx="1">
                <c:v>2050</c:v>
              </c:pt>
            </c:numLit>
          </c:cat>
          <c:val>
            <c:numLit>
              <c:formatCode>General</c:formatCode>
              <c:ptCount val="2"/>
              <c:pt idx="0">
                <c:v>0.17062744267930458</c:v>
              </c:pt>
              <c:pt idx="1">
                <c:v>0</c:v>
              </c:pt>
            </c:numLit>
          </c:val>
          <c:extLst>
            <c:ext xmlns:c16="http://schemas.microsoft.com/office/drawing/2014/chart" uri="{C3380CC4-5D6E-409C-BE32-E72D297353CC}">
              <c16:uniqueId val="{00000003-F015-4B07-AAC2-C7F57A993741}"/>
            </c:ext>
          </c:extLst>
        </c:ser>
        <c:ser>
          <c:idx val="4"/>
          <c:order val="4"/>
          <c:tx>
            <c:v>Chauffage urbain</c:v>
          </c:tx>
          <c:spPr>
            <a:prstGeom prst="rect">
              <a:avLst/>
            </a:prstGeom>
            <a:solidFill>
              <a:srgbClr val="89BBE8"/>
            </a:solidFill>
            <a:ln>
              <a:noFill/>
            </a:ln>
            <a:effectLst/>
          </c:spPr>
          <c:invertIfNegative val="0"/>
          <c:cat>
            <c:numLit>
              <c:formatCode>General</c:formatCode>
              <c:ptCount val="2"/>
              <c:pt idx="0">
                <c:v>2020</c:v>
              </c:pt>
              <c:pt idx="1">
                <c:v>2050</c:v>
              </c:pt>
            </c:numLit>
          </c:cat>
          <c:val>
            <c:numLit>
              <c:formatCode>General</c:formatCode>
              <c:ptCount val="2"/>
              <c:pt idx="0">
                <c:v>3.6978316621505559E-2</c:v>
              </c:pt>
              <c:pt idx="1">
                <c:v>8.8464362352984258E-2</c:v>
              </c:pt>
            </c:numLit>
          </c:val>
          <c:extLst>
            <c:ext xmlns:c16="http://schemas.microsoft.com/office/drawing/2014/chart" uri="{C3380CC4-5D6E-409C-BE32-E72D297353CC}">
              <c16:uniqueId val="{00000004-F015-4B07-AAC2-C7F57A993741}"/>
            </c:ext>
          </c:extLst>
        </c:ser>
        <c:dLbls>
          <c:showLegendKey val="0"/>
          <c:showVal val="0"/>
          <c:showCatName val="0"/>
          <c:showSerName val="0"/>
          <c:showPercent val="0"/>
          <c:showBubbleSize val="0"/>
        </c:dLbls>
        <c:gapWidth val="150"/>
        <c:overlap val="100"/>
        <c:axId val="1137669391"/>
        <c:axId val="653426143"/>
      </c:barChart>
      <c:catAx>
        <c:axId val="1137669391"/>
        <c:scaling>
          <c:orientation val="minMax"/>
        </c:scaling>
        <c:delete val="0"/>
        <c:axPos val="b"/>
        <c:numFmt formatCode="General" sourceLinked="1"/>
        <c:majorTickMark val="none"/>
        <c:minorTickMark val="none"/>
        <c:tickLblPos val="nextTo"/>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baseline="0">
                <a:solidFill>
                  <a:schemeClr val="tx2"/>
                </a:solidFill>
                <a:latin typeface="+mn-lt"/>
                <a:ea typeface="+mn-ea"/>
                <a:cs typeface="+mn-cs"/>
              </a:defRPr>
            </a:pPr>
            <a:endParaRPr lang="fr-FR"/>
          </a:p>
        </c:txPr>
        <c:crossAx val="653426143"/>
        <c:crosses val="autoZero"/>
        <c:auto val="1"/>
        <c:lblAlgn val="ctr"/>
        <c:lblOffset val="100"/>
        <c:noMultiLvlLbl val="0"/>
      </c:catAx>
      <c:valAx>
        <c:axId val="653426143"/>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0%"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100" b="1" i="0" u="none" strike="noStrike" baseline="0">
                <a:solidFill>
                  <a:schemeClr val="tx2"/>
                </a:solidFill>
                <a:latin typeface="+mn-lt"/>
                <a:ea typeface="+mn-ea"/>
                <a:cs typeface="+mn-cs"/>
              </a:defRPr>
            </a:pPr>
            <a:endParaRPr lang="fr-FR"/>
          </a:p>
        </c:txPr>
        <c:crossAx val="1137669391"/>
        <c:crosses val="autoZero"/>
        <c:crossBetween val="between"/>
      </c:valAx>
      <c:spPr>
        <a:prstGeom prst="rect">
          <a:avLst/>
        </a:prstGeom>
        <a:noFill/>
        <a:ln>
          <a:noFill/>
        </a:ln>
        <a:effectLst/>
      </c:spPr>
    </c:plotArea>
    <c:legend>
      <c:legendPos val="b"/>
      <c:layout>
        <c:manualLayout>
          <c:xMode val="edge"/>
          <c:yMode val="edge"/>
          <c:x val="0.17383381774662335"/>
          <c:y val="0.86412881663021379"/>
          <c:w val="0.82616618225337668"/>
          <c:h val="0.12205401461283459"/>
        </c:manualLayout>
      </c:layout>
      <c:overlay val="0"/>
      <c:spPr>
        <a:prstGeom prst="rect">
          <a:avLst/>
        </a:prstGeom>
        <a:noFill/>
        <a:ln>
          <a:noFill/>
        </a:ln>
        <a:effectLst/>
      </c:spPr>
      <c:txPr>
        <a:bodyPr rot="0" spcFirstLastPara="1" vertOverflow="ellipsis" vert="horz" wrap="square" anchor="ctr" anchorCtr="1"/>
        <a:lstStyle/>
        <a:p>
          <a:pPr>
            <a:defRPr sz="1100" b="1" i="0" u="none" strike="noStrike" baseline="0">
              <a:solidFill>
                <a:schemeClr val="tx2"/>
              </a:solidFill>
              <a:latin typeface="+mn-lt"/>
              <a:ea typeface="+mn-ea"/>
              <a:cs typeface="+mn-cs"/>
            </a:defRPr>
          </a:pPr>
          <a:endParaRPr lang="fr-FR"/>
        </a:p>
      </c:txPr>
    </c:legend>
    <c:plotVisOnly val="1"/>
    <c:dispBlanksAs val="gap"/>
    <c:showDLblsOverMax val="0"/>
  </c:chart>
  <c:spPr bwMode="auto">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'Fiche levier - 1 + 6 + 7'!$C$24</c:f>
              <c:strCache>
                <c:ptCount val="1"/>
                <c:pt idx="0">
                  <c:v>Électricité </c:v>
                </c:pt>
              </c:strCache>
            </c:strRef>
          </c:tx>
          <c:spPr>
            <a:prstGeom prst="rect">
              <a:avLst/>
            </a:prstGeom>
            <a:solidFill>
              <a:schemeClr val="accent4"/>
            </a:solidFill>
            <a:ln>
              <a:solidFill>
                <a:schemeClr val="bg1"/>
              </a:solidFill>
            </a:ln>
            <a:effectLst/>
          </c:spPr>
          <c:invertIfNegative val="0"/>
          <c:dPt>
            <c:idx val="0"/>
            <c:invertIfNegative val="0"/>
            <c:bubble3D val="0"/>
            <c:spPr>
              <a:prstGeom prst="rect">
                <a:avLst/>
              </a:prstGeom>
              <a:solidFill>
                <a:schemeClr val="accent4"/>
              </a:solidFill>
              <a:ln>
                <a:solidFill>
                  <a:schemeClr val="bg1"/>
                </a:solidFill>
              </a:ln>
              <a:effectLst/>
            </c:spPr>
            <c:extLst>
              <c:ext xmlns:c16="http://schemas.microsoft.com/office/drawing/2014/chart" uri="{C3380CC4-5D6E-409C-BE32-E72D297353CC}">
                <c16:uniqueId val="{00000001-3CE0-1E44-9100-2FDF403F0F09}"/>
              </c:ext>
            </c:extLst>
          </c:dPt>
          <c:dLbls>
            <c:dLbl>
              <c:idx val="0"/>
              <c:layout>
                <c:manualLayout>
                  <c:x val="3.8922399927827447E-17"/>
                  <c:y val="-5.83252516756923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E0-1E44-9100-2FDF403F0F09}"/>
                </c:ext>
              </c:extLst>
            </c:dLbl>
            <c:dLbl>
              <c:idx val="1"/>
              <c:layout>
                <c:manualLayout>
                  <c:x val="0"/>
                  <c:y val="-6.81459676104326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E0-1E44-9100-2FDF403F0F0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 + 6 + 7'!$D$24:$E$24</c:f>
              <c:numCache>
                <c:formatCode>0%</c:formatCode>
                <c:ptCount val="2"/>
                <c:pt idx="0">
                  <c:v>0.75098746637983971</c:v>
                </c:pt>
                <c:pt idx="1">
                  <c:v>0.91354430512399298</c:v>
                </c:pt>
              </c:numCache>
            </c:numRef>
          </c:val>
          <c:extLst>
            <c:ext xmlns:c15="http://schemas.microsoft.com/office/drawing/2012/chart" uri="{02D57815-91ED-43cb-92C2-25804820EDAC}">
              <c15:filteredCategoryTitle>
                <c15:cat>
                  <c:numRef>
                    <c:extLst>
                      <c:ext uri="{02D57815-91ED-43cb-92C2-25804820EDAC}">
                        <c15:formulaRef>
                          <c15:sqref>'Fiche levier - 1 + 6 + 7'!$D$19:$E$19</c15:sqref>
                        </c15:formulaRef>
                      </c:ext>
                    </c:extLst>
                    <c:numCache>
                      <c:formatCode>General</c:formatCode>
                      <c:ptCount val="2"/>
                      <c:pt idx="0">
                        <c:v>2022</c:v>
                      </c:pt>
                      <c:pt idx="1">
                        <c:v>2050</c:v>
                      </c:pt>
                    </c:numCache>
                  </c:numRef>
                </c15:cat>
              </c15:filteredCategoryTitle>
            </c:ext>
            <c:ext xmlns:c16="http://schemas.microsoft.com/office/drawing/2014/chart" uri="{C3380CC4-5D6E-409C-BE32-E72D297353CC}">
              <c16:uniqueId val="{00000003-3CE0-1E44-9100-2FDF403F0F09}"/>
            </c:ext>
          </c:extLst>
        </c:ser>
        <c:ser>
          <c:idx val="1"/>
          <c:order val="1"/>
          <c:tx>
            <c:strRef>
              <c:f>'Fiche levier - 1 + 6 + 7'!$C$25</c:f>
              <c:strCache>
                <c:ptCount val="1"/>
                <c:pt idx="0">
                  <c:v>Fioul</c:v>
                </c:pt>
              </c:strCache>
            </c:strRef>
          </c:tx>
          <c:spPr>
            <a:prstGeom prst="rect">
              <a:avLst/>
            </a:prstGeom>
            <a:solidFill>
              <a:schemeClr val="accent1"/>
            </a:solidFill>
            <a:ln>
              <a:solidFill>
                <a:schemeClr val="bg1"/>
              </a:solidFill>
            </a:ln>
            <a:effectLst/>
          </c:spPr>
          <c:invertIfNegative val="0"/>
          <c:dLbls>
            <c:dLbl>
              <c:idx val="0"/>
              <c:layout>
                <c:manualLayout>
                  <c:x val="0.12777210553841767"/>
                  <c:y val="1.368360783512610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E0-1E44-9100-2FDF403F0F09}"/>
                </c:ext>
              </c:extLst>
            </c:dLbl>
            <c:dLbl>
              <c:idx val="1"/>
              <c:delete val="1"/>
              <c:extLst>
                <c:ext xmlns:c15="http://schemas.microsoft.com/office/drawing/2012/chart" uri="{CE6537A1-D6FC-4f65-9D91-7224C49458BB}"/>
                <c:ext xmlns:c16="http://schemas.microsoft.com/office/drawing/2014/chart" uri="{C3380CC4-5D6E-409C-BE32-E72D297353CC}">
                  <c16:uniqueId val="{0000000C-3CE0-1E44-9100-2FDF403F0F0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bg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 + 6 + 7'!$D$25:$E$25</c:f>
              <c:numCache>
                <c:formatCode>0%</c:formatCode>
                <c:ptCount val="2"/>
                <c:pt idx="0">
                  <c:v>2.2240554845756141E-2</c:v>
                </c:pt>
                <c:pt idx="1">
                  <c:v>0</c:v>
                </c:pt>
              </c:numCache>
            </c:numRef>
          </c:val>
          <c:extLst>
            <c:ext xmlns:c15="http://schemas.microsoft.com/office/drawing/2012/chart" uri="{02D57815-91ED-43cb-92C2-25804820EDAC}">
              <c15:filteredCategoryTitle>
                <c15:cat>
                  <c:numRef>
                    <c:extLst>
                      <c:ext uri="{02D57815-91ED-43cb-92C2-25804820EDAC}">
                        <c15:formulaRef>
                          <c15:sqref>'Fiche levier - 1 + 6 + 7'!$D$19:$E$19</c15:sqref>
                        </c15:formulaRef>
                      </c:ext>
                    </c:extLst>
                    <c:numCache>
                      <c:formatCode>General</c:formatCode>
                      <c:ptCount val="2"/>
                      <c:pt idx="0">
                        <c:v>2022</c:v>
                      </c:pt>
                      <c:pt idx="1">
                        <c:v>2050</c:v>
                      </c:pt>
                    </c:numCache>
                  </c:numRef>
                </c15:cat>
              </c15:filteredCategoryTitle>
            </c:ext>
            <c:ext xmlns:c16="http://schemas.microsoft.com/office/drawing/2014/chart" uri="{C3380CC4-5D6E-409C-BE32-E72D297353CC}">
              <c16:uniqueId val="{00000004-3CE0-1E44-9100-2FDF403F0F09}"/>
            </c:ext>
          </c:extLst>
        </c:ser>
        <c:ser>
          <c:idx val="2"/>
          <c:order val="2"/>
          <c:tx>
            <c:strRef>
              <c:f>'Fiche levier - 1 + 6 + 7'!$C$26</c:f>
              <c:strCache>
                <c:ptCount val="1"/>
                <c:pt idx="0">
                  <c:v>Fioul (groupes électrogènes)</c:v>
                </c:pt>
              </c:strCache>
            </c:strRef>
          </c:tx>
          <c:spPr>
            <a:prstGeom prst="rect">
              <a:avLst/>
            </a:prstGeom>
            <a:solidFill>
              <a:schemeClr val="accent6"/>
            </a:solidFill>
            <a:ln>
              <a:solidFill>
                <a:schemeClr val="bg1"/>
              </a:solidFill>
            </a:ln>
            <a:effectLst/>
          </c:spPr>
          <c:invertIfNegative val="0"/>
          <c:dLbls>
            <c:dLbl>
              <c:idx val="0"/>
              <c:layout>
                <c:manualLayout>
                  <c:x val="-0.13629024590764563"/>
                  <c:y val="1.91570509691765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E0-1E44-9100-2FDF403F0F09}"/>
                </c:ext>
              </c:extLst>
            </c:dLbl>
            <c:dLbl>
              <c:idx val="1"/>
              <c:delete val="1"/>
              <c:extLst>
                <c:ext xmlns:c15="http://schemas.microsoft.com/office/drawing/2012/chart" uri="{CE6537A1-D6FC-4f65-9D91-7224C49458BB}"/>
                <c:ext xmlns:c16="http://schemas.microsoft.com/office/drawing/2014/chart" uri="{C3380CC4-5D6E-409C-BE32-E72D297353CC}">
                  <c16:uniqueId val="{0000000B-3CE0-1E44-9100-2FDF403F0F0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 + 6 + 7'!$D$26:$E$26</c:f>
              <c:numCache>
                <c:formatCode>0%</c:formatCode>
                <c:ptCount val="2"/>
                <c:pt idx="0">
                  <c:v>2.3526920341800643E-2</c:v>
                </c:pt>
                <c:pt idx="1">
                  <c:v>0</c:v>
                </c:pt>
              </c:numCache>
            </c:numRef>
          </c:val>
          <c:extLst>
            <c:ext xmlns:c15="http://schemas.microsoft.com/office/drawing/2012/chart" uri="{02D57815-91ED-43cb-92C2-25804820EDAC}">
              <c15:filteredCategoryTitle>
                <c15:cat>
                  <c:numRef>
                    <c:extLst>
                      <c:ext uri="{02D57815-91ED-43cb-92C2-25804820EDAC}">
                        <c15:formulaRef>
                          <c15:sqref>'Fiche levier - 1 + 6 + 7'!$D$19:$E$19</c15:sqref>
                        </c15:formulaRef>
                      </c:ext>
                    </c:extLst>
                    <c:numCache>
                      <c:formatCode>General</c:formatCode>
                      <c:ptCount val="2"/>
                      <c:pt idx="0">
                        <c:v>2022</c:v>
                      </c:pt>
                      <c:pt idx="1">
                        <c:v>2050</c:v>
                      </c:pt>
                    </c:numCache>
                  </c:numRef>
                </c15:cat>
              </c15:filteredCategoryTitle>
            </c:ext>
            <c:ext xmlns:c16="http://schemas.microsoft.com/office/drawing/2014/chart" uri="{C3380CC4-5D6E-409C-BE32-E72D297353CC}">
              <c16:uniqueId val="{00000005-3CE0-1E44-9100-2FDF403F0F09}"/>
            </c:ext>
          </c:extLst>
        </c:ser>
        <c:ser>
          <c:idx val="3"/>
          <c:order val="3"/>
          <c:tx>
            <c:strRef>
              <c:f>'Fiche levier - 1 + 6 + 7'!$C$27</c:f>
              <c:strCache>
                <c:ptCount val="1"/>
                <c:pt idx="0">
                  <c:v>Gaz </c:v>
                </c:pt>
              </c:strCache>
            </c:strRef>
          </c:tx>
          <c:spPr>
            <a:prstGeom prst="rect">
              <a:avLst/>
            </a:prstGeom>
            <a:solidFill>
              <a:schemeClr val="accent2"/>
            </a:solidFill>
            <a:ln>
              <a:solidFill>
                <a:schemeClr val="bg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3CE0-1E44-9100-2FDF403F0F0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 + 6 + 7'!$D$27:$E$27</c:f>
              <c:numCache>
                <c:formatCode>0%</c:formatCode>
                <c:ptCount val="2"/>
                <c:pt idx="0">
                  <c:v>0.16704346100202652</c:v>
                </c:pt>
                <c:pt idx="1">
                  <c:v>0</c:v>
                </c:pt>
              </c:numCache>
            </c:numRef>
          </c:val>
          <c:extLst>
            <c:ext xmlns:c15="http://schemas.microsoft.com/office/drawing/2012/chart" uri="{02D57815-91ED-43cb-92C2-25804820EDAC}">
              <c15:filteredCategoryTitle>
                <c15:cat>
                  <c:numRef>
                    <c:extLst>
                      <c:ext uri="{02D57815-91ED-43cb-92C2-25804820EDAC}">
                        <c15:formulaRef>
                          <c15:sqref>'Fiche levier - 1 + 6 + 7'!$D$19:$E$19</c15:sqref>
                        </c15:formulaRef>
                      </c:ext>
                    </c:extLst>
                    <c:numCache>
                      <c:formatCode>General</c:formatCode>
                      <c:ptCount val="2"/>
                      <c:pt idx="0">
                        <c:v>2022</c:v>
                      </c:pt>
                      <c:pt idx="1">
                        <c:v>2050</c:v>
                      </c:pt>
                    </c:numCache>
                  </c:numRef>
                </c15:cat>
              </c15:filteredCategoryTitle>
            </c:ext>
            <c:ext xmlns:c16="http://schemas.microsoft.com/office/drawing/2014/chart" uri="{C3380CC4-5D6E-409C-BE32-E72D297353CC}">
              <c16:uniqueId val="{00000006-3CE0-1E44-9100-2FDF403F0F09}"/>
            </c:ext>
          </c:extLst>
        </c:ser>
        <c:ser>
          <c:idx val="4"/>
          <c:order val="4"/>
          <c:tx>
            <c:strRef>
              <c:f>'Fiche levier - 1 + 6 + 7'!$C$28</c:f>
              <c:strCache>
                <c:ptCount val="1"/>
                <c:pt idx="0">
                  <c:v>Chauffage urbain</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 + 6 + 7'!$D$28:$E$28</c:f>
              <c:numCache>
                <c:formatCode>0%</c:formatCode>
                <c:ptCount val="2"/>
                <c:pt idx="0">
                  <c:v>3.6201597430577097E-2</c:v>
                </c:pt>
                <c:pt idx="1">
                  <c:v>8.6455694876007058E-2</c:v>
                </c:pt>
              </c:numCache>
            </c:numRef>
          </c:val>
          <c:extLst>
            <c:ext xmlns:c15="http://schemas.microsoft.com/office/drawing/2012/chart" uri="{02D57815-91ED-43cb-92C2-25804820EDAC}">
              <c15:filteredCategoryTitle>
                <c15:cat>
                  <c:numRef>
                    <c:extLst>
                      <c:ext uri="{02D57815-91ED-43cb-92C2-25804820EDAC}">
                        <c15:formulaRef>
                          <c15:sqref>'Fiche levier - 1 + 6 + 7'!$D$19:$E$19</c15:sqref>
                        </c15:formulaRef>
                      </c:ext>
                    </c:extLst>
                    <c:numCache>
                      <c:formatCode>General</c:formatCode>
                      <c:ptCount val="2"/>
                      <c:pt idx="0">
                        <c:v>2022</c:v>
                      </c:pt>
                      <c:pt idx="1">
                        <c:v>2050</c:v>
                      </c:pt>
                    </c:numCache>
                  </c:numRef>
                </c15:cat>
              </c15:filteredCategoryTitle>
            </c:ext>
            <c:ext xmlns:c16="http://schemas.microsoft.com/office/drawing/2014/chart" uri="{C3380CC4-5D6E-409C-BE32-E72D297353CC}">
              <c16:uniqueId val="{00000007-3CE0-1E44-9100-2FDF403F0F09}"/>
            </c:ext>
          </c:extLst>
        </c:ser>
        <c:dLbls>
          <c:dLblPos val="ctr"/>
          <c:showLegendKey val="0"/>
          <c:showVal val="1"/>
          <c:showCatName val="0"/>
          <c:showSerName val="0"/>
          <c:showPercent val="0"/>
          <c:showBubbleSize val="0"/>
        </c:dLbls>
        <c:gapWidth val="150"/>
        <c:overlap val="100"/>
        <c:axId val="1137669391"/>
        <c:axId val="653426143"/>
      </c:barChart>
      <c:catAx>
        <c:axId val="1137669391"/>
        <c:scaling>
          <c:orientation val="minMax"/>
        </c:scaling>
        <c:delete val="0"/>
        <c:axPos val="b"/>
        <c:numFmt formatCode="General" sourceLinked="1"/>
        <c:majorTickMark val="none"/>
        <c:minorTickMark val="none"/>
        <c:tickLblPos val="nextTo"/>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baseline="0">
                <a:solidFill>
                  <a:schemeClr val="tx2"/>
                </a:solidFill>
                <a:latin typeface="+mn-lt"/>
                <a:ea typeface="+mn-ea"/>
                <a:cs typeface="+mn-cs"/>
              </a:defRPr>
            </a:pPr>
            <a:endParaRPr lang="fr-FR"/>
          </a:p>
        </c:txPr>
        <c:crossAx val="653426143"/>
        <c:crosses val="autoZero"/>
        <c:auto val="1"/>
        <c:lblAlgn val="ctr"/>
        <c:lblOffset val="100"/>
        <c:noMultiLvlLbl val="0"/>
      </c:catAx>
      <c:valAx>
        <c:axId val="653426143"/>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0%"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200" b="1" i="0" u="none" strike="noStrike" baseline="0">
                <a:solidFill>
                  <a:schemeClr val="tx2"/>
                </a:solidFill>
                <a:latin typeface="+mn-lt"/>
                <a:ea typeface="+mn-ea"/>
                <a:cs typeface="+mn-cs"/>
              </a:defRPr>
            </a:pPr>
            <a:endParaRPr lang="fr-FR"/>
          </a:p>
        </c:txPr>
        <c:crossAx val="1137669391"/>
        <c:crosses val="autoZero"/>
        <c:crossBetween val="between"/>
      </c:valAx>
      <c:spPr>
        <a:prstGeom prst="rect">
          <a:avLst/>
        </a:prstGeom>
        <a:noFill/>
        <a:ln>
          <a:noFill/>
        </a:ln>
        <a:effectLst/>
      </c:spPr>
    </c:plotArea>
    <c:legend>
      <c:legendPos val="b"/>
      <c:layout>
        <c:manualLayout>
          <c:xMode val="edge"/>
          <c:yMode val="edge"/>
          <c:x val="0.18731144164629279"/>
          <c:y val="0.8174740512472064"/>
          <c:w val="0.81040129543382378"/>
          <c:h val="0.15228601154456303"/>
        </c:manualLayout>
      </c:layout>
      <c:overlay val="0"/>
      <c:spPr>
        <a:prstGeom prst="rect">
          <a:avLst/>
        </a:prstGeom>
        <a:noFill/>
        <a:ln>
          <a:noFill/>
        </a:ln>
        <a:effectLst/>
      </c:spPr>
      <c:txPr>
        <a:bodyPr rot="0" spcFirstLastPara="1" vertOverflow="ellipsis" vert="horz" wrap="square" anchor="ctr" anchorCtr="1"/>
        <a:lstStyle/>
        <a:p>
          <a:pPr rtl="0">
            <a:defRPr sz="1200" b="1" i="0" u="none" strike="noStrike" baseline="0">
              <a:solidFill>
                <a:schemeClr val="tx2"/>
              </a:solidFill>
              <a:latin typeface="+mn-lt"/>
              <a:ea typeface="+mn-ea"/>
              <a:cs typeface="+mn-cs"/>
            </a:defRPr>
          </a:pPr>
          <a:endParaRPr lang="fr-FR"/>
        </a:p>
      </c:txPr>
    </c:legend>
    <c:plotVisOnly val="1"/>
    <c:dispBlanksAs val="gap"/>
    <c:showDLblsOverMax val="0"/>
  </c:chart>
  <c:spPr bwMode="auto">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236350749419"/>
          <c:y val="0.24385647454060541"/>
          <c:w val="0.31720501142649343"/>
          <c:h val="0.6670447413441725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5-A0A7-2146-8A37-F9E7D70AC2EC}"/>
              </c:ext>
            </c:extLst>
          </c:dPt>
          <c:dPt>
            <c:idx val="1"/>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03-A0A7-2146-8A37-F9E7D70AC2EC}"/>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4-A0A7-2146-8A37-F9E7D70AC2E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DB0-2F45-97E2-F673D387C053}"/>
              </c:ext>
            </c:extLst>
          </c:dPt>
          <c:dPt>
            <c:idx val="4"/>
            <c:bubble3D val="0"/>
            <c:spPr>
              <a:solidFill>
                <a:schemeClr val="accent2"/>
              </a:solidFill>
              <a:ln w="19050">
                <a:solidFill>
                  <a:schemeClr val="lt1"/>
                </a:solidFill>
              </a:ln>
              <a:effectLst/>
            </c:spPr>
            <c:extLst>
              <c:ext xmlns:c16="http://schemas.microsoft.com/office/drawing/2014/chart" uri="{C3380CC4-5D6E-409C-BE32-E72D297353CC}">
                <c16:uniqueId val="{00000002-A0A7-2146-8A37-F9E7D70AC2EC}"/>
              </c:ext>
            </c:extLst>
          </c:dPt>
          <c:dPt>
            <c:idx val="5"/>
            <c:bubble3D val="0"/>
            <c:spPr>
              <a:solidFill>
                <a:schemeClr val="accent3"/>
              </a:solidFill>
              <a:ln w="19050">
                <a:solidFill>
                  <a:schemeClr val="lt1"/>
                </a:solidFill>
              </a:ln>
              <a:effectLst/>
            </c:spPr>
            <c:extLst>
              <c:ext xmlns:c16="http://schemas.microsoft.com/office/drawing/2014/chart" uri="{C3380CC4-5D6E-409C-BE32-E72D297353CC}">
                <c16:uniqueId val="{00000001-A0A7-2146-8A37-F9E7D70AC2EC}"/>
              </c:ext>
            </c:extLst>
          </c:dPt>
          <c:dLbls>
            <c:dLbl>
              <c:idx val="0"/>
              <c:layout>
                <c:manualLayout>
                  <c:x val="-6.8063675838341648E-3"/>
                  <c:y val="2.7937784185427524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A7-2146-8A37-F9E7D70AC2EC}"/>
                </c:ext>
              </c:extLst>
            </c:dLbl>
            <c:dLbl>
              <c:idx val="1"/>
              <c:layout>
                <c:manualLayout>
                  <c:x val="-1.6809639423570567E-3"/>
                  <c:y val="-3.8419662141472155E-4"/>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A7-2146-8A37-F9E7D70AC2EC}"/>
                </c:ext>
              </c:extLst>
            </c:dLbl>
            <c:dLbl>
              <c:idx val="5"/>
              <c:layout>
                <c:manualLayout>
                  <c:x val="3.7488959789487464E-2"/>
                  <c:y val="-0.120118110236220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A7-2146-8A37-F9E7D70AC2E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'9.1 Alimentaire'!$B$320:$B$325</c:f>
              <c:strCache>
                <c:ptCount val="6"/>
                <c:pt idx="0">
                  <c:v>Plats et snacks avec une dominante bœuf</c:v>
                </c:pt>
                <c:pt idx="1">
                  <c:v>Plats et snacks avec une dominante poulet/porc</c:v>
                </c:pt>
                <c:pt idx="2">
                  <c:v>Plats et snacks végétariens</c:v>
                </c:pt>
                <c:pt idx="3">
                  <c:v>Bière industrielle</c:v>
                </c:pt>
                <c:pt idx="4">
                  <c:v>Soda industriel</c:v>
                </c:pt>
                <c:pt idx="5">
                  <c:v>Vin</c:v>
                </c:pt>
              </c:strCache>
            </c:strRef>
          </c:cat>
          <c:val>
            <c:numRef>
              <c:f>'9.1 Alimentaire'!$C$320:$C$325</c:f>
              <c:numCache>
                <c:formatCode>0%</c:formatCode>
                <c:ptCount val="6"/>
                <c:pt idx="0">
                  <c:v>0.67546377625822152</c:v>
                </c:pt>
                <c:pt idx="1">
                  <c:v>7.3415884447897845E-2</c:v>
                </c:pt>
                <c:pt idx="2">
                  <c:v>5.2867174830467809E-2</c:v>
                </c:pt>
                <c:pt idx="3">
                  <c:v>0.11361890053998215</c:v>
                </c:pt>
                <c:pt idx="4">
                  <c:v>7.9895691711311237E-2</c:v>
                </c:pt>
                <c:pt idx="5" formatCode="0.0%">
                  <c:v>4.7385722121194617E-3</c:v>
                </c:pt>
              </c:numCache>
            </c:numRef>
          </c:val>
          <c:extLst>
            <c:ext xmlns:c16="http://schemas.microsoft.com/office/drawing/2014/chart" uri="{C3380CC4-5D6E-409C-BE32-E72D297353CC}">
              <c16:uniqueId val="{00000000-A0A7-2146-8A37-F9E7D70AC2EC}"/>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47833349231590927"/>
          <c:y val="0.23793879512802563"/>
          <c:w val="0.309927609933768"/>
          <c:h val="0.68329254997313227"/>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236350749419"/>
          <c:y val="0.24385647454060541"/>
          <c:w val="0.31720501142649343"/>
          <c:h val="0.6670447413441725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B26-9449-926E-79DC0928064C}"/>
              </c:ext>
            </c:extLst>
          </c:dPt>
          <c:dPt>
            <c:idx val="1"/>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03-AB26-9449-926E-79DC0928064C}"/>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AB26-9449-926E-79DC0928064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B26-9449-926E-79DC0928064C}"/>
              </c:ext>
            </c:extLst>
          </c:dPt>
          <c:dPt>
            <c:idx val="4"/>
            <c:bubble3D val="0"/>
            <c:spPr>
              <a:solidFill>
                <a:schemeClr val="accent2"/>
              </a:solidFill>
              <a:ln w="19050">
                <a:solidFill>
                  <a:schemeClr val="lt1"/>
                </a:solidFill>
              </a:ln>
              <a:effectLst/>
            </c:spPr>
            <c:extLst>
              <c:ext xmlns:c16="http://schemas.microsoft.com/office/drawing/2014/chart" uri="{C3380CC4-5D6E-409C-BE32-E72D297353CC}">
                <c16:uniqueId val="{00000009-AB26-9449-926E-79DC0928064C}"/>
              </c:ext>
            </c:extLst>
          </c:dPt>
          <c:dPt>
            <c:idx val="5"/>
            <c:bubble3D val="0"/>
            <c:spPr>
              <a:solidFill>
                <a:schemeClr val="accent3"/>
              </a:solidFill>
              <a:ln w="19050">
                <a:solidFill>
                  <a:schemeClr val="lt1"/>
                </a:solidFill>
              </a:ln>
              <a:effectLst/>
            </c:spPr>
            <c:extLst>
              <c:ext xmlns:c16="http://schemas.microsoft.com/office/drawing/2014/chart" uri="{C3380CC4-5D6E-409C-BE32-E72D297353CC}">
                <c16:uniqueId val="{0000000B-AB26-9449-926E-79DC0928064C}"/>
              </c:ext>
            </c:extLst>
          </c:dPt>
          <c:dLbls>
            <c:dLbl>
              <c:idx val="0"/>
              <c:layout>
                <c:manualLayout>
                  <c:x val="-1.6906012987190852E-3"/>
                  <c:y val="3.2371837973546192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9449-926E-79DC0928064C}"/>
                </c:ext>
              </c:extLst>
            </c:dLbl>
            <c:dLbl>
              <c:idx val="1"/>
              <c:layout>
                <c:manualLayout>
                  <c:x val="-1.6809639423570567E-3"/>
                  <c:y val="-3.8419662141472155E-4"/>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26-9449-926E-79DC0928064C}"/>
                </c:ext>
              </c:extLst>
            </c:dLbl>
            <c:dLbl>
              <c:idx val="5"/>
              <c:layout>
                <c:manualLayout>
                  <c:x val="-1.7314195653230877E-3"/>
                  <c:y val="-0.116589462523575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26-9449-926E-79DC0928064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'9.1 Alimentaire'!$B$320:$B$325</c:f>
              <c:strCache>
                <c:ptCount val="6"/>
                <c:pt idx="0">
                  <c:v>Plats et snacks avec une dominante bœuf</c:v>
                </c:pt>
                <c:pt idx="1">
                  <c:v>Plats et snacks avec une dominante poulet/porc</c:v>
                </c:pt>
                <c:pt idx="2">
                  <c:v>Plats et snacks végétariens</c:v>
                </c:pt>
                <c:pt idx="3">
                  <c:v>Bière industrielle</c:v>
                </c:pt>
                <c:pt idx="4">
                  <c:v>Soda industriel</c:v>
                </c:pt>
                <c:pt idx="5">
                  <c:v>Vin</c:v>
                </c:pt>
              </c:strCache>
            </c:strRef>
          </c:cat>
          <c:val>
            <c:numRef>
              <c:f>'9.1 Alimentaire'!$D$320:$D$325</c:f>
              <c:numCache>
                <c:formatCode>0%</c:formatCode>
                <c:ptCount val="6"/>
                <c:pt idx="0">
                  <c:v>0.13540601351235776</c:v>
                </c:pt>
                <c:pt idx="1">
                  <c:v>0.10215077465423751</c:v>
                </c:pt>
                <c:pt idx="2">
                  <c:v>0.15936321139902945</c:v>
                </c:pt>
                <c:pt idx="3">
                  <c:v>0.36105947054302162</c:v>
                </c:pt>
                <c:pt idx="4">
                  <c:v>0.20964848158449031</c:v>
                </c:pt>
                <c:pt idx="5">
                  <c:v>3.2372048306863424E-2</c:v>
                </c:pt>
              </c:numCache>
            </c:numRef>
          </c:val>
          <c:extLst>
            <c:ext xmlns:c16="http://schemas.microsoft.com/office/drawing/2014/chart" uri="{C3380CC4-5D6E-409C-BE32-E72D297353CC}">
              <c16:uniqueId val="{0000000C-AB26-9449-926E-79DC0928064C}"/>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alpha val="0"/>
              </a:schemeClr>
            </a:solidFill>
            <a:ln>
              <a:noFill/>
            </a:ln>
            <a:effectLst/>
          </c:spPr>
          <c:invertIfNegative val="0"/>
          <c:cat>
            <c:multiLvlStrRef>
              <c:f>'Fiche levier - 9.1'!$H$21:$H$24</c:f>
            </c:multiLvlStrRef>
          </c:cat>
          <c:val>
            <c:numRef>
              <c:f>'Fiche levier - 9.1'!$I$21:$I$24</c:f>
            </c:numRef>
          </c:val>
          <c:extLst>
            <c:ext xmlns:c16="http://schemas.microsoft.com/office/drawing/2014/chart" uri="{C3380CC4-5D6E-409C-BE32-E72D297353CC}">
              <c16:uniqueId val="{00000000-5C7C-5E41-88C7-640F880C2D10}"/>
            </c:ext>
          </c:extLst>
        </c:ser>
        <c:ser>
          <c:idx val="1"/>
          <c:order val="1"/>
          <c:spPr>
            <a:solidFill>
              <a:srgbClr val="002060"/>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2-5C7C-5E41-88C7-640F880C2D10}"/>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4-5C7C-5E41-88C7-640F880C2D10}"/>
              </c:ext>
            </c:extLst>
          </c:dPt>
          <c:cat>
            <c:multiLvlStrRef>
              <c:f>'Fiche levier - 9.1'!$H$21:$H$24</c:f>
            </c:multiLvlStrRef>
          </c:cat>
          <c:val>
            <c:numRef>
              <c:f>'Fiche levier - 9.1'!$J$21:$J$24</c:f>
            </c:numRef>
          </c:val>
          <c:extLst>
            <c:ext xmlns:c16="http://schemas.microsoft.com/office/drawing/2014/chart" uri="{C3380CC4-5D6E-409C-BE32-E72D297353CC}">
              <c16:uniqueId val="{00000005-5C7C-5E41-88C7-640F880C2D10}"/>
            </c:ext>
          </c:extLst>
        </c:ser>
        <c:dLbls>
          <c:showLegendKey val="0"/>
          <c:showVal val="0"/>
          <c:showCatName val="0"/>
          <c:showSerName val="0"/>
          <c:showPercent val="0"/>
          <c:showBubbleSize val="0"/>
        </c:dLbls>
        <c:gapWidth val="11"/>
        <c:overlap val="100"/>
        <c:axId val="1372496847"/>
        <c:axId val="1372497679"/>
      </c:barChart>
      <c:catAx>
        <c:axId val="137249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1372497679"/>
        <c:crosses val="autoZero"/>
        <c:auto val="1"/>
        <c:lblAlgn val="ctr"/>
        <c:lblOffset val="100"/>
        <c:noMultiLvlLbl val="0"/>
      </c:catAx>
      <c:valAx>
        <c:axId val="1372497679"/>
        <c:scaling>
          <c:orientation val="minMax"/>
          <c:max val="27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fr-FR" sz="1100" b="1" i="0" u="none" strike="noStrike" kern="1200" baseline="0">
                    <a:solidFill>
                      <a:schemeClr val="tx2"/>
                    </a:solidFill>
                  </a:rPr>
                  <a:t>Émissions en tonnes de CO2 équivalents</a:t>
                </a:r>
                <a:endParaRPr lang="fr-FR" sz="1100" b="0" i="0" u="none" strike="noStrike" kern="1200" baseline="0">
                  <a:solidFill>
                    <a:schemeClr val="tx2"/>
                  </a:solidFill>
                </a:endParaRP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title>
        <c:numFmt formatCode="_ * #\ ##0_)_ ;_ *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1372496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2-94BB-DE4A-B86A-B1ADB6262BA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F9F-FB49-8B48-F63F455968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94BB-DE4A-B86A-B1ADB6262BA2}"/>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94BB-DE4A-B86A-B1ADB6262BA2}"/>
                </c:ext>
              </c:extLst>
            </c:dLbl>
            <c:dLbl>
              <c:idx val="2"/>
              <c:layout>
                <c:manualLayout>
                  <c:x val="6.400226472923054E-2"/>
                  <c:y val="-0.13261946567333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BB-DE4A-B86A-B1ADB6262BA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'10.1 Stade'!$B$334:$B$336</c:f>
            </c:multiLvlStrRef>
          </c:cat>
          <c:val>
            <c:numRef>
              <c:f>'10.1 Stade'!$D$334:$D$336</c:f>
            </c:numRef>
          </c:val>
          <c:extLst>
            <c:ext xmlns:c16="http://schemas.microsoft.com/office/drawing/2014/chart" uri="{C3380CC4-5D6E-409C-BE32-E72D297353CC}">
              <c16:uniqueId val="{00000000-94BB-DE4A-B86A-B1ADB6262BA2}"/>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0677481238115596"/>
          <c:y val="0.32014545056867894"/>
          <c:w val="0.43369038108847058"/>
          <c:h val="0.35970909886264218"/>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'10.1 Stade'!$C$350</c:f>
              <c:strCache>
                <c:ptCount val="1"/>
                <c:pt idx="0">
                  <c:v>Béton</c:v>
                </c:pt>
              </c:strCache>
            </c:strRef>
          </c:tx>
          <c:spPr>
            <a:solidFill>
              <a:schemeClr val="accent1"/>
            </a:solidFill>
            <a:ln>
              <a:solidFill>
                <a:schemeClr val="bg1"/>
              </a:solidFill>
            </a:ln>
            <a:effectLst/>
          </c:spPr>
          <c:invertIfNegative val="0"/>
          <c:dPt>
            <c:idx val="1"/>
            <c:invertIfNegative val="0"/>
            <c:bubble3D val="0"/>
            <c:spPr>
              <a:solidFill>
                <a:schemeClr val="accent2"/>
              </a:solidFill>
              <a:ln>
                <a:solidFill>
                  <a:schemeClr val="bg1"/>
                </a:solidFill>
              </a:ln>
              <a:effectLst/>
            </c:spPr>
            <c:extLst>
              <c:ext xmlns:c16="http://schemas.microsoft.com/office/drawing/2014/chart" uri="{C3380CC4-5D6E-409C-BE32-E72D297353CC}">
                <c16:uniqueId val="{00000003-CE88-5544-B5F4-405576C4819F}"/>
              </c:ext>
            </c:extLst>
          </c:dPt>
          <c:dPt>
            <c:idx val="2"/>
            <c:invertIfNegative val="0"/>
            <c:bubble3D val="0"/>
            <c:spPr>
              <a:solidFill>
                <a:schemeClr val="accent4"/>
              </a:solidFill>
              <a:ln>
                <a:solidFill>
                  <a:schemeClr val="bg1"/>
                </a:solidFill>
              </a:ln>
              <a:effectLst/>
            </c:spPr>
            <c:extLst>
              <c:ext xmlns:c16="http://schemas.microsoft.com/office/drawing/2014/chart" uri="{C3380CC4-5D6E-409C-BE32-E72D297353CC}">
                <c16:uniqueId val="{00000004-CE88-5544-B5F4-405576C4819F}"/>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5-CE88-5544-B5F4-405576C4819F}"/>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3-CE88-5544-B5F4-405576C4819F}"/>
                </c:ext>
              </c:extLst>
            </c:dLbl>
            <c:dLbl>
              <c:idx val="2"/>
              <c:layout>
                <c:manualLayout>
                  <c:x val="-1.1207205344953806E-16"/>
                  <c:y val="-2.999998425197689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88-5544-B5F4-405576C4819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'10.1 Stade'!$B$351:$B$353</c:f>
            </c:multiLvlStrRef>
          </c:cat>
          <c:val>
            <c:numRef>
              <c:f>'10.1 Stade'!$C$351:$C$353</c:f>
            </c:numRef>
          </c:val>
          <c:extLst>
            <c:ext xmlns:c16="http://schemas.microsoft.com/office/drawing/2014/chart" uri="{C3380CC4-5D6E-409C-BE32-E72D297353CC}">
              <c16:uniqueId val="{00000000-CE88-5544-B5F4-405576C4819F}"/>
            </c:ext>
          </c:extLst>
        </c:ser>
        <c:ser>
          <c:idx val="1"/>
          <c:order val="1"/>
          <c:tx>
            <c:strRef>
              <c:f>'10.1 Stade'!$D$350</c:f>
              <c:strCache>
                <c:ptCount val="1"/>
                <c:pt idx="0">
                  <c:v>Acier</c:v>
                </c:pt>
              </c:strCache>
            </c:strRef>
          </c:tx>
          <c:spPr>
            <a:solidFill>
              <a:schemeClr val="accent6"/>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'10.1 Stade'!$B$351:$B$353</c:f>
            </c:multiLvlStrRef>
          </c:cat>
          <c:val>
            <c:numRef>
              <c:f>'10.1 Stade'!$D$351:$D$353</c:f>
            </c:numRef>
          </c:val>
          <c:extLst>
            <c:ext xmlns:c16="http://schemas.microsoft.com/office/drawing/2014/chart" uri="{C3380CC4-5D6E-409C-BE32-E72D297353CC}">
              <c16:uniqueId val="{00000001-CE88-5544-B5F4-405576C4819F}"/>
            </c:ext>
          </c:extLst>
        </c:ser>
        <c:ser>
          <c:idx val="2"/>
          <c:order val="2"/>
          <c:tx>
            <c:strRef>
              <c:f>'10.1 Stade'!$E$350</c:f>
              <c:strCache>
                <c:ptCount val="1"/>
                <c:pt idx="0">
                  <c:v>Divers éléments techniques, parachèvement et autres</c:v>
                </c:pt>
              </c:strCache>
            </c:strRef>
          </c:tx>
          <c:spPr>
            <a:solidFill>
              <a:schemeClr val="accent1">
                <a:lumMod val="10000"/>
                <a:lumOff val="90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'10.1 Stade'!$B$351:$B$353</c:f>
            </c:multiLvlStrRef>
          </c:cat>
          <c:val>
            <c:numRef>
              <c:f>'10.1 Stade'!$E$351:$E$353</c:f>
            </c:numRef>
          </c:val>
          <c:extLst>
            <c:ext xmlns:c16="http://schemas.microsoft.com/office/drawing/2014/chart" uri="{C3380CC4-5D6E-409C-BE32-E72D297353CC}">
              <c16:uniqueId val="{00000002-CE88-5544-B5F4-405576C4819F}"/>
            </c:ext>
          </c:extLst>
        </c:ser>
        <c:dLbls>
          <c:dLblPos val="ctr"/>
          <c:showLegendKey val="0"/>
          <c:showVal val="1"/>
          <c:showCatName val="0"/>
          <c:showSerName val="0"/>
          <c:showPercent val="0"/>
          <c:showBubbleSize val="0"/>
        </c:dLbls>
        <c:gapWidth val="150"/>
        <c:overlap val="100"/>
        <c:axId val="1374825552"/>
        <c:axId val="1374036240"/>
      </c:barChart>
      <c:catAx>
        <c:axId val="137482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crossAx val="1374036240"/>
        <c:crosses val="autoZero"/>
        <c:auto val="1"/>
        <c:lblAlgn val="ctr"/>
        <c:lblOffset val="100"/>
        <c:noMultiLvlLbl val="0"/>
      </c:catAx>
      <c:valAx>
        <c:axId val="1374036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crossAx val="1374825552"/>
        <c:crosses val="autoZero"/>
        <c:crossBetween val="between"/>
      </c:valAx>
      <c:spPr>
        <a:noFill/>
        <a:ln>
          <a:noFill/>
        </a:ln>
        <a:effectLst/>
      </c:spPr>
    </c:plotArea>
    <c:legend>
      <c:legendPos val="b"/>
      <c:layout>
        <c:manualLayout>
          <c:xMode val="edge"/>
          <c:yMode val="edge"/>
          <c:x val="0.31320016259861272"/>
          <c:y val="1.5442774045787902E-2"/>
          <c:w val="0.665499683876143"/>
          <c:h val="0.1409196110658209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'13'!$C$262</c:f>
              <c:strCache>
                <c:ptCount val="1"/>
                <c:pt idx="0">
                  <c:v>Kilomètres parcourus</c:v>
                </c:pt>
              </c:strCache>
            </c:strRef>
          </c:tx>
          <c:spPr>
            <a:prstGeom prst="rect">
              <a:avLst/>
            </a:prstGeom>
            <a:solidFill>
              <a:srgbClr val="FF82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a:solidFill>
                      <a:srgbClr val="00005A"/>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'13'!$B$263:$B$267</c:f>
            </c:strRef>
          </c:cat>
          <c:val>
            <c:numRef>
              <c:f>'13'!$C$263:$C$267</c:f>
            </c:numRef>
          </c:val>
          <c:extLst>
            <c:ext xmlns:c16="http://schemas.microsoft.com/office/drawing/2014/chart" uri="{C3380CC4-5D6E-409C-BE32-E72D297353CC}">
              <c16:uniqueId val="{00000000-DCDA-42D1-930A-43174564DF01}"/>
            </c:ext>
          </c:extLst>
        </c:ser>
        <c:ser>
          <c:idx val="1"/>
          <c:order val="1"/>
          <c:tx>
            <c:strRef>
              <c:f>'13'!$D$262</c:f>
              <c:strCache>
                <c:ptCount val="1"/>
                <c:pt idx="0">
                  <c:v>Émissions de GES</c:v>
                </c:pt>
              </c:strCache>
            </c:strRef>
          </c:tx>
          <c:spPr>
            <a:prstGeom prst="rect">
              <a:avLst/>
            </a:prstGeom>
            <a:solidFill>
              <a:srgbClr val="00005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a:solidFill>
                      <a:srgbClr val="00005A"/>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'13'!$B$263:$B$267</c:f>
            </c:strRef>
          </c:cat>
          <c:val>
            <c:numRef>
              <c:f>'13'!$D$263:$D$267</c:f>
            </c:numRef>
          </c:val>
          <c:extLst>
            <c:ext xmlns:c16="http://schemas.microsoft.com/office/drawing/2014/chart" uri="{C3380CC4-5D6E-409C-BE32-E72D297353CC}">
              <c16:uniqueId val="{00000001-DCDA-42D1-930A-43174564DF01}"/>
            </c:ext>
          </c:extLst>
        </c:ser>
        <c:dLbls>
          <c:dLblPos val="outEnd"/>
          <c:showLegendKey val="0"/>
          <c:showVal val="1"/>
          <c:showCatName val="0"/>
          <c:showSerName val="0"/>
          <c:showPercent val="0"/>
          <c:showBubbleSize val="0"/>
        </c:dLbls>
        <c:gapWidth val="219"/>
        <c:overlap val="-27"/>
        <c:axId val="185979248"/>
        <c:axId val="185899264"/>
      </c:barChart>
      <c:catAx>
        <c:axId val="185979248"/>
        <c:scaling>
          <c:orientation val="minMax"/>
        </c:scaling>
        <c:delete val="0"/>
        <c:axPos val="b"/>
        <c:numFmt formatCode="General" sourceLinked="1"/>
        <c:majorTickMark val="none"/>
        <c:minorTickMark val="none"/>
        <c:tickLblPos val="nextTo"/>
        <c:spPr>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a:solidFill>
                  <a:srgbClr val="00005A"/>
                </a:solidFill>
                <a:latin typeface="+mn-lt"/>
                <a:ea typeface="+mn-ea"/>
                <a:cs typeface="+mn-cs"/>
              </a:defRPr>
            </a:pPr>
            <a:endParaRPr lang="fr-FR"/>
          </a:p>
        </c:txPr>
        <c:crossAx val="185899264"/>
        <c:crosses val="autoZero"/>
        <c:auto val="1"/>
        <c:lblAlgn val="ctr"/>
        <c:lblOffset val="100"/>
        <c:noMultiLvlLbl val="0"/>
      </c:catAx>
      <c:valAx>
        <c:axId val="185899264"/>
        <c:scaling>
          <c:orientation val="minMax"/>
        </c:scaling>
        <c:delete val="0"/>
        <c:axPos val="l"/>
        <c:majorGridlines>
          <c:spPr>
            <a:prstGeom prst="rect">
              <a:avLst/>
            </a:prstGeom>
            <a:ln w="9525" cap="flat" cmpd="sng" algn="ctr">
              <a:solidFill>
                <a:schemeClr val="tx1">
                  <a:lumMod val="15000"/>
                  <a:lumOff val="85000"/>
                </a:schemeClr>
              </a:solidFill>
              <a:round/>
            </a:ln>
            <a:effectLst/>
          </c:spPr>
        </c:majorGridlines>
        <c:numFmt formatCode="0%"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200" b="1" i="0" u="none" strike="noStrike">
                <a:solidFill>
                  <a:srgbClr val="00005A"/>
                </a:solidFill>
                <a:latin typeface="+mn-lt"/>
                <a:ea typeface="+mn-ea"/>
                <a:cs typeface="+mn-cs"/>
              </a:defRPr>
            </a:pPr>
            <a:endParaRPr lang="fr-FR"/>
          </a:p>
        </c:txPr>
        <c:crossAx val="185979248"/>
        <c:crosses val="autoZero"/>
        <c:crossBetween val="between"/>
      </c:valAx>
      <c:spPr>
        <a:prstGeom prst="rect">
          <a:avLst/>
        </a:prstGeom>
        <a:noFill/>
        <a:ln>
          <a:noFill/>
        </a:ln>
        <a:effectLst/>
      </c:spPr>
    </c:plotArea>
    <c:legend>
      <c:legendPos val="b"/>
      <c:layout>
        <c:manualLayout>
          <c:xMode val="edge"/>
          <c:yMode val="edge"/>
          <c:x val="0.60413525588881922"/>
          <c:y val="6.5061250199574441E-2"/>
          <c:w val="0.37175066956888342"/>
          <c:h val="6.692686063474497E-2"/>
        </c:manualLayout>
      </c:layout>
      <c:overlay val="0"/>
      <c:spPr>
        <a:prstGeom prst="rect">
          <a:avLst/>
        </a:prstGeom>
        <a:noFill/>
        <a:ln>
          <a:noFill/>
        </a:ln>
        <a:effectLst/>
      </c:spPr>
      <c:txPr>
        <a:bodyPr rot="0" spcFirstLastPara="1" vertOverflow="ellipsis" vert="horz" wrap="square" anchor="ctr" anchorCtr="1"/>
        <a:lstStyle/>
        <a:p>
          <a:pPr>
            <a:defRPr sz="1200" b="1" i="0" u="none" strike="noStrike">
              <a:solidFill>
                <a:srgbClr val="00005A"/>
              </a:solidFill>
              <a:latin typeface="+mn-lt"/>
              <a:ea typeface="+mn-ea"/>
              <a:cs typeface="+mn-cs"/>
            </a:defRPr>
          </a:pPr>
          <a:endParaRPr lang="fr-FR"/>
        </a:p>
      </c:txPr>
    </c:legend>
    <c:plotVisOnly val="1"/>
    <c:dispBlanksAs val="gap"/>
    <c:showDLblsOverMax val="0"/>
  </c:chart>
  <c:spPr>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'13'!$D$367</c:f>
              <c:strCache>
                <c:ptCount val="1"/>
                <c:pt idx="0">
                  <c:v>Part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FD-A242-8DDD-A0B1D1945F7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1AFD-A242-8DDD-A0B1D1945F77}"/>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AFD-A242-8DDD-A0B1D1945F77}"/>
                </c:ext>
              </c:extLst>
            </c:dLbl>
            <c:dLbl>
              <c:idx val="1"/>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AFD-A242-8DDD-A0B1D1945F7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'13'!$B$368:$B$369</c:f>
            </c:strRef>
          </c:cat>
          <c:val>
            <c:numRef>
              <c:f>'13'!$D$368:$D$369</c:f>
            </c:numRef>
          </c:val>
          <c:extLst>
            <c:ext xmlns:c16="http://schemas.microsoft.com/office/drawing/2014/chart" uri="{C3380CC4-5D6E-409C-BE32-E72D297353CC}">
              <c16:uniqueId val="{00000000-1AFD-A242-8DDD-A0B1D1945F7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0.33980557477653567"/>
          <c:y val="0.79968539158478913"/>
          <c:w val="0.33011649203532939"/>
          <c:h val="8.2865885851587662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34935199816017E-2"/>
          <c:y val="0.18817705053190001"/>
          <c:w val="0.9263047042900332"/>
          <c:h val="0.72843148033034488"/>
        </c:manualLayout>
      </c:layout>
      <c:barChart>
        <c:barDir val="col"/>
        <c:grouping val="stacked"/>
        <c:varyColors val="0"/>
        <c:ser>
          <c:idx val="0"/>
          <c:order val="0"/>
          <c:tx>
            <c:strRef>
              <c:f>Récapitulatif!$C$133</c:f>
              <c:strCache>
                <c:ptCount val="1"/>
                <c:pt idx="0">
                  <c:v>Négatif </c:v>
                </c:pt>
              </c:strCache>
            </c:strRef>
          </c:tx>
          <c:spPr>
            <a:solidFill>
              <a:srgbClr val="00005A">
                <a:alpha val="0"/>
              </a:srgbClr>
            </a:solidFill>
            <a:ln>
              <a:noFill/>
            </a:ln>
            <a:effectLst/>
          </c:spPr>
          <c:invertIfNegative val="0"/>
          <c:cat>
            <c:strRef>
              <c:f>Récapitulatif!$B$167:$B$177</c:f>
              <c:strCache>
                <c:ptCount val="11"/>
                <c:pt idx="0">
                  <c:v>Émissions en 2022 </c:v>
                </c:pt>
                <c:pt idx="1">
                  <c:v>Déplacement des spectateurs </c:v>
                </c:pt>
                <c:pt idx="2">
                  <c:v>Transport des équipes </c:v>
                </c:pt>
                <c:pt idx="3">
                  <c:v>Déplacement des salariés</c:v>
                </c:pt>
                <c:pt idx="4">
                  <c:v>Immobilisations</c:v>
                </c:pt>
                <c:pt idx="5">
                  <c:v>Alimentation et boissons</c:v>
                </c:pt>
                <c:pt idx="6">
                  <c:v>Consommation d'énergie</c:v>
                </c:pt>
                <c:pt idx="7">
                  <c:v>Retransmission </c:v>
                </c:pt>
                <c:pt idx="8">
                  <c:v>Autres </c:v>
                </c:pt>
                <c:pt idx="9">
                  <c:v>Déchets </c:v>
                </c:pt>
                <c:pt idx="10">
                  <c:v>Émissions 2050 après transformation</c:v>
                </c:pt>
              </c:strCache>
            </c:strRef>
          </c:cat>
          <c:val>
            <c:numRef>
              <c:f>Récapitulatif!$C$167:$C$177</c:f>
              <c:numCache>
                <c:formatCode>_ * #\ ##0_)\ _€_ ;_ * \(#\ ##0\)\ _€_ ;_ * "-"??_)\ _€_ ;_ @_ </c:formatCode>
                <c:ptCount val="11"/>
                <c:pt idx="1">
                  <c:v>245099.49591703879</c:v>
                </c:pt>
                <c:pt idx="2">
                  <c:v>217738.54773216631</c:v>
                </c:pt>
                <c:pt idx="3">
                  <c:v>198132.19518428852</c:v>
                </c:pt>
                <c:pt idx="4">
                  <c:v>181450.47223744477</c:v>
                </c:pt>
                <c:pt idx="5">
                  <c:v>164758.70976584018</c:v>
                </c:pt>
                <c:pt idx="6">
                  <c:v>156438.70976584018</c:v>
                </c:pt>
                <c:pt idx="7">
                  <c:v>147944.68889325741</c:v>
                </c:pt>
                <c:pt idx="8">
                  <c:v>145182.08059095501</c:v>
                </c:pt>
                <c:pt idx="9">
                  <c:v>143534.49864066707</c:v>
                </c:pt>
              </c:numCache>
            </c:numRef>
          </c:val>
          <c:extLst>
            <c:ext xmlns:c16="http://schemas.microsoft.com/office/drawing/2014/chart" uri="{C3380CC4-5D6E-409C-BE32-E72D297353CC}">
              <c16:uniqueId val="{00000000-5F3F-154E-80C8-25E31102F8B6}"/>
            </c:ext>
          </c:extLst>
        </c:ser>
        <c:ser>
          <c:idx val="1"/>
          <c:order val="1"/>
          <c:tx>
            <c:strRef>
              <c:f>Récapitulatif!$D$133</c:f>
              <c:strCache>
                <c:ptCount val="1"/>
                <c:pt idx="0">
                  <c:v>Émissions (ktCO2e)</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2-5F3F-154E-80C8-25E31102F8B6}"/>
              </c:ext>
            </c:extLst>
          </c:dPt>
          <c:dPt>
            <c:idx val="1"/>
            <c:invertIfNegative val="0"/>
            <c:bubble3D val="0"/>
            <c:spPr>
              <a:solidFill>
                <a:schemeClr val="accent5"/>
              </a:solidFill>
              <a:ln>
                <a:noFill/>
              </a:ln>
              <a:effectLst/>
            </c:spPr>
            <c:extLst>
              <c:ext xmlns:c16="http://schemas.microsoft.com/office/drawing/2014/chart" uri="{C3380CC4-5D6E-409C-BE32-E72D297353CC}">
                <c16:uniqueId val="{00000004-5F3F-154E-80C8-25E31102F8B6}"/>
              </c:ext>
            </c:extLst>
          </c:dPt>
          <c:dPt>
            <c:idx val="2"/>
            <c:invertIfNegative val="0"/>
            <c:bubble3D val="0"/>
            <c:spPr>
              <a:solidFill>
                <a:schemeClr val="accent5"/>
              </a:solidFill>
              <a:ln>
                <a:noFill/>
              </a:ln>
              <a:effectLst/>
            </c:spPr>
            <c:extLst>
              <c:ext xmlns:c16="http://schemas.microsoft.com/office/drawing/2014/chart" uri="{C3380CC4-5D6E-409C-BE32-E72D297353CC}">
                <c16:uniqueId val="{00000006-5F3F-154E-80C8-25E31102F8B6}"/>
              </c:ext>
            </c:extLst>
          </c:dPt>
          <c:dPt>
            <c:idx val="3"/>
            <c:invertIfNegative val="0"/>
            <c:bubble3D val="0"/>
            <c:spPr>
              <a:solidFill>
                <a:schemeClr val="accent5"/>
              </a:solidFill>
              <a:ln>
                <a:noFill/>
              </a:ln>
              <a:effectLst/>
            </c:spPr>
            <c:extLst>
              <c:ext xmlns:c16="http://schemas.microsoft.com/office/drawing/2014/chart" uri="{C3380CC4-5D6E-409C-BE32-E72D297353CC}">
                <c16:uniqueId val="{00000008-5F3F-154E-80C8-25E31102F8B6}"/>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A-5F3F-154E-80C8-25E31102F8B6}"/>
              </c:ext>
            </c:extLst>
          </c:dPt>
          <c:dPt>
            <c:idx val="5"/>
            <c:invertIfNegative val="0"/>
            <c:bubble3D val="0"/>
            <c:spPr>
              <a:solidFill>
                <a:schemeClr val="accent5"/>
              </a:solidFill>
              <a:ln>
                <a:noFill/>
              </a:ln>
              <a:effectLst/>
            </c:spPr>
            <c:extLst>
              <c:ext xmlns:c16="http://schemas.microsoft.com/office/drawing/2014/chart" uri="{C3380CC4-5D6E-409C-BE32-E72D297353CC}">
                <c16:uniqueId val="{0000000C-5F3F-154E-80C8-25E31102F8B6}"/>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E-5F3F-154E-80C8-25E31102F8B6}"/>
              </c:ext>
            </c:extLst>
          </c:dPt>
          <c:dPt>
            <c:idx val="7"/>
            <c:invertIfNegative val="0"/>
            <c:bubble3D val="0"/>
            <c:spPr>
              <a:solidFill>
                <a:schemeClr val="accent5"/>
              </a:solidFill>
              <a:ln>
                <a:noFill/>
              </a:ln>
              <a:effectLst/>
            </c:spPr>
            <c:extLst>
              <c:ext xmlns:c16="http://schemas.microsoft.com/office/drawing/2014/chart" uri="{C3380CC4-5D6E-409C-BE32-E72D297353CC}">
                <c16:uniqueId val="{00000010-5F3F-154E-80C8-25E31102F8B6}"/>
              </c:ext>
            </c:extLst>
          </c:dPt>
          <c:dPt>
            <c:idx val="8"/>
            <c:invertIfNegative val="0"/>
            <c:bubble3D val="0"/>
            <c:spPr>
              <a:solidFill>
                <a:schemeClr val="accent5"/>
              </a:solidFill>
              <a:ln>
                <a:noFill/>
              </a:ln>
              <a:effectLst/>
            </c:spPr>
            <c:extLst>
              <c:ext xmlns:c16="http://schemas.microsoft.com/office/drawing/2014/chart" uri="{C3380CC4-5D6E-409C-BE32-E72D297353CC}">
                <c16:uniqueId val="{00000012-5F3F-154E-80C8-25E31102F8B6}"/>
              </c:ext>
            </c:extLst>
          </c:dPt>
          <c:dPt>
            <c:idx val="9"/>
            <c:invertIfNegative val="0"/>
            <c:bubble3D val="0"/>
            <c:spPr>
              <a:solidFill>
                <a:schemeClr val="accent5"/>
              </a:solidFill>
              <a:ln>
                <a:noFill/>
              </a:ln>
              <a:effectLst/>
            </c:spPr>
            <c:extLst>
              <c:ext xmlns:c16="http://schemas.microsoft.com/office/drawing/2014/chart" uri="{C3380CC4-5D6E-409C-BE32-E72D297353CC}">
                <c16:uniqueId val="{00000014-5F3F-154E-80C8-25E31102F8B6}"/>
              </c:ext>
            </c:extLst>
          </c:dPt>
          <c:dPt>
            <c:idx val="10"/>
            <c:invertIfNegative val="0"/>
            <c:bubble3D val="0"/>
            <c:spPr>
              <a:solidFill>
                <a:schemeClr val="tx2"/>
              </a:solidFill>
              <a:ln>
                <a:noFill/>
              </a:ln>
              <a:effectLst/>
            </c:spPr>
            <c:extLst>
              <c:ext xmlns:c16="http://schemas.microsoft.com/office/drawing/2014/chart" uri="{C3380CC4-5D6E-409C-BE32-E72D297353CC}">
                <c16:uniqueId val="{00000016-5F3F-154E-80C8-25E31102F8B6}"/>
              </c:ext>
            </c:extLst>
          </c:dPt>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2-5F3F-154E-80C8-25E31102F8B6}"/>
                </c:ext>
              </c:extLst>
            </c:dLbl>
            <c:dLbl>
              <c:idx val="6"/>
              <c:layout>
                <c:manualLayout>
                  <c:x val="9.0529153595170285E-4"/>
                  <c:y val="1.98728028844848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3F-154E-80C8-25E31102F8B6}"/>
                </c:ext>
              </c:extLst>
            </c:dLbl>
            <c:dLbl>
              <c:idx val="7"/>
              <c:layout>
                <c:manualLayout>
                  <c:x val="-2.7528999199491386E-3"/>
                  <c:y val="2.966126904504235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F3F-154E-80C8-25E31102F8B6}"/>
                </c:ext>
              </c:extLst>
            </c:dLbl>
            <c:dLbl>
              <c:idx val="8"/>
              <c:layout>
                <c:manualLayout>
                  <c:x val="1.0566289907712194E-3"/>
                  <c:y val="2.24914383363363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F3F-154E-80C8-25E31102F8B6}"/>
                </c:ext>
              </c:extLst>
            </c:dLbl>
            <c:dLbl>
              <c:idx val="9"/>
              <c:layout>
                <c:manualLayout>
                  <c:x val="1.0566289907712968E-3"/>
                  <c:y val="2.76817702601063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F3F-154E-80C8-25E31102F8B6}"/>
                </c:ext>
              </c:extLst>
            </c:dLbl>
            <c:dLbl>
              <c:idx val="1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6-5F3F-154E-80C8-25E31102F8B6}"/>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Récapitulatif!$B$167:$B$177</c:f>
              <c:strCache>
                <c:ptCount val="11"/>
                <c:pt idx="0">
                  <c:v>Émissions en 2022 </c:v>
                </c:pt>
                <c:pt idx="1">
                  <c:v>Déplacement des spectateurs </c:v>
                </c:pt>
                <c:pt idx="2">
                  <c:v>Transport des équipes </c:v>
                </c:pt>
                <c:pt idx="3">
                  <c:v>Déplacement des salariés</c:v>
                </c:pt>
                <c:pt idx="4">
                  <c:v>Immobilisations</c:v>
                </c:pt>
                <c:pt idx="5">
                  <c:v>Alimentation et boissons</c:v>
                </c:pt>
                <c:pt idx="6">
                  <c:v>Consommation d'énergie</c:v>
                </c:pt>
                <c:pt idx="7">
                  <c:v>Retransmission </c:v>
                </c:pt>
                <c:pt idx="8">
                  <c:v>Autres </c:v>
                </c:pt>
                <c:pt idx="9">
                  <c:v>Déchets </c:v>
                </c:pt>
                <c:pt idx="10">
                  <c:v>Émissions 2050 après transformation</c:v>
                </c:pt>
              </c:strCache>
            </c:strRef>
          </c:cat>
          <c:val>
            <c:numRef>
              <c:f>Récapitulatif!$D$167:$D$177</c:f>
              <c:numCache>
                <c:formatCode>_ * #\ ##0_)_ ;_ * \(#\ ##0\)_ ;_ * "-"??_)_ ;_ @_ </c:formatCode>
                <c:ptCount val="11"/>
                <c:pt idx="0">
                  <c:v>442868.54547044227</c:v>
                </c:pt>
                <c:pt idx="1">
                  <c:v>197769.04955340349</c:v>
                </c:pt>
                <c:pt idx="2">
                  <c:v>27360.948184872497</c:v>
                </c:pt>
                <c:pt idx="3">
                  <c:v>19606.352547877788</c:v>
                </c:pt>
                <c:pt idx="4">
                  <c:v>16681.722946843747</c:v>
                </c:pt>
                <c:pt idx="5">
                  <c:v>16691.762471604598</c:v>
                </c:pt>
                <c:pt idx="6">
                  <c:v>8320</c:v>
                </c:pt>
                <c:pt idx="7">
                  <c:v>8494.0208725827815</c:v>
                </c:pt>
                <c:pt idx="8">
                  <c:v>2762.608302302393</c:v>
                </c:pt>
                <c:pt idx="9">
                  <c:v>1647.5819502879388</c:v>
                </c:pt>
                <c:pt idx="10">
                  <c:v>143534.49864066712</c:v>
                </c:pt>
              </c:numCache>
            </c:numRef>
          </c:val>
          <c:extLst>
            <c:ext xmlns:c16="http://schemas.microsoft.com/office/drawing/2014/chart" uri="{C3380CC4-5D6E-409C-BE32-E72D297353CC}">
              <c16:uniqueId val="{00000017-5F3F-154E-80C8-25E31102F8B6}"/>
            </c:ext>
          </c:extLst>
        </c:ser>
        <c:dLbls>
          <c:showLegendKey val="0"/>
          <c:showVal val="0"/>
          <c:showCatName val="0"/>
          <c:showSerName val="0"/>
          <c:showPercent val="0"/>
          <c:showBubbleSize val="0"/>
        </c:dLbls>
        <c:gapWidth val="10"/>
        <c:overlap val="100"/>
        <c:axId val="597750128"/>
        <c:axId val="597712944"/>
      </c:barChart>
      <c:catAx>
        <c:axId val="597750128"/>
        <c:scaling>
          <c:orientation val="minMax"/>
        </c:scaling>
        <c:delete val="1"/>
        <c:axPos val="b"/>
        <c:numFmt formatCode="General" sourceLinked="1"/>
        <c:majorTickMark val="none"/>
        <c:minorTickMark val="none"/>
        <c:tickLblPos val="nextTo"/>
        <c:crossAx val="597712944"/>
        <c:crosses val="autoZero"/>
        <c:auto val="1"/>
        <c:lblAlgn val="ctr"/>
        <c:lblOffset val="100"/>
        <c:noMultiLvlLbl val="0"/>
      </c:catAx>
      <c:valAx>
        <c:axId val="597712944"/>
        <c:scaling>
          <c:orientation val="minMax"/>
        </c:scaling>
        <c:delete val="1"/>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fr-FR" sz="1800" b="1" i="0" u="none" strike="noStrike" kern="1200" baseline="0">
                    <a:solidFill>
                      <a:schemeClr val="tx1"/>
                    </a:solidFill>
                  </a:rPr>
                  <a:t>Émissions en tonnes de CO2 équivalents</a:t>
                </a:r>
              </a:p>
            </c:rich>
          </c:tx>
          <c:layout>
            <c:manualLayout>
              <c:xMode val="edge"/>
              <c:yMode val="edge"/>
              <c:x val="2.2323939210115076E-2"/>
              <c:y val="0.24226022135291667"/>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crossAx val="597750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a:pPr>
      <a:endParaRPr lang="fr-FR"/>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'13'!$C$385</c:f>
              <c:strCache>
                <c:ptCount val="1"/>
                <c:pt idx="0">
                  <c:v>Facteur d'émissions en kgCO2e.passager.km</c:v>
                </c:pt>
              </c:strCache>
            </c:strRef>
          </c:tx>
          <c:spPr>
            <a:solidFill>
              <a:schemeClr val="accent1"/>
            </a:solid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1-E761-234F-BFC2-8AD5E1FDCC2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0-E761-234F-BFC2-8AD5E1FDCC21}"/>
              </c:ext>
            </c:extLst>
          </c:dPt>
          <c:dPt>
            <c:idx val="2"/>
            <c:invertIfNegative val="0"/>
            <c:bubble3D val="0"/>
            <c:spPr>
              <a:solidFill>
                <a:schemeClr val="accent6"/>
              </a:solidFill>
              <a:ln>
                <a:noFill/>
              </a:ln>
              <a:effectLst/>
            </c:spPr>
            <c:extLst>
              <c:ext xmlns:c16="http://schemas.microsoft.com/office/drawing/2014/chart" uri="{C3380CC4-5D6E-409C-BE32-E72D297353CC}">
                <c16:uniqueId val="{00000002-E761-234F-BFC2-8AD5E1FDCC21}"/>
              </c:ext>
            </c:extLst>
          </c:dPt>
          <c:dLbls>
            <c:dLbl>
              <c:idx val="1"/>
              <c:layout>
                <c:manualLayout>
                  <c:x val="0"/>
                  <c:y val="1.75596782781089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61-234F-BFC2-8AD5E1FDCC2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2"/>
                      </a:solidFill>
                      <a:latin typeface="Poppins" pitchFamily="2" charset="77"/>
                      <a:ea typeface="+mn-ea"/>
                      <a:cs typeface="Poppins" pitchFamily="2" charset="77"/>
                    </a:defRPr>
                  </a:pPr>
                  <a:endParaRPr lang="fr-FR"/>
                </a:p>
              </c:txPr>
              <c:dLblPos val="inEnd"/>
              <c:showLegendKey val="0"/>
              <c:showVal val="1"/>
              <c:showCatName val="0"/>
              <c:showSerName val="0"/>
              <c:showPercent val="0"/>
              <c:showBubbleSize val="0"/>
              <c:extLst>
                <c:ext xmlns:c16="http://schemas.microsoft.com/office/drawing/2014/chart" uri="{C3380CC4-5D6E-409C-BE32-E72D297353CC}">
                  <c16:uniqueId val="{00000002-E761-234F-BFC2-8AD5E1FDCC2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2"/>
                      </a:solidFill>
                      <a:latin typeface="Poppins" pitchFamily="2" charset="77"/>
                      <a:ea typeface="+mn-ea"/>
                      <a:cs typeface="Poppins" pitchFamily="2" charset="77"/>
                    </a:defRPr>
                  </a:pPr>
                  <a:endParaRPr lang="fr-FR"/>
                </a:p>
              </c:txPr>
              <c:dLblPos val="inEnd"/>
              <c:showLegendKey val="0"/>
              <c:showVal val="1"/>
              <c:showCatName val="0"/>
              <c:showSerName val="0"/>
              <c:showPercent val="0"/>
              <c:showBubbleSize val="0"/>
              <c:extLst>
                <c:ext xmlns:c16="http://schemas.microsoft.com/office/drawing/2014/chart" uri="{C3380CC4-5D6E-409C-BE32-E72D297353CC}">
                  <c16:uniqueId val="{00000003-E761-234F-BFC2-8AD5E1FDCC2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Poppins" pitchFamily="2" charset="77"/>
                    <a:ea typeface="+mn-ea"/>
                    <a:cs typeface="Poppins" pitchFamily="2" charset="77"/>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'13'!$B$386:$B$389</c:f>
            </c:strRef>
          </c:cat>
          <c:val>
            <c:numRef>
              <c:f>'13'!$C$386:$C$389</c:f>
            </c:numRef>
          </c:val>
          <c:extLst>
            <c:ext xmlns:c16="http://schemas.microsoft.com/office/drawing/2014/chart" uri="{C3380CC4-5D6E-409C-BE32-E72D297353CC}">
              <c16:uniqueId val="{00000000-CA7D-9A4F-B3FE-B7464B4C1C46}"/>
            </c:ext>
          </c:extLst>
        </c:ser>
        <c:dLbls>
          <c:dLblPos val="inEnd"/>
          <c:showLegendKey val="0"/>
          <c:showVal val="1"/>
          <c:showCatName val="0"/>
          <c:showSerName val="0"/>
          <c:showPercent val="0"/>
          <c:showBubbleSize val="0"/>
        </c:dLbls>
        <c:gapWidth val="219"/>
        <c:overlap val="-27"/>
        <c:axId val="1718777695"/>
        <c:axId val="1718818751"/>
      </c:barChart>
      <c:catAx>
        <c:axId val="1718777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1"/>
                </a:solidFill>
                <a:latin typeface="Poppins" pitchFamily="2" charset="77"/>
                <a:ea typeface="+mn-ea"/>
                <a:cs typeface="Poppins" pitchFamily="2" charset="77"/>
              </a:defRPr>
            </a:pPr>
            <a:endParaRPr lang="fr-FR"/>
          </a:p>
        </c:txPr>
        <c:crossAx val="1718818751"/>
        <c:crosses val="autoZero"/>
        <c:auto val="1"/>
        <c:lblAlgn val="ctr"/>
        <c:lblOffset val="100"/>
        <c:noMultiLvlLbl val="0"/>
      </c:catAx>
      <c:valAx>
        <c:axId val="17188187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itchFamily="2" charset="77"/>
                    <a:ea typeface="+mn-ea"/>
                    <a:cs typeface="Poppins" pitchFamily="2" charset="77"/>
                  </a:defRPr>
                </a:pPr>
                <a:r>
                  <a:rPr lang="fr-FR" sz="1000" b="1">
                    <a:solidFill>
                      <a:schemeClr val="accent1"/>
                    </a:solidFill>
                    <a:latin typeface="Poppins" pitchFamily="2" charset="77"/>
                    <a:cs typeface="Poppins" pitchFamily="2" charset="77"/>
                  </a:rPr>
                  <a:t>Facteur d'émissions (kgCO2e/passager/km)</a:t>
                </a:r>
              </a:p>
            </c:rich>
          </c:tx>
          <c:layout>
            <c:manualLayout>
              <c:xMode val="edge"/>
              <c:yMode val="edge"/>
              <c:x val="1.0997066813848407E-2"/>
              <c:y val="0.138544814643286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itchFamily="2" charset="77"/>
                  <a:ea typeface="+mn-ea"/>
                  <a:cs typeface="Poppins" pitchFamily="2" charset="77"/>
                </a:defRPr>
              </a:pPr>
              <a:endParaRPr lang="fr-FR"/>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1"/>
                </a:solidFill>
                <a:latin typeface="Poppins" pitchFamily="2" charset="77"/>
                <a:ea typeface="+mn-ea"/>
                <a:cs typeface="Poppins" pitchFamily="2" charset="77"/>
              </a:defRPr>
            </a:pPr>
            <a:endParaRPr lang="fr-FR"/>
          </a:p>
        </c:txPr>
        <c:crossAx val="1718777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spc="0" baseline="0">
                <a:solidFill>
                  <a:schemeClr val="tx1">
                    <a:lumMod val="65000"/>
                    <a:lumOff val="35000"/>
                  </a:schemeClr>
                </a:solidFill>
                <a:latin typeface="+mn-lt"/>
                <a:ea typeface="+mn-ea"/>
                <a:cs typeface="+mn-cs"/>
              </a:defRPr>
            </a:pPr>
            <a:r>
              <a:rPr lang="en-GB" b="1"/>
              <a:t>Evolution du facteur d'émissions de l'aviation par rapport à 2019</a:t>
            </a:r>
            <a:endParaRPr lang="en-GB"/>
          </a:p>
        </c:rich>
      </c:tx>
      <c:overlay val="0"/>
      <c:spPr>
        <a:prstGeom prst="rect">
          <a:avLst/>
        </a:prstGeom>
        <a:noFill/>
        <a:ln>
          <a:noFill/>
        </a:ln>
        <a:effectLst/>
      </c:spPr>
      <c:txPr>
        <a:bodyPr rot="0" spcFirstLastPara="1" vertOverflow="ellipsis" vert="horz" wrap="square" anchor="ctr" anchorCtr="1"/>
        <a:lstStyle/>
        <a:p>
          <a:pPr>
            <a:defRPr sz="1400" b="0" i="0" u="none" strike="noStrike" spc="0" baseline="0">
              <a:solidFill>
                <a:schemeClr val="tx1">
                  <a:lumMod val="65000"/>
                  <a:lumOff val="35000"/>
                </a:schemeClr>
              </a:solidFill>
              <a:latin typeface="+mn-lt"/>
              <a:ea typeface="+mn-ea"/>
              <a:cs typeface="+mn-cs"/>
            </a:defRPr>
          </a:pPr>
          <a:endParaRPr lang="en-GB"/>
        </a:p>
      </c:txPr>
    </c:title>
    <c:autoTitleDeleted val="0"/>
    <c:plotArea>
      <c:layout/>
      <c:lineChart>
        <c:grouping val="stacked"/>
        <c:varyColors val="0"/>
        <c:ser>
          <c:idx val="0"/>
          <c:order val="0"/>
          <c:spPr bwMode="auto">
            <a:prstGeom prst="rect">
              <a:avLst/>
            </a:prstGeom>
            <a:ln w="28575" cap="rnd">
              <a:solidFill>
                <a:schemeClr val="accent1"/>
              </a:solidFill>
              <a:round/>
            </a:ln>
            <a:effectLst/>
          </c:spPr>
          <c:marker>
            <c:symbol val="none"/>
          </c:marker>
          <c:cat>
            <c:numLit>
              <c:formatCode>General</c:formatCode>
              <c:ptCount val="33"/>
              <c:pt idx="2">
                <c:v>2020</c:v>
              </c:pt>
              <c:pt idx="7">
                <c:v>2025</c:v>
              </c:pt>
              <c:pt idx="12">
                <c:v>2030</c:v>
              </c:pt>
              <c:pt idx="17">
                <c:v>2035</c:v>
              </c:pt>
              <c:pt idx="22">
                <c:v>2040</c:v>
              </c:pt>
              <c:pt idx="27">
                <c:v>2045</c:v>
              </c:pt>
              <c:pt idx="32">
                <c:v>2050</c:v>
              </c:pt>
            </c:numLit>
          </c:cat>
          <c:val>
            <c:numLit>
              <c:formatCode>General</c:formatCode>
              <c:ptCount val="33"/>
              <c:pt idx="0">
                <c:v>0.99999999999999978</c:v>
              </c:pt>
              <c:pt idx="1">
                <c:v>1</c:v>
              </c:pt>
              <c:pt idx="2">
                <c:v>0.99172000000000005</c:v>
              </c:pt>
              <c:pt idx="3">
                <c:v>0.97596841101429221</c:v>
              </c:pt>
              <c:pt idx="4">
                <c:v>0.96663244395234948</c:v>
              </c:pt>
              <c:pt idx="5">
                <c:v>0.95714669059478052</c:v>
              </c:pt>
              <c:pt idx="6">
                <c:v>0.94748976102910709</c:v>
              </c:pt>
              <c:pt idx="7">
                <c:v>0.93695676746520273</c:v>
              </c:pt>
              <c:pt idx="8">
                <c:v>0.92596567970815435</c:v>
              </c:pt>
              <c:pt idx="9">
                <c:v>0.91442295106350724</c:v>
              </c:pt>
              <c:pt idx="10">
                <c:v>0.90221579778868799</c:v>
              </c:pt>
              <c:pt idx="11">
                <c:v>0.88920819853025257</c:v>
              </c:pt>
              <c:pt idx="12">
                <c:v>0.86758007404272963</c:v>
              </c:pt>
              <c:pt idx="13">
                <c:v>0.85387550806047285</c:v>
              </c:pt>
              <c:pt idx="14">
                <c:v>0.83815261660277462</c:v>
              </c:pt>
              <c:pt idx="15">
                <c:v>0.82162439533152343</c:v>
              </c:pt>
              <c:pt idx="16">
                <c:v>0.8041654639216933</c:v>
              </c:pt>
              <c:pt idx="17">
                <c:v>0.78496558001866279</c:v>
              </c:pt>
              <c:pt idx="18">
                <c:v>0.76452213015941195</c:v>
              </c:pt>
              <c:pt idx="19">
                <c:v>0.74263063080420744</c:v>
              </c:pt>
              <c:pt idx="20">
                <c:v>0.71904925865555902</c:v>
              </c:pt>
              <c:pt idx="21">
                <c:v>0.69349134313987315</c:v>
              </c:pt>
              <c:pt idx="22">
                <c:v>0.63999404710985008</c:v>
              </c:pt>
              <c:pt idx="23">
                <c:v>0.58910963625413126</c:v>
              </c:pt>
              <c:pt idx="24">
                <c:v>0.5372446552567498</c:v>
              </c:pt>
              <c:pt idx="25">
                <c:v>0.48418036514568946</c:v>
              </c:pt>
              <c:pt idx="26">
                <c:v>0.42966721535535118</c:v>
              </c:pt>
              <c:pt idx="27">
                <c:v>0.38037790656142562</c:v>
              </c:pt>
              <c:pt idx="28">
                <c:v>0.33092729025338657</c:v>
              </c:pt>
              <c:pt idx="29">
                <c:v>0.31357191692509995</c:v>
              </c:pt>
              <c:pt idx="30">
                <c:v>0.29648429719044239</c:v>
              </c:pt>
              <c:pt idx="31">
                <c:v>0.27966443104941402</c:v>
              </c:pt>
              <c:pt idx="32">
                <c:v>0.26273658659118981</c:v>
              </c:pt>
            </c:numLit>
          </c:val>
          <c:smooth val="0"/>
          <c:extLst>
            <c:ext xmlns:c16="http://schemas.microsoft.com/office/drawing/2014/chart" uri="{C3380CC4-5D6E-409C-BE32-E72D297353CC}">
              <c16:uniqueId val="{00000000-2664-415F-B395-0322F43C9ED7}"/>
            </c:ext>
          </c:extLst>
        </c:ser>
        <c:dLbls>
          <c:showLegendKey val="0"/>
          <c:showVal val="0"/>
          <c:showCatName val="0"/>
          <c:showSerName val="0"/>
          <c:showPercent val="0"/>
          <c:showBubbleSize val="0"/>
        </c:dLbls>
        <c:smooth val="0"/>
        <c:axId val="1860776319"/>
        <c:axId val="1860774239"/>
      </c:lineChart>
      <c:catAx>
        <c:axId val="1860776319"/>
        <c:scaling>
          <c:orientation val="minMax"/>
        </c:scaling>
        <c:delete val="0"/>
        <c:axPos val="b"/>
        <c:numFmt formatCode="General" sourceLinked="1"/>
        <c:majorTickMark val="none"/>
        <c:minorTickMark val="none"/>
        <c:tickLblPos val="nextTo"/>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baseline="0">
                <a:solidFill>
                  <a:schemeClr val="tx1">
                    <a:lumMod val="65000"/>
                    <a:lumOff val="35000"/>
                  </a:schemeClr>
                </a:solidFill>
                <a:latin typeface="+mn-lt"/>
                <a:ea typeface="+mn-ea"/>
                <a:cs typeface="+mn-cs"/>
              </a:defRPr>
            </a:pPr>
            <a:endParaRPr lang="fr-FR"/>
          </a:p>
        </c:txPr>
        <c:crossAx val="1860774239"/>
        <c:crossesAt val="0"/>
        <c:auto val="1"/>
        <c:lblAlgn val="ctr"/>
        <c:lblOffset val="100"/>
        <c:noMultiLvlLbl val="0"/>
      </c:catAx>
      <c:valAx>
        <c:axId val="1860774239"/>
        <c:scaling>
          <c:orientation val="minMax"/>
          <c:max val="1.03"/>
          <c:min val="0"/>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General"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100" b="1" i="0" u="none" strike="noStrike" baseline="0">
                <a:solidFill>
                  <a:schemeClr val="tx1">
                    <a:lumMod val="65000"/>
                    <a:lumOff val="35000"/>
                  </a:schemeClr>
                </a:solidFill>
                <a:latin typeface="+mn-lt"/>
                <a:ea typeface="+mn-ea"/>
                <a:cs typeface="+mn-cs"/>
              </a:defRPr>
            </a:pPr>
            <a:endParaRPr lang="fr-FR"/>
          </a:p>
        </c:txPr>
        <c:crossAx val="1860776319"/>
        <c:crosses val="autoZero"/>
        <c:crossBetween val="between"/>
      </c:valAx>
      <c:spPr>
        <a:prstGeom prst="rect">
          <a:avLst/>
        </a:prstGeom>
        <a:noFill/>
        <a:ln>
          <a:noFill/>
        </a:ln>
        <a:effectLst/>
      </c:spPr>
    </c:plotArea>
    <c:plotVisOnly val="1"/>
    <c:dispBlanksAs val="zero"/>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'Fiche levier - 13'!$B$219</c:f>
              <c:strCache>
                <c:ptCount val="1"/>
                <c:pt idx="0">
                  <c:v>Avion affrété</c:v>
                </c:pt>
              </c:strCache>
            </c:strRef>
          </c:tx>
          <c:spPr>
            <a:solidFill>
              <a:schemeClr val="accent2"/>
            </a:solidFill>
            <a:ln w="12700">
              <a:solidFill>
                <a:schemeClr val="bg1"/>
              </a:solidFill>
            </a:ln>
            <a:effectLst/>
          </c:spPr>
          <c:val>
            <c:numRef>
              <c:f>'Fiche levier - 13'!$C$219:$D$219</c:f>
            </c:numRef>
          </c:val>
          <c:extLst>
            <c:ext xmlns:c15="http://schemas.microsoft.com/office/drawing/2012/chart" uri="{02D57815-91ED-43cb-92C2-25804820EDAC}">
              <c15:filteredCategoryTitle>
                <c15:cat>
                  <c:multiLvlStrRef>
                    <c:extLst>
                      <c:ext uri="{02D57815-91ED-43cb-92C2-25804820EDAC}">
                        <c15:formulaRef>
                          <c15:sqref>'Fiche levier - 13'!$C$218:$D$218</c15:sqref>
                        </c15:formulaRef>
                      </c:ext>
                    </c:extLst>
                  </c:multiLvlStrRef>
                </c15:cat>
              </c15:filteredCategoryTitle>
            </c:ext>
            <c:ext xmlns:c16="http://schemas.microsoft.com/office/drawing/2014/chart" uri="{C3380CC4-5D6E-409C-BE32-E72D297353CC}">
              <c16:uniqueId val="{00000000-9F46-BA49-AAD4-FAAE768E0669}"/>
            </c:ext>
          </c:extLst>
        </c:ser>
        <c:ser>
          <c:idx val="1"/>
          <c:order val="1"/>
          <c:tx>
            <c:strRef>
              <c:f>'Fiche levier - 13'!$B$220</c:f>
              <c:strCache>
                <c:ptCount val="1"/>
                <c:pt idx="0">
                  <c:v>Avion commercial</c:v>
                </c:pt>
              </c:strCache>
            </c:strRef>
          </c:tx>
          <c:spPr>
            <a:solidFill>
              <a:schemeClr val="accent3"/>
            </a:solidFill>
            <a:ln w="12700">
              <a:solidFill>
                <a:schemeClr val="bg1"/>
              </a:solidFill>
            </a:ln>
            <a:effectLst/>
          </c:spPr>
          <c:val>
            <c:numRef>
              <c:f>'Fiche levier - 13'!$C$220:$D$220</c:f>
            </c:numRef>
          </c:val>
          <c:extLst>
            <c:ext xmlns:c15="http://schemas.microsoft.com/office/drawing/2012/chart" uri="{02D57815-91ED-43cb-92C2-25804820EDAC}">
              <c15:filteredCategoryTitle>
                <c15:cat>
                  <c:multiLvlStrRef>
                    <c:extLst>
                      <c:ext uri="{02D57815-91ED-43cb-92C2-25804820EDAC}">
                        <c15:formulaRef>
                          <c15:sqref>'Fiche levier - 13'!$C$218:$D$218</c15:sqref>
                        </c15:formulaRef>
                      </c:ext>
                    </c:extLst>
                  </c:multiLvlStrRef>
                </c15:cat>
              </c15:filteredCategoryTitle>
            </c:ext>
            <c:ext xmlns:c16="http://schemas.microsoft.com/office/drawing/2014/chart" uri="{C3380CC4-5D6E-409C-BE32-E72D297353CC}">
              <c16:uniqueId val="{00000001-9F46-BA49-AAD4-FAAE768E0669}"/>
            </c:ext>
          </c:extLst>
        </c:ser>
        <c:ser>
          <c:idx val="2"/>
          <c:order val="2"/>
          <c:tx>
            <c:strRef>
              <c:f>'Fiche levier - 13'!$B$221</c:f>
              <c:strCache>
                <c:ptCount val="1"/>
                <c:pt idx="0">
                  <c:v>Car</c:v>
                </c:pt>
              </c:strCache>
            </c:strRef>
          </c:tx>
          <c:spPr>
            <a:solidFill>
              <a:schemeClr val="accent4"/>
            </a:solidFill>
            <a:ln w="12700">
              <a:solidFill>
                <a:schemeClr val="bg1"/>
              </a:solidFill>
            </a:ln>
            <a:effectLst/>
          </c:spPr>
          <c:val>
            <c:numRef>
              <c:f>'Fiche levier - 13'!$C$221:$D$221</c:f>
            </c:numRef>
          </c:val>
          <c:extLst>
            <c:ext xmlns:c15="http://schemas.microsoft.com/office/drawing/2012/chart" uri="{02D57815-91ED-43cb-92C2-25804820EDAC}">
              <c15:filteredCategoryTitle>
                <c15:cat>
                  <c:multiLvlStrRef>
                    <c:extLst>
                      <c:ext uri="{02D57815-91ED-43cb-92C2-25804820EDAC}">
                        <c15:formulaRef>
                          <c15:sqref>'Fiche levier - 13'!$C$218:$D$218</c15:sqref>
                        </c15:formulaRef>
                      </c:ext>
                    </c:extLst>
                  </c:multiLvlStrRef>
                </c15:cat>
              </c15:filteredCategoryTitle>
            </c:ext>
            <c:ext xmlns:c16="http://schemas.microsoft.com/office/drawing/2014/chart" uri="{C3380CC4-5D6E-409C-BE32-E72D297353CC}">
              <c16:uniqueId val="{00000002-9F46-BA49-AAD4-FAAE768E0669}"/>
            </c:ext>
          </c:extLst>
        </c:ser>
        <c:ser>
          <c:idx val="3"/>
          <c:order val="3"/>
          <c:tx>
            <c:strRef>
              <c:f>'Fiche levier - 13'!$B$222</c:f>
              <c:strCache>
                <c:ptCount val="1"/>
                <c:pt idx="0">
                  <c:v>Train</c:v>
                </c:pt>
              </c:strCache>
            </c:strRef>
          </c:tx>
          <c:spPr>
            <a:solidFill>
              <a:schemeClr val="accent1"/>
            </a:solidFill>
            <a:ln w="12700">
              <a:solidFill>
                <a:schemeClr val="bg1"/>
              </a:solidFill>
            </a:ln>
            <a:effectLst/>
          </c:spPr>
          <c:val>
            <c:numRef>
              <c:f>'Fiche levier - 13'!$C$222:$D$222</c:f>
            </c:numRef>
          </c:val>
          <c:extLst>
            <c:ext xmlns:c15="http://schemas.microsoft.com/office/drawing/2012/chart" uri="{02D57815-91ED-43cb-92C2-25804820EDAC}">
              <c15:filteredCategoryTitle>
                <c15:cat>
                  <c:multiLvlStrRef>
                    <c:extLst>
                      <c:ext uri="{02D57815-91ED-43cb-92C2-25804820EDAC}">
                        <c15:formulaRef>
                          <c15:sqref>'Fiche levier - 13'!$C$218:$D$218</c15:sqref>
                        </c15:formulaRef>
                      </c:ext>
                    </c:extLst>
                  </c:multiLvlStrRef>
                </c15:cat>
              </c15:filteredCategoryTitle>
            </c:ext>
            <c:ext xmlns:c16="http://schemas.microsoft.com/office/drawing/2014/chart" uri="{C3380CC4-5D6E-409C-BE32-E72D297353CC}">
              <c16:uniqueId val="{00000003-9F46-BA49-AAD4-FAAE768E0669}"/>
            </c:ext>
          </c:extLst>
        </c:ser>
        <c:dLbls>
          <c:showLegendKey val="0"/>
          <c:showVal val="0"/>
          <c:showCatName val="0"/>
          <c:showSerName val="0"/>
          <c:showPercent val="0"/>
          <c:showBubbleSize val="0"/>
        </c:dLbls>
        <c:axId val="1621788240"/>
        <c:axId val="1980804976"/>
      </c:areaChart>
      <c:catAx>
        <c:axId val="1621788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1980804976"/>
        <c:crosses val="autoZero"/>
        <c:auto val="1"/>
        <c:lblAlgn val="ctr"/>
        <c:lblOffset val="100"/>
        <c:noMultiLvlLbl val="0"/>
      </c:catAx>
      <c:valAx>
        <c:axId val="1980804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1621788240"/>
        <c:crosses val="autoZero"/>
        <c:crossBetween val="midCat"/>
        <c:majorUnit val="0.1"/>
      </c:valAx>
      <c:spPr>
        <a:noFill/>
        <a:ln>
          <a:noFill/>
        </a:ln>
        <a:effectLst/>
      </c:spPr>
    </c:plotArea>
    <c:legend>
      <c:legendPos val="b"/>
      <c:layout>
        <c:manualLayout>
          <c:xMode val="edge"/>
          <c:yMode val="edge"/>
          <c:x val="0.2457523633792546"/>
          <c:y val="0.86275560801412809"/>
          <c:w val="0.54206378445574743"/>
          <c:h val="6.4134809272598986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'Fiche levier - 13'!$B$219</c:f>
              <c:strCache>
                <c:ptCount val="1"/>
                <c:pt idx="0">
                  <c:v>Avion affrété</c:v>
                </c:pt>
              </c:strCache>
            </c:strRef>
          </c:tx>
          <c:spPr>
            <a:prstGeom prst="rect">
              <a:avLst/>
            </a:prstGeom>
            <a:solidFill>
              <a:schemeClr val="accent3"/>
            </a:solidFill>
            <a:ln>
              <a:solidFill>
                <a:schemeClr val="bg1"/>
              </a:solidFill>
            </a:ln>
            <a:effectLst/>
          </c:spPr>
          <c:invertIfNegative val="0"/>
          <c:dPt>
            <c:idx val="0"/>
            <c:invertIfNegative val="0"/>
            <c:bubble3D val="0"/>
            <c:spPr>
              <a:prstGeom prst="rect">
                <a:avLst/>
              </a:prstGeom>
              <a:solidFill>
                <a:schemeClr val="tx2"/>
              </a:solidFill>
              <a:ln>
                <a:solidFill>
                  <a:schemeClr val="bg1"/>
                </a:solidFill>
              </a:ln>
              <a:effectLst/>
            </c:spPr>
            <c:extLst>
              <c:ext xmlns:c16="http://schemas.microsoft.com/office/drawing/2014/chart" uri="{C3380CC4-5D6E-409C-BE32-E72D297353CC}">
                <c16:uniqueId val="{00000000-D527-8A4E-BBDC-41A3BF097E3E}"/>
              </c:ext>
            </c:extLst>
          </c:dPt>
          <c:dLbls>
            <c:dLbl>
              <c:idx val="1"/>
              <c:delete val="1"/>
              <c:extLst>
                <c:ext xmlns:c15="http://schemas.microsoft.com/office/drawing/2012/chart" uri="{CE6537A1-D6FC-4f65-9D91-7224C49458BB}"/>
                <c:ext xmlns:c16="http://schemas.microsoft.com/office/drawing/2014/chart" uri="{C3380CC4-5D6E-409C-BE32-E72D297353CC}">
                  <c16:uniqueId val="{00000001-D527-8A4E-BBDC-41A3BF097E3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bg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- 13'!$C$219:$D$219</c:f>
            </c:numRef>
          </c:val>
          <c:extLst>
            <c:ext xmlns:c15="http://schemas.microsoft.com/office/drawing/2012/chart" uri="{02D57815-91ED-43cb-92C2-25804820EDAC}">
              <c15:filteredCategoryTitle>
                <c15:cat>
                  <c:multiLvlStrRef>
                    <c:extLst>
                      <c:ext uri="{02D57815-91ED-43cb-92C2-25804820EDAC}">
                        <c15:formulaRef>
                          <c15:sqref>'Fiche levier - 13'!$C$218:$D$218</c15:sqref>
                        </c15:formulaRef>
                      </c:ext>
                    </c:extLst>
                  </c:multiLvlStrRef>
                </c15:cat>
              </c15:filteredCategoryTitle>
            </c:ext>
            <c:ext xmlns:c16="http://schemas.microsoft.com/office/drawing/2014/chart" uri="{C3380CC4-5D6E-409C-BE32-E72D297353CC}">
              <c16:uniqueId val="{00000000-3C44-D448-8205-BDB6EA3B76C0}"/>
            </c:ext>
          </c:extLst>
        </c:ser>
        <c:ser>
          <c:idx val="1"/>
          <c:order val="1"/>
          <c:tx>
            <c:strRef>
              <c:f>'Fiche levier - 13'!$B$220</c:f>
              <c:strCache>
                <c:ptCount val="1"/>
                <c:pt idx="0">
                  <c:v>Avion commercial</c:v>
                </c:pt>
              </c:strCache>
            </c:strRef>
          </c:tx>
          <c:spPr>
            <a:prstGeom prst="rect">
              <a:avLst/>
            </a:prstGeom>
            <a:solidFill>
              <a:schemeClr val="accent6"/>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bg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- 13'!$C$220:$D$220</c:f>
            </c:numRef>
          </c:val>
          <c:extLst>
            <c:ext xmlns:c15="http://schemas.microsoft.com/office/drawing/2012/chart" uri="{02D57815-91ED-43cb-92C2-25804820EDAC}">
              <c15:filteredCategoryTitle>
                <c15:cat>
                  <c:multiLvlStrRef>
                    <c:extLst>
                      <c:ext uri="{02D57815-91ED-43cb-92C2-25804820EDAC}">
                        <c15:formulaRef>
                          <c15:sqref>'Fiche levier - 13'!$C$218:$D$218</c15:sqref>
                        </c15:formulaRef>
                      </c:ext>
                    </c:extLst>
                  </c:multiLvlStrRef>
                </c15:cat>
              </c15:filteredCategoryTitle>
            </c:ext>
            <c:ext xmlns:c16="http://schemas.microsoft.com/office/drawing/2014/chart" uri="{C3380CC4-5D6E-409C-BE32-E72D297353CC}">
              <c16:uniqueId val="{00000001-3C44-D448-8205-BDB6EA3B76C0}"/>
            </c:ext>
          </c:extLst>
        </c:ser>
        <c:ser>
          <c:idx val="2"/>
          <c:order val="2"/>
          <c:tx>
            <c:strRef>
              <c:f>'Fiche levier - 13'!$B$221</c:f>
              <c:strCache>
                <c:ptCount val="1"/>
                <c:pt idx="0">
                  <c:v>Car</c:v>
                </c:pt>
              </c:strCache>
            </c:strRef>
          </c:tx>
          <c:spPr>
            <a:prstGeom prst="rect">
              <a:avLst/>
            </a:prstGeom>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- 13'!$C$221:$D$221</c:f>
            </c:numRef>
          </c:val>
          <c:extLst>
            <c:ext xmlns:c15="http://schemas.microsoft.com/office/drawing/2012/chart" uri="{02D57815-91ED-43cb-92C2-25804820EDAC}">
              <c15:filteredCategoryTitle>
                <c15:cat>
                  <c:multiLvlStrRef>
                    <c:extLst>
                      <c:ext uri="{02D57815-91ED-43cb-92C2-25804820EDAC}">
                        <c15:formulaRef>
                          <c15:sqref>'Fiche levier - 13'!$C$218:$D$218</c15:sqref>
                        </c15:formulaRef>
                      </c:ext>
                    </c:extLst>
                  </c:multiLvlStrRef>
                </c15:cat>
              </c15:filteredCategoryTitle>
            </c:ext>
            <c:ext xmlns:c16="http://schemas.microsoft.com/office/drawing/2014/chart" uri="{C3380CC4-5D6E-409C-BE32-E72D297353CC}">
              <c16:uniqueId val="{00000002-3C44-D448-8205-BDB6EA3B76C0}"/>
            </c:ext>
          </c:extLst>
        </c:ser>
        <c:ser>
          <c:idx val="3"/>
          <c:order val="3"/>
          <c:tx>
            <c:strRef>
              <c:f>'Fiche levier - 13'!$B$222</c:f>
              <c:strCache>
                <c:ptCount val="1"/>
                <c:pt idx="0">
                  <c:v>Train</c:v>
                </c:pt>
              </c:strCache>
            </c:strRef>
          </c:tx>
          <c:spPr>
            <a:prstGeom prst="rect">
              <a:avLst/>
            </a:prstGeom>
            <a:solidFill>
              <a:schemeClr val="accent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- 13'!$C$222:$D$222</c:f>
            </c:numRef>
          </c:val>
          <c:extLst>
            <c:ext xmlns:c15="http://schemas.microsoft.com/office/drawing/2012/chart" uri="{02D57815-91ED-43cb-92C2-25804820EDAC}">
              <c15:filteredCategoryTitle>
                <c15:cat>
                  <c:multiLvlStrRef>
                    <c:extLst>
                      <c:ext uri="{02D57815-91ED-43cb-92C2-25804820EDAC}">
                        <c15:formulaRef>
                          <c15:sqref>'Fiche levier - 13'!$C$218:$D$218</c15:sqref>
                        </c15:formulaRef>
                      </c:ext>
                    </c:extLst>
                  </c:multiLvlStrRef>
                </c15:cat>
              </c15:filteredCategoryTitle>
            </c:ext>
            <c:ext xmlns:c16="http://schemas.microsoft.com/office/drawing/2014/chart" uri="{C3380CC4-5D6E-409C-BE32-E72D297353CC}">
              <c16:uniqueId val="{00000003-3C44-D448-8205-BDB6EA3B76C0}"/>
            </c:ext>
          </c:extLst>
        </c:ser>
        <c:dLbls>
          <c:dLblPos val="ctr"/>
          <c:showLegendKey val="0"/>
          <c:showVal val="1"/>
          <c:showCatName val="0"/>
          <c:showSerName val="0"/>
          <c:showPercent val="0"/>
          <c:showBubbleSize val="0"/>
        </c:dLbls>
        <c:gapWidth val="150"/>
        <c:overlap val="100"/>
        <c:axId val="1137669391"/>
        <c:axId val="653426143"/>
      </c:barChart>
      <c:catAx>
        <c:axId val="1137669391"/>
        <c:scaling>
          <c:orientation val="minMax"/>
        </c:scaling>
        <c:delete val="0"/>
        <c:axPos val="b"/>
        <c:numFmt formatCode="General" sourceLinked="1"/>
        <c:majorTickMark val="none"/>
        <c:minorTickMark val="none"/>
        <c:tickLblPos val="nextTo"/>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baseline="0">
                <a:solidFill>
                  <a:schemeClr val="tx2"/>
                </a:solidFill>
                <a:latin typeface="+mn-lt"/>
                <a:ea typeface="+mn-ea"/>
                <a:cs typeface="+mn-cs"/>
              </a:defRPr>
            </a:pPr>
            <a:endParaRPr lang="fr-FR"/>
          </a:p>
        </c:txPr>
        <c:crossAx val="653426143"/>
        <c:crosses val="autoZero"/>
        <c:auto val="1"/>
        <c:lblAlgn val="ctr"/>
        <c:lblOffset val="100"/>
        <c:noMultiLvlLbl val="0"/>
      </c:catAx>
      <c:valAx>
        <c:axId val="653426143"/>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0%"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200" b="1" i="0" u="none" strike="noStrike" baseline="0">
                <a:solidFill>
                  <a:schemeClr val="tx2"/>
                </a:solidFill>
                <a:latin typeface="+mn-lt"/>
                <a:ea typeface="+mn-ea"/>
                <a:cs typeface="+mn-cs"/>
              </a:defRPr>
            </a:pPr>
            <a:endParaRPr lang="fr-FR"/>
          </a:p>
        </c:txPr>
        <c:crossAx val="1137669391"/>
        <c:crosses val="autoZero"/>
        <c:crossBetween val="between"/>
      </c:valAx>
      <c:spPr>
        <a:prstGeom prst="rect">
          <a:avLst/>
        </a:prstGeom>
        <a:noFill/>
        <a:ln>
          <a:noFill/>
        </a:ln>
        <a:effectLst/>
      </c:spPr>
    </c:plotArea>
    <c:legend>
      <c:legendPos val="b"/>
      <c:layout>
        <c:manualLayout>
          <c:xMode val="edge"/>
          <c:yMode val="edge"/>
          <c:x val="0.1100157372881992"/>
          <c:y val="0.91379570727857862"/>
          <c:w val="0.82616618225337668"/>
          <c:h val="7.281252250206327E-2"/>
        </c:manualLayout>
      </c:layout>
      <c:overlay val="0"/>
      <c:spPr>
        <a:prstGeom prst="rect">
          <a:avLst/>
        </a:prstGeom>
        <a:noFill/>
        <a:ln>
          <a:noFill/>
        </a:ln>
        <a:effectLst/>
      </c:spPr>
      <c:txPr>
        <a:bodyPr rot="0" spcFirstLastPara="1" vertOverflow="ellipsis" vert="horz" wrap="square" anchor="ctr" anchorCtr="1"/>
        <a:lstStyle/>
        <a:p>
          <a:pPr>
            <a:defRPr sz="1200" b="1" i="0" u="none" strike="noStrike" baseline="0">
              <a:solidFill>
                <a:schemeClr val="tx2"/>
              </a:solidFill>
              <a:latin typeface="+mn-lt"/>
              <a:ea typeface="+mn-ea"/>
              <a:cs typeface="+mn-cs"/>
            </a:defRPr>
          </a:pPr>
          <a:endParaRPr lang="fr-FR"/>
        </a:p>
      </c:txPr>
    </c:legend>
    <c:plotVisOnly val="1"/>
    <c:dispBlanksAs val="gap"/>
    <c:showDLblsOverMax val="0"/>
  </c:chart>
  <c:spPr bwMode="auto">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a:t>Répartition des émissions du football et rugby professionnel en fonction du sport</a:t>
            </a:r>
            <a:r>
              <a:rPr lang="fr-FR" b="1" baseline="0"/>
              <a:t> et du type de match</a:t>
            </a:r>
            <a:endParaRPr lang="fr-FR"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'16'!$C$348</c:f>
              <c:strCache>
                <c:ptCount val="1"/>
                <c:pt idx="0">
                  <c:v>Football</c:v>
                </c:pt>
              </c:strCache>
            </c:strRef>
          </c:tx>
          <c:spPr>
            <a:solidFill>
              <a:schemeClr val="accent1"/>
            </a:solidFill>
            <a:ln>
              <a:noFill/>
            </a:ln>
            <a:effectLst/>
          </c:spPr>
          <c:invertIfNegative val="0"/>
          <c:cat>
            <c:strRef>
              <c:f>'16'!$B$349:$B$351</c:f>
            </c:strRef>
          </c:cat>
          <c:val>
            <c:numRef>
              <c:f>'16'!$C$349:$C$351</c:f>
            </c:numRef>
          </c:val>
          <c:extLst>
            <c:ext xmlns:c16="http://schemas.microsoft.com/office/drawing/2014/chart" uri="{C3380CC4-5D6E-409C-BE32-E72D297353CC}">
              <c16:uniqueId val="{00000000-5746-094E-A30B-88D108239ACC}"/>
            </c:ext>
          </c:extLst>
        </c:ser>
        <c:ser>
          <c:idx val="1"/>
          <c:order val="1"/>
          <c:tx>
            <c:strRef>
              <c:f>'16'!$D$348</c:f>
              <c:strCache>
                <c:ptCount val="1"/>
                <c:pt idx="0">
                  <c:v>Rugby </c:v>
                </c:pt>
              </c:strCache>
            </c:strRef>
          </c:tx>
          <c:spPr>
            <a:solidFill>
              <a:schemeClr val="accent2"/>
            </a:solidFill>
            <a:ln>
              <a:noFill/>
            </a:ln>
            <a:effectLst/>
          </c:spPr>
          <c:invertIfNegative val="0"/>
          <c:cat>
            <c:strRef>
              <c:f>'16'!$B$349:$B$351</c:f>
            </c:strRef>
          </c:cat>
          <c:val>
            <c:numRef>
              <c:f>'16'!$D$349:$D$351</c:f>
            </c:numRef>
          </c:val>
          <c:extLst>
            <c:ext xmlns:c16="http://schemas.microsoft.com/office/drawing/2014/chart" uri="{C3380CC4-5D6E-409C-BE32-E72D297353CC}">
              <c16:uniqueId val="{00000001-5746-094E-A30B-88D108239ACC}"/>
            </c:ext>
          </c:extLst>
        </c:ser>
        <c:dLbls>
          <c:showLegendKey val="0"/>
          <c:showVal val="0"/>
          <c:showCatName val="0"/>
          <c:showSerName val="0"/>
          <c:showPercent val="0"/>
          <c:showBubbleSize val="0"/>
        </c:dLbls>
        <c:gapWidth val="219"/>
        <c:overlap val="-27"/>
        <c:axId val="1882632736"/>
        <c:axId val="1581469712"/>
      </c:barChart>
      <c:catAx>
        <c:axId val="188263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581469712"/>
        <c:crosses val="autoZero"/>
        <c:auto val="1"/>
        <c:lblAlgn val="ctr"/>
        <c:lblOffset val="100"/>
        <c:noMultiLvlLbl val="0"/>
      </c:catAx>
      <c:valAx>
        <c:axId val="1581469712"/>
        <c:scaling>
          <c:orientation val="minMax"/>
        </c:scaling>
        <c:delete val="0"/>
        <c:axPos val="l"/>
        <c:majorGridlines>
          <c:spPr>
            <a:ln w="9525" cap="flat" cmpd="sng" algn="ctr">
              <a:solidFill>
                <a:schemeClr val="tx1">
                  <a:lumMod val="15000"/>
                  <a:lumOff val="85000"/>
                </a:schemeClr>
              </a:solidFill>
              <a:round/>
            </a:ln>
            <a:effectLst/>
          </c:spPr>
        </c:majorGridlines>
        <c:numFmt formatCode="_ * #\ ##0_)_ ;_ *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82632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24C-A544-B307-DED763993E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4C-A544-B307-DED763993E07}"/>
              </c:ext>
            </c:extLst>
          </c:dPt>
          <c:dLbls>
            <c:dLbl>
              <c:idx val="1"/>
              <c:layout>
                <c:manualLayout>
                  <c:x val="0"/>
                  <c:y val="-8.84528927404203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4C-A544-B307-DED763993E0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'16'!$B$399:$B$400</c:f>
            </c:strRef>
          </c:cat>
          <c:val>
            <c:numRef>
              <c:f>'16'!$C$399:$C$400</c:f>
            </c:numRef>
          </c:val>
          <c:extLst>
            <c:ext xmlns:c16="http://schemas.microsoft.com/office/drawing/2014/chart" uri="{C3380CC4-5D6E-409C-BE32-E72D297353CC}">
              <c16:uniqueId val="{00000000-1420-E849-96D2-D9CB790AB01B}"/>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63682282299552473"/>
          <c:y val="0.34783682182488074"/>
          <c:w val="0.22870266775412323"/>
          <c:h val="0.367348927246792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E4B-6A49-9D1D-AC15B35646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E4B-6A49-9D1D-AC15B356464F}"/>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'16'!$B$399:$B$400</c:f>
            </c:strRef>
          </c:cat>
          <c:val>
            <c:numRef>
              <c:f>'16'!$D$399:$D$400</c:f>
            </c:numRef>
          </c:val>
          <c:extLst>
            <c:ext xmlns:c16="http://schemas.microsoft.com/office/drawing/2014/chart" uri="{C3380CC4-5D6E-409C-BE32-E72D297353CC}">
              <c16:uniqueId val="{00000000-7AFD-5E4E-9F96-91F904A13C71}"/>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6737517764320633"/>
          <c:y val="0.3356233578319987"/>
          <c:w val="0.17635254728664346"/>
          <c:h val="0.34202087000733039"/>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'16'!$B$421:$B$423</c:f>
            </c:strRef>
          </c:cat>
          <c:val>
            <c:numRef>
              <c:f>'16'!$C$421:$C$423</c:f>
            </c:numRef>
          </c:val>
          <c:extLst>
            <c:ext xmlns:c16="http://schemas.microsoft.com/office/drawing/2014/chart" uri="{C3380CC4-5D6E-409C-BE32-E72D297353CC}">
              <c16:uniqueId val="{00000000-5CD4-2E40-8EA0-3D6EBB89D1B8}"/>
            </c:ext>
          </c:extLst>
        </c:ser>
        <c:dLbls>
          <c:showLegendKey val="0"/>
          <c:showVal val="0"/>
          <c:showCatName val="0"/>
          <c:showSerName val="0"/>
          <c:showPercent val="0"/>
          <c:showBubbleSize val="0"/>
        </c:dLbls>
        <c:gapWidth val="219"/>
        <c:overlap val="-27"/>
        <c:axId val="409523087"/>
        <c:axId val="1055860319"/>
      </c:barChart>
      <c:catAx>
        <c:axId val="40952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1055860319"/>
        <c:crosses val="autoZero"/>
        <c:auto val="1"/>
        <c:lblAlgn val="ctr"/>
        <c:lblOffset val="100"/>
        <c:noMultiLvlLbl val="0"/>
      </c:catAx>
      <c:valAx>
        <c:axId val="1055860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100" b="1">
                    <a:solidFill>
                      <a:schemeClr val="tx2"/>
                    </a:solidFill>
                  </a:rPr>
                  <a:t>Distance en km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 ##0_)_ ;_ *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4095230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r>
              <a:rPr lang="fr-FR" b="1">
                <a:solidFill>
                  <a:schemeClr val="tx2"/>
                </a:solidFill>
              </a:rPr>
              <a:t>Empreinte carbone</a:t>
            </a:r>
            <a:r>
              <a:rPr lang="fr-FR" b="1" baseline="0">
                <a:solidFill>
                  <a:schemeClr val="tx2"/>
                </a:solidFill>
              </a:rPr>
              <a:t> moyenne des spectateurs sur un match en fonction de la typologie (en tCO2e) </a:t>
            </a:r>
            <a:endParaRPr lang="fr-FR" b="1">
              <a:solidFill>
                <a:schemeClr val="tx2"/>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E864-8F47-A988-D7DD057452A2}"/>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2-E864-8F47-A988-D7DD057452A2}"/>
              </c:ext>
            </c:extLst>
          </c:dPt>
          <c:cat>
            <c:strRef>
              <c:f>'16'!$B$421:$B$423</c:f>
            </c:strRef>
          </c:cat>
          <c:val>
            <c:numRef>
              <c:f>'16'!$D$421:$D$423</c:f>
            </c:numRef>
          </c:val>
          <c:extLst>
            <c:ext xmlns:c16="http://schemas.microsoft.com/office/drawing/2014/chart" uri="{C3380CC4-5D6E-409C-BE32-E72D297353CC}">
              <c16:uniqueId val="{00000000-E864-8F47-A988-D7DD057452A2}"/>
            </c:ext>
          </c:extLst>
        </c:ser>
        <c:dLbls>
          <c:showLegendKey val="0"/>
          <c:showVal val="0"/>
          <c:showCatName val="0"/>
          <c:showSerName val="0"/>
          <c:showPercent val="0"/>
          <c:showBubbleSize val="0"/>
        </c:dLbls>
        <c:gapWidth val="219"/>
        <c:overlap val="-27"/>
        <c:axId val="409523087"/>
        <c:axId val="1055860319"/>
      </c:barChart>
      <c:catAx>
        <c:axId val="40952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1055860319"/>
        <c:crosses val="autoZero"/>
        <c:auto val="1"/>
        <c:lblAlgn val="ctr"/>
        <c:lblOffset val="100"/>
        <c:noMultiLvlLbl val="0"/>
      </c:catAx>
      <c:valAx>
        <c:axId val="1055860319"/>
        <c:scaling>
          <c:orientation val="minMax"/>
        </c:scaling>
        <c:delete val="0"/>
        <c:axPos val="l"/>
        <c:majorGridlines>
          <c:spPr>
            <a:ln w="9525" cap="flat" cmpd="sng" algn="ctr">
              <a:solidFill>
                <a:schemeClr val="tx1">
                  <a:lumMod val="15000"/>
                  <a:lumOff val="85000"/>
                </a:schemeClr>
              </a:solidFill>
              <a:round/>
            </a:ln>
            <a:effectLst/>
          </c:spPr>
        </c:majorGridlines>
        <c:numFmt formatCode="_ * #\ ##0_)_ ;_ *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4095230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23969180917589E-2"/>
          <c:y val="0.18591541793267671"/>
          <c:w val="0.42667121545789038"/>
          <c:h val="0.70130441323719217"/>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54E-B846-A455-A0F9A197D8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54E-B846-A455-A0F9A197D8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54E-B846-A455-A0F9A197D8E7}"/>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F54E-B846-A455-A0F9A197D8E7}"/>
                </c:ext>
              </c:extLst>
            </c:dLbl>
            <c:dLbl>
              <c:idx val="1"/>
              <c:layout>
                <c:manualLayout>
                  <c:x val="-8.6304606556622518E-2"/>
                  <c:y val="-8.694280200069604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4E-B846-A455-A0F9A197D8E7}"/>
                </c:ext>
              </c:extLst>
            </c:dLbl>
            <c:dLbl>
              <c:idx val="2"/>
              <c:layout>
                <c:manualLayout>
                  <c:x val="1.950341391967093E-2"/>
                  <c:y val="-0.13141096370413666"/>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4E-B846-A455-A0F9A197D8E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'16'!$C$448:$E$448</c:f>
            </c:numRef>
          </c:val>
          <c:extLst>
            <c:ext xmlns:c15="http://schemas.microsoft.com/office/drawing/2012/chart" uri="{02D57815-91ED-43cb-92C2-25804820EDAC}">
              <c15:filteredCategoryTitle>
                <c15:cat>
                  <c:strRef>
                    <c:extLst>
                      <c:ext uri="{02D57815-91ED-43cb-92C2-25804820EDAC}">
                        <c15:formulaRef>
                          <c15:sqref>'16'!$C$444:$E$444</c15:sqref>
                        </c15:formulaRef>
                      </c:ext>
                    </c:extLst>
                  </c:strRef>
                </c15:cat>
              </c15:filteredCategoryTitle>
            </c:ext>
            <c:ext xmlns:c16="http://schemas.microsoft.com/office/drawing/2014/chart" uri="{C3380CC4-5D6E-409C-BE32-E72D297353CC}">
              <c16:uniqueId val="{00000006-F54E-B846-A455-A0F9A197D8E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5396372193017362"/>
          <c:y val="0.35389182461648983"/>
          <c:w val="0.43164298879232438"/>
          <c:h val="0.40970753902546031"/>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07A-FA4F-88CE-BD37CE0AC8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07A-FA4F-88CE-BD37CE0AC88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Récapitulatif!$G$93:$H$93</c:f>
              <c:strCache>
                <c:ptCount val="2"/>
                <c:pt idx="0">
                  <c:v>Rugby professionnel 
Niveau international et national</c:v>
                </c:pt>
                <c:pt idx="1">
                  <c:v>Rugby amateur
Niveau départemental, régional et national</c:v>
                </c:pt>
              </c:strCache>
            </c:strRef>
          </c:cat>
          <c:val>
            <c:numRef>
              <c:f>Récapitulatif!$G$95:$H$95</c:f>
              <c:numCache>
                <c:formatCode>0%</c:formatCode>
                <c:ptCount val="2"/>
                <c:pt idx="0">
                  <c:v>0.43769452311485912</c:v>
                </c:pt>
                <c:pt idx="1">
                  <c:v>0.56230547688514099</c:v>
                </c:pt>
              </c:numCache>
            </c:numRef>
          </c:val>
          <c:extLst>
            <c:ext xmlns:c16="http://schemas.microsoft.com/office/drawing/2014/chart" uri="{C3380CC4-5D6E-409C-BE32-E72D297353CC}">
              <c16:uniqueId val="{00000000-B6B7-8747-83B2-5761B841B423}"/>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5.0000043160338063E-2"/>
          <c:y val="0.8111134762274077"/>
          <c:w val="0.89999987853027885"/>
          <c:h val="0.11261863570907803"/>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23969180917589E-2"/>
          <c:y val="0.18591541793267671"/>
          <c:w val="0.42667121545789038"/>
          <c:h val="0.70130441323719217"/>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AD-1641-80B9-0D3B0591880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AD-1641-80B9-0D3B0591880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3AD-1641-80B9-0D3B0591880F}"/>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A3AD-1641-80B9-0D3B0591880F}"/>
                </c:ext>
              </c:extLst>
            </c:dLbl>
            <c:dLbl>
              <c:idx val="1"/>
              <c:layout>
                <c:manualLayout>
                  <c:x val="-1.2493397130076612E-5"/>
                  <c:y val="-7.1467392347746078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AD-1641-80B9-0D3B0591880F}"/>
                </c:ext>
              </c:extLst>
            </c:dLbl>
            <c:dLbl>
              <c:idx val="2"/>
              <c:layout>
                <c:manualLayout>
                  <c:x val="1.8192139680563561E-5"/>
                  <c:y val="1.4881651548116921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AD-1641-80B9-0D3B0591880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'16'!$C$446:$E$446</c:f>
            </c:numRef>
          </c:val>
          <c:extLst>
            <c:ext xmlns:c15="http://schemas.microsoft.com/office/drawing/2012/chart" uri="{02D57815-91ED-43cb-92C2-25804820EDAC}">
              <c15:filteredCategoryTitle>
                <c15:cat>
                  <c:strRef>
                    <c:extLst>
                      <c:ext uri="{02D57815-91ED-43cb-92C2-25804820EDAC}">
                        <c15:formulaRef>
                          <c15:sqref>'16'!$C$444:$E$444</c15:sqref>
                        </c15:formulaRef>
                      </c:ext>
                    </c:extLst>
                  </c:strRef>
                </c15:cat>
              </c15:filteredCategoryTitle>
            </c:ext>
            <c:ext xmlns:c16="http://schemas.microsoft.com/office/drawing/2014/chart" uri="{C3380CC4-5D6E-409C-BE32-E72D297353CC}">
              <c16:uniqueId val="{00000006-A3AD-1641-80B9-0D3B0591880F}"/>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5396372193017362"/>
          <c:y val="0.35389182461648983"/>
          <c:w val="0.43164298879232438"/>
          <c:h val="0.40970753902546031"/>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'16'!$B$469</c:f>
              <c:strCache>
                <c:ptCount val="1"/>
                <c:pt idx="0">
                  <c:v>Avion (tCO2e)</c:v>
                </c:pt>
              </c:strCache>
            </c:strRef>
          </c:tx>
          <c:spPr>
            <a:solidFill>
              <a:schemeClr val="accent1"/>
            </a:solidFill>
            <a:ln>
              <a:noFill/>
            </a:ln>
            <a:effectLst/>
          </c:spPr>
          <c:invertIfNegative val="0"/>
          <c:dLbls>
            <c:delete val="1"/>
          </c:dLbls>
          <c:val>
            <c:numRef>
              <c:f>'16'!$C$469:$E$469</c:f>
            </c:numRef>
          </c:val>
          <c:extLst>
            <c:ext xmlns:c15="http://schemas.microsoft.com/office/drawing/2012/chart" uri="{02D57815-91ED-43cb-92C2-25804820EDAC}">
              <c15:filteredCategoryTitle>
                <c15:cat>
                  <c:strRef>
                    <c:extLst>
                      <c:ext uri="{02D57815-91ED-43cb-92C2-25804820EDAC}">
                        <c15:formulaRef>
                          <c15:sqref>'16'!$C$468:$E$468</c15:sqref>
                        </c15:formulaRef>
                      </c:ext>
                    </c:extLst>
                  </c:strRef>
                </c15:cat>
              </c15:filteredCategoryTitle>
            </c:ext>
            <c:ext xmlns:c16="http://schemas.microsoft.com/office/drawing/2014/chart" uri="{C3380CC4-5D6E-409C-BE32-E72D297353CC}">
              <c16:uniqueId val="{00000000-D400-794D-9AAC-2EB74BF917A6}"/>
            </c:ext>
          </c:extLst>
        </c:ser>
        <c:ser>
          <c:idx val="1"/>
          <c:order val="1"/>
          <c:tx>
            <c:strRef>
              <c:f>'16'!$B$470</c:f>
              <c:strCache>
                <c:ptCount val="1"/>
                <c:pt idx="0">
                  <c:v>Voiture (tCO2e)</c:v>
                </c:pt>
              </c:strCache>
            </c:strRef>
          </c:tx>
          <c:spPr>
            <a:solidFill>
              <a:schemeClr val="tx2">
                <a:lumMod val="50000"/>
                <a:lumOff val="50000"/>
              </a:schemeClr>
            </a:solidFill>
            <a:ln>
              <a:noFill/>
            </a:ln>
            <a:effectLst/>
          </c:spPr>
          <c:invertIfNegative val="0"/>
          <c:dLbls>
            <c:dLbl>
              <c:idx val="0"/>
              <c:layout>
                <c:manualLayout>
                  <c:x val="0"/>
                  <c:y val="-5.5572259312154565E-2"/>
                </c:manualLayout>
              </c:layout>
              <c:tx>
                <c:rich>
                  <a:bodyPr/>
                  <a:lstStyle/>
                  <a:p>
                    <a:r>
                      <a:rPr lang="en-US"/>
                      <a:t>100</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E5D-6E41-8440-4F2C584533A8}"/>
                </c:ext>
              </c:extLst>
            </c:dLbl>
            <c:dLbl>
              <c:idx val="1"/>
              <c:delete val="1"/>
              <c:extLst>
                <c:ext xmlns:c15="http://schemas.microsoft.com/office/drawing/2012/chart" uri="{CE6537A1-D6FC-4f65-9D91-7224C49458BB}"/>
                <c:ext xmlns:c16="http://schemas.microsoft.com/office/drawing/2014/chart" uri="{C3380CC4-5D6E-409C-BE32-E72D297353CC}">
                  <c16:uniqueId val="{00000004-1E5D-6E41-8440-4F2C584533A8}"/>
                </c:ext>
              </c:extLst>
            </c:dLbl>
            <c:dLbl>
              <c:idx val="2"/>
              <c:delete val="1"/>
              <c:extLst>
                <c:ext xmlns:c15="http://schemas.microsoft.com/office/drawing/2012/chart" uri="{CE6537A1-D6FC-4f65-9D91-7224C49458BB}"/>
                <c:ext xmlns:c16="http://schemas.microsoft.com/office/drawing/2014/chart" uri="{C3380CC4-5D6E-409C-BE32-E72D297353CC}">
                  <c16:uniqueId val="{00000006-1E5D-6E41-8440-4F2C584533A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'16'!$C$470:$E$470</c:f>
            </c:numRef>
          </c:val>
          <c:extLst>
            <c:ext xmlns:c15="http://schemas.microsoft.com/office/drawing/2012/chart" uri="{02D57815-91ED-43cb-92C2-25804820EDAC}">
              <c15:filteredCategoryTitle>
                <c15:cat>
                  <c:strRef>
                    <c:extLst>
                      <c:ext uri="{02D57815-91ED-43cb-92C2-25804820EDAC}">
                        <c15:formulaRef>
                          <c15:sqref>'16'!$C$468:$E$468</c15:sqref>
                        </c15:formulaRef>
                      </c:ext>
                    </c:extLst>
                  </c:strRef>
                </c15:cat>
              </c15:filteredCategoryTitle>
            </c:ext>
            <c:ext xmlns:c16="http://schemas.microsoft.com/office/drawing/2014/chart" uri="{C3380CC4-5D6E-409C-BE32-E72D297353CC}">
              <c16:uniqueId val="{00000001-D400-794D-9AAC-2EB74BF917A6}"/>
            </c:ext>
          </c:extLst>
        </c:ser>
        <c:ser>
          <c:idx val="2"/>
          <c:order val="2"/>
          <c:tx>
            <c:strRef>
              <c:f>'16'!$B$471</c:f>
              <c:strCache>
                <c:ptCount val="1"/>
                <c:pt idx="0">
                  <c:v>Transports en commun (tCO2e)</c:v>
                </c:pt>
              </c:strCache>
            </c:strRef>
          </c:tx>
          <c:spPr>
            <a:solidFill>
              <a:schemeClr val="accent6">
                <a:lumMod val="20000"/>
                <a:lumOff val="8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1E5D-6E41-8440-4F2C584533A8}"/>
                </c:ext>
              </c:extLst>
            </c:dLbl>
            <c:dLbl>
              <c:idx val="1"/>
              <c:layout>
                <c:manualLayout>
                  <c:x val="-5.8048817580261216E-17"/>
                  <c:y val="-4.2953444352573859E-2"/>
                </c:manualLayout>
              </c:layout>
              <c:tx>
                <c:rich>
                  <a:bodyPr/>
                  <a:lstStyle/>
                  <a:p>
                    <a:r>
                      <a:rPr lang="en-US"/>
                      <a:t>610</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E5D-6E41-8440-4F2C584533A8}"/>
                </c:ext>
              </c:extLst>
            </c:dLbl>
            <c:dLbl>
              <c:idx val="2"/>
              <c:layout>
                <c:manualLayout>
                  <c:x val="-1.5829185412766142E-3"/>
                  <c:y val="-4.7292624759978405E-2"/>
                </c:manualLayout>
              </c:layout>
              <c:tx>
                <c:rich>
                  <a:bodyPr/>
                  <a:lstStyle/>
                  <a:p>
                    <a:r>
                      <a:rPr lang="en-US"/>
                      <a:t>2100</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E5D-6E41-8440-4F2C584533A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'16'!$C$471:$E$471</c:f>
            </c:numRef>
          </c:val>
          <c:extLst>
            <c:ext xmlns:c15="http://schemas.microsoft.com/office/drawing/2012/chart" uri="{02D57815-91ED-43cb-92C2-25804820EDAC}">
              <c15:filteredCategoryTitle>
                <c15:cat>
                  <c:strRef>
                    <c:extLst>
                      <c:ext uri="{02D57815-91ED-43cb-92C2-25804820EDAC}">
                        <c15:formulaRef>
                          <c15:sqref>'16'!$C$468:$E$468</c15:sqref>
                        </c15:formulaRef>
                      </c:ext>
                    </c:extLst>
                  </c:strRef>
                </c15:cat>
              </c15:filteredCategoryTitle>
            </c:ext>
            <c:ext xmlns:c16="http://schemas.microsoft.com/office/drawing/2014/chart" uri="{C3380CC4-5D6E-409C-BE32-E72D297353CC}">
              <c16:uniqueId val="{00000002-D400-794D-9AAC-2EB74BF917A6}"/>
            </c:ext>
          </c:extLst>
        </c:ser>
        <c:dLbls>
          <c:dLblPos val="ctr"/>
          <c:showLegendKey val="0"/>
          <c:showVal val="1"/>
          <c:showCatName val="0"/>
          <c:showSerName val="0"/>
          <c:showPercent val="0"/>
          <c:showBubbleSize val="0"/>
        </c:dLbls>
        <c:gapWidth val="150"/>
        <c:overlap val="100"/>
        <c:axId val="349461855"/>
        <c:axId val="371273199"/>
      </c:barChart>
      <c:catAx>
        <c:axId val="349461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371273199"/>
        <c:crosses val="autoZero"/>
        <c:auto val="1"/>
        <c:lblAlgn val="ctr"/>
        <c:lblOffset val="100"/>
        <c:noMultiLvlLbl val="0"/>
      </c:catAx>
      <c:valAx>
        <c:axId val="371273199"/>
        <c:scaling>
          <c:orientation val="minMax"/>
        </c:scaling>
        <c:delete val="0"/>
        <c:axPos val="l"/>
        <c:majorGridlines>
          <c:spPr>
            <a:ln w="9525" cap="flat" cmpd="sng" algn="ctr">
              <a:solidFill>
                <a:schemeClr val="tx1">
                  <a:lumMod val="15000"/>
                  <a:lumOff val="85000"/>
                </a:schemeClr>
              </a:solidFill>
              <a:round/>
            </a:ln>
            <a:effectLst/>
          </c:spPr>
        </c:majorGridlines>
        <c:numFmt formatCode="_ * #\ ##0_)_ ;_ * \(#\ ##0\)_ ;_ * &quot;-&quot;??_)_ ;_ @_ "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349461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Lbls>
            <c:dLbl>
              <c:idx val="0"/>
              <c:layout>
                <c:manualLayout>
                  <c:x val="-3.26500457999477E-17"/>
                  <c:y val="-0.33868678667379581"/>
                </c:manualLayout>
              </c:layout>
              <c:tx>
                <c:rich>
                  <a:bodyPr rot="0" spcFirstLastPara="1" vertOverflow="ellipsis" vert="horz" wrap="square" lIns="38100" tIns="45720" rIns="36576" bIns="19050" anchor="ctr" anchorCtr="1">
                    <a:spAutoFit/>
                  </a:bodyPr>
                  <a:lstStyle/>
                  <a:p>
                    <a:pPr>
                      <a:defRPr sz="1100" b="1" i="0" u="none" strike="noStrike" kern="1200" baseline="0">
                        <a:solidFill>
                          <a:schemeClr val="bg2"/>
                        </a:solidFill>
                        <a:latin typeface="+mn-lt"/>
                        <a:ea typeface="+mn-ea"/>
                        <a:cs typeface="+mn-cs"/>
                      </a:defRPr>
                    </a:pPr>
                    <a:r>
                      <a:rPr lang="en-US">
                        <a:solidFill>
                          <a:schemeClr val="bg2"/>
                        </a:solidFill>
                      </a:rPr>
                      <a:t>79</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DataLabelsRange val="0"/>
                </c:ext>
                <c:ext xmlns:c16="http://schemas.microsoft.com/office/drawing/2014/chart" uri="{C3380CC4-5D6E-409C-BE32-E72D297353CC}">
                  <c16:uniqueId val="{00000004-2617-C748-A507-3A77BFC5F7EF}"/>
                </c:ext>
              </c:extLst>
            </c:dLbl>
            <c:dLbl>
              <c:idx val="1"/>
              <c:layout>
                <c:manualLayout>
                  <c:x val="0"/>
                  <c:y val="-0.1202790945987881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17-C748-A507-3A77BFC5F7EF}"/>
                </c:ext>
              </c:extLst>
            </c:dLbl>
            <c:dLbl>
              <c:idx val="2"/>
              <c:layout>
                <c:manualLayout>
                  <c:x val="0"/>
                  <c:y val="-3.6516441285901514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fr-F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17-C748-A507-3A77BFC5F7E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'16'!$B$497:$B$499</c:f>
            </c:strRef>
          </c:cat>
          <c:val>
            <c:numRef>
              <c:f>'16'!$D$497:$D$499</c:f>
            </c:numRef>
          </c:val>
          <c:extLst>
            <c:ext xmlns:c16="http://schemas.microsoft.com/office/drawing/2014/chart" uri="{C3380CC4-5D6E-409C-BE32-E72D297353CC}">
              <c16:uniqueId val="{00000000-2617-C748-A507-3A77BFC5F7EF}"/>
            </c:ext>
          </c:extLst>
        </c:ser>
        <c:dLbls>
          <c:dLblPos val="inEnd"/>
          <c:showLegendKey val="0"/>
          <c:showVal val="1"/>
          <c:showCatName val="0"/>
          <c:showSerName val="0"/>
          <c:showPercent val="0"/>
          <c:showBubbleSize val="0"/>
        </c:dLbls>
        <c:gapWidth val="150"/>
        <c:overlap val="100"/>
        <c:axId val="1961179455"/>
        <c:axId val="1961634399"/>
      </c:barChart>
      <c:catAx>
        <c:axId val="1961179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1961634399"/>
        <c:crossesAt val="0"/>
        <c:auto val="1"/>
        <c:lblAlgn val="ctr"/>
        <c:lblOffset val="100"/>
        <c:noMultiLvlLbl val="0"/>
      </c:catAx>
      <c:valAx>
        <c:axId val="1961634399"/>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fr-FR"/>
          </a:p>
        </c:txPr>
        <c:crossAx val="1961179455"/>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D4-C641-855A-014925CA9EBC}"/>
              </c:ext>
            </c:extLst>
          </c:dPt>
          <c:dPt>
            <c:idx val="1"/>
            <c:bubble3D val="0"/>
            <c:spPr>
              <a:solidFill>
                <a:schemeClr val="tx2">
                  <a:lumMod val="50000"/>
                  <a:lumOff val="50000"/>
                </a:schemeClr>
              </a:solidFill>
              <a:ln w="19050">
                <a:solidFill>
                  <a:schemeClr val="lt1"/>
                </a:solidFill>
              </a:ln>
              <a:effectLst/>
            </c:spPr>
            <c:extLst>
              <c:ext xmlns:c16="http://schemas.microsoft.com/office/drawing/2014/chart" uri="{C3380CC4-5D6E-409C-BE32-E72D297353CC}">
                <c16:uniqueId val="{00000002-67D4-C641-855A-014925CA9EBC}"/>
              </c:ext>
            </c:extLst>
          </c:dPt>
          <c:dPt>
            <c:idx val="2"/>
            <c:bubble3D val="0"/>
            <c:spPr>
              <a:solidFill>
                <a:schemeClr val="tx2">
                  <a:lumMod val="25000"/>
                  <a:lumOff val="75000"/>
                </a:schemeClr>
              </a:solidFill>
              <a:ln w="19050">
                <a:solidFill>
                  <a:schemeClr val="lt1"/>
                </a:solidFill>
              </a:ln>
              <a:effectLst/>
            </c:spPr>
            <c:extLst>
              <c:ext xmlns:c16="http://schemas.microsoft.com/office/drawing/2014/chart" uri="{C3380CC4-5D6E-409C-BE32-E72D297353CC}">
                <c16:uniqueId val="{00000003-67D4-C641-855A-014925CA9EBC}"/>
              </c:ext>
            </c:extLst>
          </c:dPt>
          <c:dPt>
            <c:idx val="3"/>
            <c:bubble3D val="0"/>
            <c:spPr>
              <a:solidFill>
                <a:schemeClr val="accent1">
                  <a:lumMod val="10000"/>
                  <a:lumOff val="90000"/>
                </a:schemeClr>
              </a:solidFill>
              <a:ln w="19050">
                <a:solidFill>
                  <a:schemeClr val="lt1"/>
                </a:solidFill>
              </a:ln>
              <a:effectLst/>
            </c:spPr>
            <c:extLst>
              <c:ext xmlns:c16="http://schemas.microsoft.com/office/drawing/2014/chart" uri="{C3380CC4-5D6E-409C-BE32-E72D297353CC}">
                <c16:uniqueId val="{00000004-67D4-C641-855A-014925CA9EBC}"/>
              </c:ext>
            </c:extLst>
          </c:dPt>
          <c:dLbls>
            <c:dLbl>
              <c:idx val="0"/>
              <c:layout>
                <c:manualLayout>
                  <c:x val="7.2299249703697888E-2"/>
                  <c:y val="-0.127608118689756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D4-C641-855A-014925CA9EBC}"/>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67D4-C641-855A-014925CA9EB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'16'!$B$557:$B$560</c:f>
            </c:strRef>
          </c:cat>
          <c:val>
            <c:numRef>
              <c:f>'16'!$D$557:$D$560</c:f>
            </c:numRef>
          </c:val>
          <c:extLst>
            <c:ext xmlns:c16="http://schemas.microsoft.com/office/drawing/2014/chart" uri="{C3380CC4-5D6E-409C-BE32-E72D297353CC}">
              <c16:uniqueId val="{00000000-67D4-C641-855A-014925CA9EBC}"/>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70F-C848-B316-FA8DDC1586E5}"/>
              </c:ext>
            </c:extLst>
          </c:dPt>
          <c:dPt>
            <c:idx val="1"/>
            <c:bubble3D val="0"/>
            <c:spPr>
              <a:solidFill>
                <a:schemeClr val="tx2">
                  <a:lumMod val="50000"/>
                  <a:lumOff val="50000"/>
                </a:schemeClr>
              </a:solidFill>
              <a:ln w="19050">
                <a:solidFill>
                  <a:schemeClr val="lt1"/>
                </a:solidFill>
              </a:ln>
              <a:effectLst/>
            </c:spPr>
            <c:extLst>
              <c:ext xmlns:c16="http://schemas.microsoft.com/office/drawing/2014/chart" uri="{C3380CC4-5D6E-409C-BE32-E72D297353CC}">
                <c16:uniqueId val="{00000003-A70F-C848-B316-FA8DDC1586E5}"/>
              </c:ext>
            </c:extLst>
          </c:dPt>
          <c:dPt>
            <c:idx val="2"/>
            <c:bubble3D val="0"/>
            <c:spPr>
              <a:solidFill>
                <a:schemeClr val="tx2">
                  <a:lumMod val="25000"/>
                  <a:lumOff val="75000"/>
                </a:schemeClr>
              </a:solidFill>
              <a:ln w="19050">
                <a:solidFill>
                  <a:schemeClr val="lt1"/>
                </a:solidFill>
              </a:ln>
              <a:effectLst/>
            </c:spPr>
            <c:extLst>
              <c:ext xmlns:c16="http://schemas.microsoft.com/office/drawing/2014/chart" uri="{C3380CC4-5D6E-409C-BE32-E72D297353CC}">
                <c16:uniqueId val="{00000005-A70F-C848-B316-FA8DDC1586E5}"/>
              </c:ext>
            </c:extLst>
          </c:dPt>
          <c:dPt>
            <c:idx val="3"/>
            <c:bubble3D val="0"/>
            <c:spPr>
              <a:solidFill>
                <a:schemeClr val="accent1">
                  <a:lumMod val="10000"/>
                  <a:lumOff val="90000"/>
                </a:schemeClr>
              </a:solidFill>
              <a:ln w="19050">
                <a:solidFill>
                  <a:schemeClr val="lt1"/>
                </a:solidFill>
              </a:ln>
              <a:effectLst/>
            </c:spPr>
            <c:extLst>
              <c:ext xmlns:c16="http://schemas.microsoft.com/office/drawing/2014/chart" uri="{C3380CC4-5D6E-409C-BE32-E72D297353CC}">
                <c16:uniqueId val="{00000007-A70F-C848-B316-FA8DDC1586E5}"/>
              </c:ext>
            </c:extLst>
          </c:dPt>
          <c:dLbls>
            <c:dLbl>
              <c:idx val="0"/>
              <c:layout>
                <c:manualLayout>
                  <c:x val="2.7027548371200616E-3"/>
                  <c:y val="-1.2787759358536085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F-C848-B316-FA8DDC1586E5}"/>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A70F-C848-B316-FA8DDC1586E5}"/>
                </c:ext>
              </c:extLst>
            </c:dLbl>
            <c:dLbl>
              <c:idx val="2"/>
              <c:layout>
                <c:manualLayout>
                  <c:x val="-7.7948063266821799E-2"/>
                  <c:y val="-0.119236510782923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0F-C848-B316-FA8DDC1586E5}"/>
                </c:ext>
              </c:extLst>
            </c:dLbl>
            <c:dLbl>
              <c:idx val="3"/>
              <c:layout>
                <c:manualLayout>
                  <c:x val="5.5677188047729767E-2"/>
                  <c:y val="-0.13690117904706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0F-C848-B316-FA8DDC1586E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'16'!$B$557:$B$560</c:f>
            </c:strRef>
          </c:cat>
          <c:val>
            <c:numRef>
              <c:f>'16'!$F$557:$F$560</c:f>
            </c:numRef>
          </c:val>
          <c:extLst>
            <c:ext xmlns:c16="http://schemas.microsoft.com/office/drawing/2014/chart" uri="{C3380CC4-5D6E-409C-BE32-E72D297353CC}">
              <c16:uniqueId val="{00000008-A70F-C848-B316-FA8DDC1586E5}"/>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65707398227684788"/>
          <c:y val="0.32954493482734964"/>
          <c:w val="0.2372974833096079"/>
          <c:h val="0.4073269858428789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'16'!$R$557</c:f>
              <c:strCache>
                <c:ptCount val="1"/>
                <c:pt idx="0">
                  <c:v>Répartition nombre de spectateurs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2-A819-9F49-ACBA-2D68718647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A819-9F49-ACBA-2D68718647DB}"/>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Poppins" pitchFamily="2" charset="77"/>
                      <a:ea typeface="+mn-ea"/>
                      <a:cs typeface="Poppins" pitchFamily="2" charset="77"/>
                    </a:defRPr>
                  </a:pPr>
                  <a:endParaRPr lang="fr-FR"/>
                </a:p>
              </c:txPr>
              <c:showLegendKey val="0"/>
              <c:showVal val="1"/>
              <c:showCatName val="0"/>
              <c:showSerName val="0"/>
              <c:showPercent val="0"/>
              <c:showBubbleSize val="0"/>
              <c:extLst>
                <c:ext xmlns:c16="http://schemas.microsoft.com/office/drawing/2014/chart" uri="{C3380CC4-5D6E-409C-BE32-E72D297353CC}">
                  <c16:uniqueId val="{00000002-A819-9F49-ACBA-2D68718647DB}"/>
                </c:ext>
              </c:extLst>
            </c:dLbl>
            <c:dLbl>
              <c:idx val="1"/>
              <c:layout>
                <c:manualLayout>
                  <c:x val="-4.8825358162668843E-2"/>
                  <c:y val="-0.139232707188135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19-9F49-ACBA-2D68718647D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Poppins" pitchFamily="2" charset="77"/>
                    <a:ea typeface="+mn-ea"/>
                    <a:cs typeface="Poppins" pitchFamily="2" charset="77"/>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'16'!$S$557:$T$557</c:f>
            </c:numRef>
          </c:val>
          <c:extLst>
            <c:ext xmlns:c15="http://schemas.microsoft.com/office/drawing/2012/chart" uri="{02D57815-91ED-43cb-92C2-25804820EDAC}">
              <c15:filteredCategoryTitle>
                <c15:cat>
                  <c:strRef>
                    <c:extLst>
                      <c:ext uri="{02D57815-91ED-43cb-92C2-25804820EDAC}">
                        <c15:formulaRef>
                          <c15:sqref>'16'!$S$556:$T$556</c15:sqref>
                        </c15:formulaRef>
                      </c:ext>
                    </c:extLst>
                  </c:strRef>
                </c15:cat>
              </c15:filteredCategoryTitle>
            </c:ext>
            <c:ext xmlns:c16="http://schemas.microsoft.com/office/drawing/2014/chart" uri="{C3380CC4-5D6E-409C-BE32-E72D297353CC}">
              <c16:uniqueId val="{00000000-A819-9F49-ACBA-2D68718647DB}"/>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6419215447413884"/>
          <c:y val="0.3685207057451152"/>
          <c:w val="0.32357189370948625"/>
          <c:h val="0.3484441528142315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Poppins" pitchFamily="2" charset="77"/>
              <a:ea typeface="+mn-ea"/>
              <a:cs typeface="Poppins" pitchFamily="2" charset="77"/>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'16'!$R$558</c:f>
              <c:strCache>
                <c:ptCount val="1"/>
                <c:pt idx="0">
                  <c:v>Répartition empreinte carbone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9D7-4B4B-9372-6F4F1221A2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D7-4B4B-9372-6F4F1221A21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2"/>
                      </a:solidFill>
                      <a:latin typeface="Poppins" pitchFamily="2" charset="77"/>
                      <a:ea typeface="+mn-ea"/>
                      <a:cs typeface="Poppins" pitchFamily="2" charset="77"/>
                    </a:defRPr>
                  </a:pPr>
                  <a:endParaRPr lang="fr-FR"/>
                </a:p>
              </c:txPr>
              <c:showLegendKey val="0"/>
              <c:showVal val="1"/>
              <c:showCatName val="0"/>
              <c:showSerName val="0"/>
              <c:showPercent val="0"/>
              <c:showBubbleSize val="0"/>
              <c:extLst>
                <c:ext xmlns:c16="http://schemas.microsoft.com/office/drawing/2014/chart" uri="{C3380CC4-5D6E-409C-BE32-E72D297353CC}">
                  <c16:uniqueId val="{00000001-79D7-4B4B-9372-6F4F1221A211}"/>
                </c:ext>
              </c:extLst>
            </c:dLbl>
            <c:dLbl>
              <c:idx val="1"/>
              <c:layout>
                <c:manualLayout>
                  <c:x val="-5.0942230413960003E-2"/>
                  <c:y val="-6.5487764957106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D7-4B4B-9372-6F4F1221A21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Poppins" pitchFamily="2" charset="77"/>
                    <a:ea typeface="+mn-ea"/>
                    <a:cs typeface="Poppins" pitchFamily="2" charset="77"/>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'16'!$S$558:$T$558</c:f>
            </c:numRef>
          </c:val>
          <c:extLst>
            <c:ext xmlns:c15="http://schemas.microsoft.com/office/drawing/2012/chart" uri="{02D57815-91ED-43cb-92C2-25804820EDAC}">
              <c15:filteredCategoryTitle>
                <c15:cat>
                  <c:strRef>
                    <c:extLst>
                      <c:ext uri="{02D57815-91ED-43cb-92C2-25804820EDAC}">
                        <c15:formulaRef>
                          <c15:sqref>'16'!$S$556:$T$556</c15:sqref>
                        </c15:formulaRef>
                      </c:ext>
                    </c:extLst>
                  </c:strRef>
                </c15:cat>
              </c15:filteredCategoryTitle>
            </c:ext>
            <c:ext xmlns:c16="http://schemas.microsoft.com/office/drawing/2014/chart" uri="{C3380CC4-5D6E-409C-BE32-E72D297353CC}">
              <c16:uniqueId val="{00000004-79D7-4B4B-9372-6F4F1221A211}"/>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6419215447413884"/>
          <c:y val="0.42407626130067078"/>
          <c:w val="0.32357189370948625"/>
          <c:h val="0.2095552639253426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Poppins" pitchFamily="2" charset="77"/>
              <a:ea typeface="+mn-ea"/>
              <a:cs typeface="Poppins" pitchFamily="2" charset="77"/>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5"/>
              </a:solidFill>
              <a:ln w="19050">
                <a:solidFill>
                  <a:schemeClr val="lt1"/>
                </a:solidFill>
              </a:ln>
              <a:effectLst/>
            </c:spPr>
            <c:extLst>
              <c:ext xmlns:c16="http://schemas.microsoft.com/office/drawing/2014/chart" uri="{C3380CC4-5D6E-409C-BE32-E72D297353CC}">
                <c16:uniqueId val="{00000001-4ABB-4A41-BFC1-6BD92FB549C3}"/>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3-8864-E847-960D-98F3C4EBC99C}"/>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8864-E847-960D-98F3C4EBC9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864-E847-960D-98F3C4EBC99C}"/>
              </c:ext>
            </c:extLst>
          </c:dPt>
          <c:dLbls>
            <c:dLbl>
              <c:idx val="0"/>
              <c:layout>
                <c:manualLayout>
                  <c:x val="8.1771726097716005E-2"/>
                  <c:y val="-0.12500000000000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BB-4A41-BFC1-6BD92FB549C3}"/>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Poppins" pitchFamily="2" charset="77"/>
                      <a:ea typeface="+mn-ea"/>
                      <a:cs typeface="Poppins" pitchFamily="2" charset="77"/>
                    </a:defRPr>
                  </a:pPr>
                  <a:endParaRPr lang="fr-FR"/>
                </a:p>
              </c:txPr>
              <c:showLegendKey val="0"/>
              <c:showVal val="1"/>
              <c:showCatName val="0"/>
              <c:showSerName val="0"/>
              <c:showPercent val="0"/>
              <c:showBubbleSize val="0"/>
              <c:extLst>
                <c:ext xmlns:c16="http://schemas.microsoft.com/office/drawing/2014/chart" uri="{C3380CC4-5D6E-409C-BE32-E72D297353CC}">
                  <c16:uniqueId val="{00000003-8864-E847-960D-98F3C4EBC99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Poppins" pitchFamily="2" charset="77"/>
                    <a:ea typeface="+mn-ea"/>
                    <a:cs typeface="Poppins" pitchFamily="2" charset="77"/>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'16'!$I$556:$I$559</c:f>
            </c:strRef>
          </c:cat>
          <c:val>
            <c:numRef>
              <c:f>'16'!$J$556:$J$559</c:f>
            </c:numRef>
          </c:val>
          <c:extLst>
            <c:ext xmlns:c16="http://schemas.microsoft.com/office/drawing/2014/chart" uri="{C3380CC4-5D6E-409C-BE32-E72D297353CC}">
              <c16:uniqueId val="{00000000-4ABB-4A41-BFC1-6BD92FB549C3}"/>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6002575725359049"/>
          <c:y val="0.18007583101101429"/>
          <c:w val="0.43609360528602698"/>
          <c:h val="0.709292796733741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Poppins" pitchFamily="2" charset="77"/>
              <a:ea typeface="+mn-ea"/>
              <a:cs typeface="Poppins" pitchFamily="2" charset="77"/>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53-A14C-918B-FDD9A71B3A34}"/>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7C53-A14C-918B-FDD9A71B3A34}"/>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7C53-A14C-918B-FDD9A71B3A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C53-A14C-918B-FDD9A71B3A34}"/>
              </c:ext>
            </c:extLst>
          </c:dPt>
          <c:dLbls>
            <c:dLbl>
              <c:idx val="0"/>
              <c:layout>
                <c:manualLayout>
                  <c:x val="8.1771726097716005E-2"/>
                  <c:y val="-0.12500000000000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53-A14C-918B-FDD9A71B3A34}"/>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Poppins" pitchFamily="2" charset="77"/>
                      <a:ea typeface="+mn-ea"/>
                      <a:cs typeface="Poppins" pitchFamily="2" charset="77"/>
                    </a:defRPr>
                  </a:pPr>
                  <a:endParaRPr lang="fr-FR"/>
                </a:p>
              </c:txPr>
              <c:showLegendKey val="0"/>
              <c:showVal val="1"/>
              <c:showCatName val="0"/>
              <c:showSerName val="0"/>
              <c:showPercent val="0"/>
              <c:showBubbleSize val="0"/>
              <c:extLst>
                <c:ext xmlns:c16="http://schemas.microsoft.com/office/drawing/2014/chart" uri="{C3380CC4-5D6E-409C-BE32-E72D297353CC}">
                  <c16:uniqueId val="{00000003-7C53-A14C-918B-FDD9A71B3A34}"/>
                </c:ext>
              </c:extLst>
            </c:dLbl>
            <c:dLbl>
              <c:idx val="2"/>
              <c:layout>
                <c:manualLayout>
                  <c:x val="0"/>
                  <c:y val="-1.8756163596575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53-A14C-918B-FDD9A71B3A3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Poppins" pitchFamily="2" charset="77"/>
                    <a:ea typeface="+mn-ea"/>
                    <a:cs typeface="Poppins" pitchFamily="2" charset="77"/>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'16'!$B$514:$B$516</c:f>
            </c:strRef>
          </c:cat>
          <c:val>
            <c:numRef>
              <c:f>'16'!$H$514:$H$516</c:f>
            </c:numRef>
          </c:val>
          <c:extLst>
            <c:ext xmlns:c16="http://schemas.microsoft.com/office/drawing/2014/chart" uri="{C3380CC4-5D6E-409C-BE32-E72D297353CC}">
              <c16:uniqueId val="{00000008-7C53-A14C-918B-FDD9A71B3A34}"/>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'Fiche levier - 16'!$C$153</c:f>
              <c:strCache>
                <c:ptCount val="1"/>
              </c:strCache>
            </c:strRef>
          </c:tx>
          <c:spPr>
            <a:prstGeom prst="rect">
              <a:avLst/>
            </a:prstGeom>
            <a:solidFill>
              <a:schemeClr val="accent1"/>
            </a:solidFill>
            <a:ln>
              <a:noFill/>
            </a:ln>
            <a:effectLst/>
          </c:spPr>
          <c:invertIfNegative val="0"/>
          <c:dPt>
            <c:idx val="1"/>
            <c:invertIfNegative val="0"/>
            <c:bubble3D val="0"/>
            <c:spPr>
              <a:prstGeom prst="rect">
                <a:avLst/>
              </a:prstGeom>
              <a:noFill/>
              <a:ln>
                <a:noFill/>
              </a:ln>
              <a:effectLst/>
            </c:spPr>
            <c:extLst>
              <c:ext xmlns:c16="http://schemas.microsoft.com/office/drawing/2014/chart" uri="{C3380CC4-5D6E-409C-BE32-E72D297353CC}">
                <c16:uniqueId val="{00000001-442F-405A-AC00-AA2929BF40D1}"/>
              </c:ext>
            </c:extLst>
          </c:dPt>
          <c:dPt>
            <c:idx val="2"/>
            <c:invertIfNegative val="0"/>
            <c:bubble3D val="0"/>
            <c:spPr>
              <a:prstGeom prst="rect">
                <a:avLst/>
              </a:prstGeom>
              <a:noFill/>
              <a:ln>
                <a:noFill/>
              </a:ln>
              <a:effectLst/>
            </c:spPr>
            <c:extLst>
              <c:ext xmlns:c16="http://schemas.microsoft.com/office/drawing/2014/chart" uri="{C3380CC4-5D6E-409C-BE32-E72D297353CC}">
                <c16:uniqueId val="{00000003-442F-405A-AC00-AA2929BF40D1}"/>
              </c:ext>
            </c:extLst>
          </c:dPt>
          <c:dPt>
            <c:idx val="3"/>
            <c:invertIfNegative val="0"/>
            <c:bubble3D val="0"/>
            <c:spPr>
              <a:prstGeom prst="rect">
                <a:avLst/>
              </a:prstGeom>
              <a:noFill/>
              <a:ln>
                <a:noFill/>
              </a:ln>
              <a:effectLst/>
            </c:spPr>
            <c:extLst>
              <c:ext xmlns:c16="http://schemas.microsoft.com/office/drawing/2014/chart" uri="{C3380CC4-5D6E-409C-BE32-E72D297353CC}">
                <c16:uniqueId val="{00000005-442F-405A-AC00-AA2929BF40D1}"/>
              </c:ext>
            </c:extLst>
          </c:dPt>
          <c:dPt>
            <c:idx val="4"/>
            <c:invertIfNegative val="0"/>
            <c:bubble3D val="0"/>
            <c:spPr>
              <a:prstGeom prst="rect">
                <a:avLst/>
              </a:prstGeom>
              <a:noFill/>
              <a:ln>
                <a:noFill/>
              </a:ln>
              <a:effectLst/>
            </c:spPr>
            <c:extLst>
              <c:ext xmlns:c16="http://schemas.microsoft.com/office/drawing/2014/chart" uri="{C3380CC4-5D6E-409C-BE32-E72D297353CC}">
                <c16:uniqueId val="{00000007-442F-405A-AC00-AA2929BF40D1}"/>
              </c:ext>
            </c:extLst>
          </c:dPt>
          <c:dPt>
            <c:idx val="5"/>
            <c:invertIfNegative val="0"/>
            <c:bubble3D val="0"/>
            <c:spPr>
              <a:prstGeom prst="rect">
                <a:avLst/>
              </a:prstGeom>
              <a:noFill/>
              <a:ln>
                <a:noFill/>
              </a:ln>
              <a:effectLst/>
            </c:spPr>
            <c:extLst>
              <c:ext xmlns:c16="http://schemas.microsoft.com/office/drawing/2014/chart" uri="{C3380CC4-5D6E-409C-BE32-E72D297353CC}">
                <c16:uniqueId val="{00000009-442F-405A-AC00-AA2929BF40D1}"/>
              </c:ext>
            </c:extLst>
          </c:dPt>
          <c:cat>
            <c:multiLvlStrRef>
              <c:f>'Fiche levier - 16'!$B$154:$B$160</c:f>
            </c:multiLvlStrRef>
          </c:cat>
          <c:val>
            <c:numRef>
              <c:f>'Fiche levier - 16'!$C$154:$C$160</c:f>
            </c:numRef>
          </c:val>
          <c:extLst>
            <c:ext xmlns:c16="http://schemas.microsoft.com/office/drawing/2014/chart" uri="{C3380CC4-5D6E-409C-BE32-E72D297353CC}">
              <c16:uniqueId val="{0000000A-442F-405A-AC00-AA2929BF40D1}"/>
            </c:ext>
          </c:extLst>
        </c:ser>
        <c:ser>
          <c:idx val="1"/>
          <c:order val="1"/>
          <c:tx>
            <c:strRef>
              <c:f>'Fiche levier - 16'!$D$153</c:f>
              <c:strCache>
                <c:ptCount val="1"/>
                <c:pt idx="0">
                  <c:v>2050</c:v>
                </c:pt>
              </c:strCache>
            </c:strRef>
          </c:tx>
          <c:spPr>
            <a:prstGeom prst="rect">
              <a:avLst/>
            </a:prstGeom>
            <a:solidFill>
              <a:schemeClr val="accent3"/>
            </a:solidFill>
            <a:ln>
              <a:noFill/>
            </a:ln>
            <a:effectLst/>
          </c:spPr>
          <c:invertIfNegative val="0"/>
          <c:dPt>
            <c:idx val="0"/>
            <c:invertIfNegative val="0"/>
            <c:bubble3D val="0"/>
            <c:spPr>
              <a:prstGeom prst="rect">
                <a:avLst/>
              </a:prstGeom>
              <a:solidFill>
                <a:schemeClr val="accent3"/>
              </a:solidFill>
              <a:ln>
                <a:noFill/>
              </a:ln>
              <a:effectLst/>
            </c:spPr>
            <c:extLst>
              <c:ext xmlns:c16="http://schemas.microsoft.com/office/drawing/2014/chart" uri="{C3380CC4-5D6E-409C-BE32-E72D297353CC}">
                <c16:uniqueId val="{0000000C-442F-405A-AC00-AA2929BF40D1}"/>
              </c:ext>
            </c:extLst>
          </c:dPt>
          <c:dPt>
            <c:idx val="1"/>
            <c:invertIfNegative val="0"/>
            <c:bubble3D val="0"/>
            <c:spPr>
              <a:prstGeom prst="rect">
                <a:avLst/>
              </a:prstGeom>
              <a:solidFill>
                <a:schemeClr val="accent5"/>
              </a:solidFill>
              <a:ln>
                <a:noFill/>
              </a:ln>
              <a:effectLst/>
            </c:spPr>
            <c:extLst>
              <c:ext xmlns:c16="http://schemas.microsoft.com/office/drawing/2014/chart" uri="{C3380CC4-5D6E-409C-BE32-E72D297353CC}">
                <c16:uniqueId val="{0000000E-442F-405A-AC00-AA2929BF40D1}"/>
              </c:ext>
            </c:extLst>
          </c:dPt>
          <c:dPt>
            <c:idx val="2"/>
            <c:invertIfNegative val="0"/>
            <c:bubble3D val="0"/>
            <c:spPr>
              <a:prstGeom prst="rect">
                <a:avLst/>
              </a:prstGeom>
              <a:solidFill>
                <a:schemeClr val="accent4"/>
              </a:solidFill>
              <a:ln>
                <a:noFill/>
              </a:ln>
              <a:effectLst/>
            </c:spPr>
            <c:extLst>
              <c:ext xmlns:c16="http://schemas.microsoft.com/office/drawing/2014/chart" uri="{C3380CC4-5D6E-409C-BE32-E72D297353CC}">
                <c16:uniqueId val="{00000010-442F-405A-AC00-AA2929BF40D1}"/>
              </c:ext>
            </c:extLst>
          </c:dPt>
          <c:dPt>
            <c:idx val="3"/>
            <c:invertIfNegative val="0"/>
            <c:bubble3D val="0"/>
            <c:spPr>
              <a:prstGeom prst="rect">
                <a:avLst/>
              </a:prstGeom>
              <a:solidFill>
                <a:schemeClr val="accent4"/>
              </a:solidFill>
              <a:ln>
                <a:noFill/>
              </a:ln>
              <a:effectLst/>
            </c:spPr>
            <c:extLst>
              <c:ext xmlns:c16="http://schemas.microsoft.com/office/drawing/2014/chart" uri="{C3380CC4-5D6E-409C-BE32-E72D297353CC}">
                <c16:uniqueId val="{00000012-442F-405A-AC00-AA2929BF40D1}"/>
              </c:ext>
            </c:extLst>
          </c:dPt>
          <c:dPt>
            <c:idx val="4"/>
            <c:invertIfNegative val="0"/>
            <c:bubble3D val="0"/>
            <c:spPr>
              <a:prstGeom prst="rect">
                <a:avLst/>
              </a:prstGeom>
              <a:solidFill>
                <a:schemeClr val="accent3"/>
              </a:solidFill>
              <a:ln>
                <a:noFill/>
              </a:ln>
              <a:effectLst/>
            </c:spPr>
            <c:extLst>
              <c:ext xmlns:c16="http://schemas.microsoft.com/office/drawing/2014/chart" uri="{C3380CC4-5D6E-409C-BE32-E72D297353CC}">
                <c16:uniqueId val="{00000014-442F-405A-AC00-AA2929BF40D1}"/>
              </c:ext>
            </c:extLst>
          </c:dPt>
          <c:dPt>
            <c:idx val="5"/>
            <c:invertIfNegative val="0"/>
            <c:bubble3D val="0"/>
            <c:spPr>
              <a:prstGeom prst="rect">
                <a:avLst/>
              </a:prstGeom>
              <a:solidFill>
                <a:schemeClr val="accent3"/>
              </a:solidFill>
              <a:ln>
                <a:noFill/>
              </a:ln>
              <a:effectLst/>
            </c:spPr>
            <c:extLst>
              <c:ext xmlns:c16="http://schemas.microsoft.com/office/drawing/2014/chart" uri="{C3380CC4-5D6E-409C-BE32-E72D297353CC}">
                <c16:uniqueId val="{00000016-442F-405A-AC00-AA2929BF40D1}"/>
              </c:ext>
            </c:extLst>
          </c:dPt>
          <c:cat>
            <c:multiLvlStrRef>
              <c:f>'Fiche levier - 16'!$B$154:$B$160</c:f>
            </c:multiLvlStrRef>
          </c:cat>
          <c:val>
            <c:numRef>
              <c:f>'Fiche levier - 16'!$D$154:$D$160</c:f>
            </c:numRef>
          </c:val>
          <c:extLst>
            <c:ext xmlns:c16="http://schemas.microsoft.com/office/drawing/2014/chart" uri="{C3380CC4-5D6E-409C-BE32-E72D297353CC}">
              <c16:uniqueId val="{00000017-442F-405A-AC00-AA2929BF40D1}"/>
            </c:ext>
          </c:extLst>
        </c:ser>
        <c:dLbls>
          <c:showLegendKey val="0"/>
          <c:showVal val="0"/>
          <c:showCatName val="0"/>
          <c:showSerName val="0"/>
          <c:showPercent val="0"/>
          <c:showBubbleSize val="0"/>
        </c:dLbls>
        <c:gapWidth val="11"/>
        <c:overlap val="100"/>
        <c:axId val="701665535"/>
        <c:axId val="482210063"/>
      </c:barChart>
      <c:catAx>
        <c:axId val="701665535"/>
        <c:scaling>
          <c:orientation val="minMax"/>
        </c:scaling>
        <c:delete val="0"/>
        <c:axPos val="b"/>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0" spcFirstLastPara="1" vertOverflow="ellipsis" wrap="square" anchor="t" anchorCtr="0"/>
          <a:lstStyle/>
          <a:p>
            <a:pPr>
              <a:defRPr sz="1000" b="1" i="0" u="none" strike="noStrike" baseline="0">
                <a:solidFill>
                  <a:schemeClr val="accent1"/>
                </a:solidFill>
                <a:latin typeface="+mn-lt"/>
                <a:ea typeface="+mn-ea"/>
                <a:cs typeface="Calibri"/>
              </a:defRPr>
            </a:pPr>
            <a:endParaRPr lang="fr-FR"/>
          </a:p>
        </c:txPr>
        <c:crossAx val="482210063"/>
        <c:crosses val="autoZero"/>
        <c:auto val="1"/>
        <c:lblAlgn val="ctr"/>
        <c:lblOffset val="100"/>
        <c:noMultiLvlLbl val="0"/>
      </c:catAx>
      <c:valAx>
        <c:axId val="482210063"/>
        <c:scaling>
          <c:orientation val="minMax"/>
          <c:max val="320000"/>
          <c:min val="0"/>
        </c:scaling>
        <c:delete val="0"/>
        <c:axPos val="l"/>
        <c:majorGridlines>
          <c:spPr bwMode="auto">
            <a:prstGeom prst="rect">
              <a:avLst/>
            </a:prstGeom>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baseline="0">
                    <a:solidFill>
                      <a:schemeClr val="accent1"/>
                    </a:solidFill>
                    <a:latin typeface="+mn-lt"/>
                    <a:ea typeface="+mn-ea"/>
                    <a:cs typeface="+mn-cs"/>
                  </a:defRPr>
                </a:pPr>
                <a:r>
                  <a:rPr lang="fr-FR" b="1">
                    <a:solidFill>
                      <a:schemeClr val="accent1"/>
                    </a:solidFill>
                  </a:rPr>
                  <a:t>Émissions en tonnes de CO2 équivalents</a:t>
                </a:r>
              </a:p>
            </c:rich>
          </c:tx>
          <c:layout>
            <c:manualLayout>
              <c:xMode val="edge"/>
              <c:yMode val="edge"/>
              <c:x val="1.0028613854654957E-2"/>
              <c:y val="0.1591999954904976"/>
            </c:manualLayout>
          </c:layout>
          <c:overlay val="0"/>
          <c:spPr>
            <a:prstGeom prst="rect">
              <a:avLst/>
            </a:prstGeom>
            <a:noFill/>
            <a:ln>
              <a:noFill/>
            </a:ln>
            <a:effectLst/>
          </c:spPr>
          <c:txPr>
            <a:bodyPr rot="-5400000" spcFirstLastPara="1" vertOverflow="ellipsis" vert="horz" wrap="square" anchor="ctr" anchorCtr="1"/>
            <a:lstStyle/>
            <a:p>
              <a:pPr>
                <a:defRPr sz="1000" b="0" i="0" u="none" strike="noStrike" baseline="0">
                  <a:solidFill>
                    <a:schemeClr val="accent1"/>
                  </a:solidFill>
                  <a:latin typeface="+mn-lt"/>
                  <a:ea typeface="+mn-ea"/>
                  <a:cs typeface="+mn-cs"/>
                </a:defRPr>
              </a:pPr>
              <a:endParaRPr lang="fr-FR"/>
            </a:p>
          </c:txPr>
        </c:title>
        <c:numFmt formatCode="0"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1" i="0" u="none" strike="noStrike" baseline="0">
                <a:solidFill>
                  <a:schemeClr val="accent1"/>
                </a:solidFill>
                <a:latin typeface="+mn-lt"/>
                <a:ea typeface="+mn-ea"/>
                <a:cs typeface="+mn-cs"/>
              </a:defRPr>
            </a:pPr>
            <a:endParaRPr lang="fr-FR"/>
          </a:p>
        </c:txPr>
        <c:crossAx val="701665535"/>
        <c:crosses val="autoZero"/>
        <c:crossBetween val="between"/>
      </c:valAx>
      <c:spPr>
        <a:prstGeom prst="rect">
          <a:avLst/>
        </a:prstGeom>
        <a:noFill/>
        <a:ln>
          <a:noFill/>
        </a:ln>
        <a:effectLst/>
      </c:spPr>
    </c:plotArea>
    <c:plotVisOnly val="1"/>
    <c:dispBlanksAs val="gap"/>
    <c:showDLblsOverMax val="0"/>
  </c:chart>
  <c:spPr bwMode="auto">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Récapitulatif!$B$223</c:f>
              <c:strCache>
                <c:ptCount val="1"/>
                <c:pt idx="0">
                  <c:v>DROP</c:v>
                </c:pt>
              </c:strCache>
            </c:strRef>
          </c:tx>
          <c:spPr>
            <a:ln w="25400" cap="rnd">
              <a:solidFill>
                <a:schemeClr val="tx2"/>
              </a:solidFill>
              <a:round/>
            </a:ln>
            <a:effectLst/>
          </c:spPr>
          <c:marker>
            <c:symbol val="triangle"/>
            <c:size val="9"/>
            <c:spPr>
              <a:solidFill>
                <a:schemeClr val="tx2"/>
              </a:solidFill>
              <a:ln w="9525">
                <a:noFill/>
              </a:ln>
              <a:effectLst/>
            </c:spPr>
          </c:marker>
          <c:xVal>
            <c:numRef>
              <c:f>Récapitulatif!$C$222:$Q$222</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Récapitulatif!$C$223:$Q$223</c:f>
              <c:numCache>
                <c:formatCode>_ * #\ ##0_)_ ;_ * \(#\ ##0\)_ ;_ * "-"??_)_ ;_ @_ </c:formatCode>
                <c:ptCount val="15"/>
                <c:pt idx="0">
                  <c:v>442868.54547044227</c:v>
                </c:pt>
                <c:pt idx="1">
                  <c:v>392759.70650156529</c:v>
                </c:pt>
                <c:pt idx="2">
                  <c:v>348320.48613281181</c:v>
                </c:pt>
                <c:pt idx="3">
                  <c:v>308909.38925608649</c:v>
                </c:pt>
                <c:pt idx="4">
                  <c:v>273957.50341880147</c:v>
                </c:pt>
                <c:pt idx="5">
                  <c:v>242960.28638107778</c:v>
                </c:pt>
                <c:pt idx="6">
                  <c:v>215470.28287864078</c:v>
                </c:pt>
                <c:pt idx="7">
                  <c:v>191090.66545542778</c:v>
                </c:pt>
                <c:pt idx="8">
                  <c:v>169469.50612565406</c:v>
                </c:pt>
                <c:pt idx="9">
                  <c:v>150294.69617484827</c:v>
                </c:pt>
                <c:pt idx="10">
                  <c:v>133289.44076547667</c:v>
                </c:pt>
                <c:pt idx="11">
                  <c:v>118208.26331027018</c:v>
                </c:pt>
                <c:pt idx="12">
                  <c:v>104833.46193503849</c:v>
                </c:pt>
                <c:pt idx="13">
                  <c:v>92971.966878819047</c:v>
                </c:pt>
                <c:pt idx="14">
                  <c:v>82452.55346687368</c:v>
                </c:pt>
              </c:numCache>
            </c:numRef>
          </c:yVal>
          <c:smooth val="0"/>
          <c:extLst>
            <c:ext xmlns:c16="http://schemas.microsoft.com/office/drawing/2014/chart" uri="{C3380CC4-5D6E-409C-BE32-E72D297353CC}">
              <c16:uniqueId val="{00000000-78BB-B948-853A-466A96BA771A}"/>
            </c:ext>
          </c:extLst>
        </c:ser>
        <c:ser>
          <c:idx val="1"/>
          <c:order val="1"/>
          <c:tx>
            <c:strRef>
              <c:f>Récapitulatif!$B$224</c:f>
              <c:strCache>
                <c:ptCount val="1"/>
                <c:pt idx="0">
                  <c:v>BUT 1</c:v>
                </c:pt>
              </c:strCache>
            </c:strRef>
          </c:tx>
          <c:spPr>
            <a:ln w="19050" cap="rnd">
              <a:solidFill>
                <a:schemeClr val="accent2"/>
              </a:solidFill>
              <a:round/>
            </a:ln>
            <a:effectLst/>
          </c:spPr>
          <c:marker>
            <c:symbol val="square"/>
            <c:size val="5"/>
            <c:spPr>
              <a:solidFill>
                <a:schemeClr val="accent2"/>
              </a:solidFill>
              <a:ln w="9525">
                <a:noFill/>
              </a:ln>
              <a:effectLst/>
            </c:spPr>
          </c:marker>
          <c:xVal>
            <c:numRef>
              <c:f>Récapitulatif!$C$222:$Q$222</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Récapitulatif!$C$224:$Q$224</c:f>
              <c:numCache>
                <c:formatCode>_ * #\ ##0_)_ ;_ * \(#\ ##0\)_ ;_ * "-"??_)_ ;_ @_ </c:formatCode>
                <c:ptCount val="15"/>
                <c:pt idx="0">
                  <c:v>442868.54547044227</c:v>
                </c:pt>
                <c:pt idx="1">
                  <c:v>408623.66205678857</c:v>
                </c:pt>
                <c:pt idx="2">
                  <c:v>377026.76990828337</c:v>
                </c:pt>
                <c:pt idx="3">
                  <c:v>347873.11266306066</c:v>
                </c:pt>
                <c:pt idx="4">
                  <c:v>320973.76677874924</c:v>
                </c:pt>
                <c:pt idx="5">
                  <c:v>296154.41725709051</c:v>
                </c:pt>
                <c:pt idx="6">
                  <c:v>273254.22803585243</c:v>
                </c:pt>
                <c:pt idx="7">
                  <c:v>252124.79972787554</c:v>
                </c:pt>
                <c:pt idx="8">
                  <c:v>232629.20795311916</c:v>
                </c:pt>
                <c:pt idx="9">
                  <c:v>214641.11603184076</c:v>
                </c:pt>
                <c:pt idx="10">
                  <c:v>198043.95628892229</c:v>
                </c:pt>
                <c:pt idx="11">
                  <c:v>182730.17466397391</c:v>
                </c:pt>
                <c:pt idx="12">
                  <c:v>168600.53373208706</c:v>
                </c:pt>
                <c:pt idx="13">
                  <c:v>155563.46961862213</c:v>
                </c:pt>
                <c:pt idx="14">
                  <c:v>143534.49864066698</c:v>
                </c:pt>
              </c:numCache>
            </c:numRef>
          </c:yVal>
          <c:smooth val="0"/>
          <c:extLst>
            <c:ext xmlns:c16="http://schemas.microsoft.com/office/drawing/2014/chart" uri="{C3380CC4-5D6E-409C-BE32-E72D297353CC}">
              <c16:uniqueId val="{00000001-78BB-B948-853A-466A96BA771A}"/>
            </c:ext>
          </c:extLst>
        </c:ser>
        <c:ser>
          <c:idx val="2"/>
          <c:order val="2"/>
          <c:tx>
            <c:strRef>
              <c:f>Récapitulatif!$B$225</c:f>
              <c:strCache>
                <c:ptCount val="1"/>
                <c:pt idx="0">
                  <c:v>BUT 2</c:v>
                </c:pt>
              </c:strCache>
            </c:strRef>
          </c:tx>
          <c:spPr>
            <a:ln w="19050" cap="rnd">
              <a:solidFill>
                <a:schemeClr val="accent4"/>
              </a:solidFill>
              <a:round/>
            </a:ln>
            <a:effectLst/>
          </c:spPr>
          <c:marker>
            <c:symbol val="circle"/>
            <c:size val="7"/>
            <c:spPr>
              <a:solidFill>
                <a:schemeClr val="accent4"/>
              </a:solidFill>
              <a:ln w="9525">
                <a:noFill/>
              </a:ln>
              <a:effectLst/>
            </c:spPr>
          </c:marker>
          <c:xVal>
            <c:numRef>
              <c:f>Récapitulatif!$C$222:$Q$222</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Récapitulatif!$C$225:$Q$225</c:f>
              <c:numCache>
                <c:formatCode>_ * #\ ##0_)_ ;_ * \(#\ ##0\)_ ;_ * "-"??_)_ ;_ @_ </c:formatCode>
                <c:ptCount val="15"/>
                <c:pt idx="0">
                  <c:v>442868.54547044227</c:v>
                </c:pt>
                <c:pt idx="1">
                  <c:v>390217.64324568521</c:v>
                </c:pt>
                <c:pt idx="2">
                  <c:v>343826.20002616459</c:v>
                </c:pt>
                <c:pt idx="3">
                  <c:v>302950.05331166385</c:v>
                </c:pt>
                <c:pt idx="4">
                  <c:v>266933.51115928846</c:v>
                </c:pt>
                <c:pt idx="5">
                  <c:v>235198.83426633041</c:v>
                </c:pt>
                <c:pt idx="6">
                  <c:v>207236.96848699637</c:v>
                </c:pt>
                <c:pt idx="7">
                  <c:v>182599.37912382916</c:v>
                </c:pt>
                <c:pt idx="8">
                  <c:v>160890.85600815504</c:v>
                </c:pt>
                <c:pt idx="9">
                  <c:v>141763.17395626224</c:v>
                </c:pt>
                <c:pt idx="10">
                  <c:v>124909.50690904915</c:v>
                </c:pt>
                <c:pt idx="11">
                  <c:v>110059.5061526737</c:v>
                </c:pt>
                <c:pt idx="12">
                  <c:v>96974.963670222292</c:v>
                </c:pt>
                <c:pt idx="13">
                  <c:v>85445.99106046847</c:v>
                </c:pt>
                <c:pt idx="14">
                  <c:v>75287.652729975205</c:v>
                </c:pt>
              </c:numCache>
            </c:numRef>
          </c:yVal>
          <c:smooth val="0"/>
          <c:extLst>
            <c:ext xmlns:c16="http://schemas.microsoft.com/office/drawing/2014/chart" uri="{C3380CC4-5D6E-409C-BE32-E72D297353CC}">
              <c16:uniqueId val="{00000002-78BB-B948-853A-466A96BA771A}"/>
            </c:ext>
          </c:extLst>
        </c:ser>
        <c:ser>
          <c:idx val="3"/>
          <c:order val="3"/>
          <c:tx>
            <c:strRef>
              <c:f>Récapitulatif!$B$227</c:f>
              <c:strCache>
                <c:ptCount val="1"/>
              </c:strCache>
            </c:strRef>
          </c:tx>
          <c:spPr>
            <a:ln w="19050" cap="rnd">
              <a:solidFill>
                <a:srgbClr val="00B050"/>
              </a:solidFill>
              <a:prstDash val="solid"/>
              <a:round/>
            </a:ln>
            <a:effectLst/>
          </c:spPr>
          <c:marker>
            <c:symbol val="diamond"/>
            <c:size val="6"/>
            <c:spPr>
              <a:solidFill>
                <a:srgbClr val="00B050"/>
              </a:solidFill>
              <a:ln w="9525">
                <a:solidFill>
                  <a:srgbClr val="00B050"/>
                </a:solidFill>
              </a:ln>
              <a:effectLst/>
            </c:spPr>
          </c:marker>
          <c:xVal>
            <c:numRef>
              <c:f>Récapitulatif!$C$222:$Q$222</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Récapitulatif!$C$227:$Q$227</c:f>
              <c:numCache>
                <c:formatCode>General</c:formatCode>
                <c:ptCount val="15"/>
              </c:numCache>
            </c:numRef>
          </c:yVal>
          <c:smooth val="0"/>
          <c:extLst>
            <c:ext xmlns:c16="http://schemas.microsoft.com/office/drawing/2014/chart" uri="{C3380CC4-5D6E-409C-BE32-E72D297353CC}">
              <c16:uniqueId val="{00000005-78BB-B948-853A-466A96BA771A}"/>
            </c:ext>
          </c:extLst>
        </c:ser>
        <c:ser>
          <c:idx val="4"/>
          <c:order val="4"/>
          <c:tx>
            <c:strRef>
              <c:f>Récapitulatif!$B$226</c:f>
              <c:strCache>
                <c:ptCount val="1"/>
                <c:pt idx="0">
                  <c:v>Objectif -83%</c:v>
                </c:pt>
              </c:strCache>
            </c:strRef>
          </c:tx>
          <c:spPr>
            <a:ln w="19050" cap="rnd">
              <a:solidFill>
                <a:schemeClr val="accent5"/>
              </a:solidFill>
              <a:prstDash val="sysDash"/>
              <a:round/>
            </a:ln>
            <a:effectLst/>
          </c:spPr>
          <c:marker>
            <c:symbol val="none"/>
          </c:marker>
          <c:xVal>
            <c:numRef>
              <c:f>Récapitulatif!$C$222:$Q$222</c:f>
              <c:numCache>
                <c:formatCode>General</c:formatCode>
                <c:ptCount val="15"/>
                <c:pt idx="0">
                  <c:v>2022</c:v>
                </c:pt>
                <c:pt idx="1">
                  <c:v>2024</c:v>
                </c:pt>
                <c:pt idx="2">
                  <c:v>2026</c:v>
                </c:pt>
                <c:pt idx="3">
                  <c:v>2028</c:v>
                </c:pt>
                <c:pt idx="4">
                  <c:v>2030</c:v>
                </c:pt>
                <c:pt idx="5">
                  <c:v>2032</c:v>
                </c:pt>
                <c:pt idx="6">
                  <c:v>2034</c:v>
                </c:pt>
                <c:pt idx="7">
                  <c:v>2036</c:v>
                </c:pt>
                <c:pt idx="8">
                  <c:v>2038</c:v>
                </c:pt>
                <c:pt idx="9">
                  <c:v>2040</c:v>
                </c:pt>
                <c:pt idx="10">
                  <c:v>2042</c:v>
                </c:pt>
                <c:pt idx="11">
                  <c:v>2044</c:v>
                </c:pt>
                <c:pt idx="12">
                  <c:v>2046</c:v>
                </c:pt>
                <c:pt idx="13">
                  <c:v>2048</c:v>
                </c:pt>
                <c:pt idx="14">
                  <c:v>2050</c:v>
                </c:pt>
              </c:numCache>
            </c:numRef>
          </c:xVal>
          <c:yVal>
            <c:numRef>
              <c:f>Récapitulatif!$C$226:$Q$226</c:f>
              <c:numCache>
                <c:formatCode>_ * #\ ##0_)_ ;_ * \(#\ ##0\)_ ;_ * "-"??_)_ ;_ @_ </c:formatCode>
                <c:ptCount val="15"/>
                <c:pt idx="0">
                  <c:v>75287.652729975205</c:v>
                </c:pt>
                <c:pt idx="1">
                  <c:v>75287.652729975205</c:v>
                </c:pt>
                <c:pt idx="2">
                  <c:v>75287.652729975205</c:v>
                </c:pt>
                <c:pt idx="3">
                  <c:v>75287.652729975205</c:v>
                </c:pt>
                <c:pt idx="4">
                  <c:v>75287.652729975205</c:v>
                </c:pt>
                <c:pt idx="5">
                  <c:v>75287.652729975205</c:v>
                </c:pt>
                <c:pt idx="6">
                  <c:v>75287.652729975205</c:v>
                </c:pt>
                <c:pt idx="7">
                  <c:v>75287.652729975205</c:v>
                </c:pt>
                <c:pt idx="8">
                  <c:v>75287.652729975205</c:v>
                </c:pt>
                <c:pt idx="9">
                  <c:v>75287.652729975205</c:v>
                </c:pt>
                <c:pt idx="10">
                  <c:v>75287.652729975205</c:v>
                </c:pt>
                <c:pt idx="11">
                  <c:v>75287.652729975205</c:v>
                </c:pt>
                <c:pt idx="12">
                  <c:v>75287.652729975205</c:v>
                </c:pt>
                <c:pt idx="13">
                  <c:v>75287.652729975205</c:v>
                </c:pt>
                <c:pt idx="14">
                  <c:v>75287.652729975205</c:v>
                </c:pt>
              </c:numCache>
            </c:numRef>
          </c:yVal>
          <c:smooth val="0"/>
          <c:extLst>
            <c:ext xmlns:c16="http://schemas.microsoft.com/office/drawing/2014/chart" uri="{C3380CC4-5D6E-409C-BE32-E72D297353CC}">
              <c16:uniqueId val="{00000000-AD79-CB40-9F11-99CB21F5A1B2}"/>
            </c:ext>
          </c:extLst>
        </c:ser>
        <c:dLbls>
          <c:showLegendKey val="0"/>
          <c:showVal val="0"/>
          <c:showCatName val="0"/>
          <c:showSerName val="0"/>
          <c:showPercent val="0"/>
          <c:showBubbleSize val="0"/>
        </c:dLbls>
        <c:axId val="652779039"/>
        <c:axId val="652780751"/>
      </c:scatterChart>
      <c:valAx>
        <c:axId val="652779039"/>
        <c:scaling>
          <c:orientation val="minMax"/>
          <c:max val="2050"/>
          <c:min val="202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accent1"/>
                </a:solidFill>
                <a:latin typeface="+mn-lt"/>
                <a:ea typeface="+mn-ea"/>
                <a:cs typeface="+mn-cs"/>
              </a:defRPr>
            </a:pPr>
            <a:endParaRPr lang="fr-FR"/>
          </a:p>
        </c:txPr>
        <c:crossAx val="652780751"/>
        <c:crosses val="autoZero"/>
        <c:crossBetween val="midCat"/>
        <c:majorUnit val="4"/>
      </c:valAx>
      <c:valAx>
        <c:axId val="652780751"/>
        <c:scaling>
          <c:orientation val="minMax"/>
          <c:max val="45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fr-FR" sz="1200" b="1" i="0" u="none" strike="noStrike" kern="1200" baseline="0">
                    <a:solidFill>
                      <a:schemeClr val="accent1"/>
                    </a:solidFill>
                  </a:rPr>
                  <a:t>Emissions de GES en tCO2e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_ * #\ ##0_)_ ;_ * \(#\ ##0\)_ ;_ * &quot;-&quot;??_)_ ;_ @_ "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accent1"/>
                </a:solidFill>
                <a:latin typeface="+mn-lt"/>
                <a:ea typeface="+mn-ea"/>
                <a:cs typeface="+mn-cs"/>
              </a:defRPr>
            </a:pPr>
            <a:endParaRPr lang="fr-FR"/>
          </a:p>
        </c:txPr>
        <c:crossAx val="652779039"/>
        <c:crosses val="autoZero"/>
        <c:crossBetween val="midCat"/>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accent1"/>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'Fiche levier - 16'!$AL$25</c:f>
              <c:strCache>
                <c:ptCount val="1"/>
                <c:pt idx="0">
                  <c:v>Car</c:v>
                </c:pt>
              </c:strCache>
            </c:strRef>
          </c:tx>
          <c:spPr>
            <a:prstGeom prst="rect">
              <a:avLst/>
            </a:prstGeom>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- 16'!$AM$25:$AN$25</c:f>
            </c:numRef>
          </c:val>
          <c:extLst>
            <c:ext xmlns:c15="http://schemas.microsoft.com/office/drawing/2012/chart" uri="{02D57815-91ED-43cb-92C2-25804820EDAC}">
              <c15:filteredCategoryTitle>
                <c15:cat>
                  <c:numRef>
                    <c:extLst>
                      <c:ext uri="{02D57815-91ED-43cb-92C2-25804820EDAC}">
                        <c15:formulaRef>
                          <c15:sqref>'Fiche levier - 16'!$AM$24:$AN$24</c15:sqref>
                        </c15:formulaRef>
                      </c:ext>
                    </c:extLst>
                  </c:numRef>
                </c15:cat>
              </c15:filteredCategoryTitle>
            </c:ext>
            <c:ext xmlns:c16="http://schemas.microsoft.com/office/drawing/2014/chart" uri="{C3380CC4-5D6E-409C-BE32-E72D297353CC}">
              <c16:uniqueId val="{00000000-CAA2-8645-B6EA-B4DCB8723EDD}"/>
            </c:ext>
          </c:extLst>
        </c:ser>
        <c:ser>
          <c:idx val="1"/>
          <c:order val="1"/>
          <c:tx>
            <c:strRef>
              <c:f>'Fiche levier - 16'!$AL$26</c:f>
              <c:strCache>
                <c:ptCount val="1"/>
                <c:pt idx="0">
                  <c:v>Train</c:v>
                </c:pt>
              </c:strCache>
            </c:strRef>
          </c:tx>
          <c:spPr>
            <a:prstGeom prst="rect">
              <a:avLst/>
            </a:prstGeom>
            <a:solidFill>
              <a:schemeClr val="accent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- 16'!$AM$26:$AN$26</c:f>
            </c:numRef>
          </c:val>
          <c:extLst>
            <c:ext xmlns:c15="http://schemas.microsoft.com/office/drawing/2012/chart" uri="{02D57815-91ED-43cb-92C2-25804820EDAC}">
              <c15:filteredCategoryTitle>
                <c15:cat>
                  <c:numRef>
                    <c:extLst>
                      <c:ext uri="{02D57815-91ED-43cb-92C2-25804820EDAC}">
                        <c15:formulaRef>
                          <c15:sqref>'Fiche levier - 16'!$AM$24:$AN$24</c15:sqref>
                        </c15:formulaRef>
                      </c:ext>
                    </c:extLst>
                  </c:numRef>
                </c15:cat>
              </c15:filteredCategoryTitle>
            </c:ext>
            <c:ext xmlns:c16="http://schemas.microsoft.com/office/drawing/2014/chart" uri="{C3380CC4-5D6E-409C-BE32-E72D297353CC}">
              <c16:uniqueId val="{00000001-CAA2-8645-B6EA-B4DCB8723EDD}"/>
            </c:ext>
          </c:extLst>
        </c:ser>
        <c:ser>
          <c:idx val="2"/>
          <c:order val="2"/>
          <c:tx>
            <c:strRef>
              <c:f>'Fiche levier - 16'!$AL$27</c:f>
              <c:strCache>
                <c:ptCount val="1"/>
                <c:pt idx="0">
                  <c:v>Voiture</c:v>
                </c:pt>
              </c:strCache>
            </c:strRef>
          </c:tx>
          <c:spPr>
            <a:prstGeom prst="rect">
              <a:avLst/>
            </a:prstGeom>
            <a:solidFill>
              <a:schemeClr val="accent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- 16'!$AM$27:$AN$27</c:f>
            </c:numRef>
          </c:val>
          <c:extLst>
            <c:ext xmlns:c15="http://schemas.microsoft.com/office/drawing/2012/chart" uri="{02D57815-91ED-43cb-92C2-25804820EDAC}">
              <c15:filteredCategoryTitle>
                <c15:cat>
                  <c:numRef>
                    <c:extLst>
                      <c:ext uri="{02D57815-91ED-43cb-92C2-25804820EDAC}">
                        <c15:formulaRef>
                          <c15:sqref>'Fiche levier - 16'!$AM$24:$AN$24</c15:sqref>
                        </c15:formulaRef>
                      </c:ext>
                    </c:extLst>
                  </c:numRef>
                </c15:cat>
              </c15:filteredCategoryTitle>
            </c:ext>
            <c:ext xmlns:c16="http://schemas.microsoft.com/office/drawing/2014/chart" uri="{C3380CC4-5D6E-409C-BE32-E72D297353CC}">
              <c16:uniqueId val="{00000002-CAA2-8645-B6EA-B4DCB8723EDD}"/>
            </c:ext>
          </c:extLst>
        </c:ser>
        <c:ser>
          <c:idx val="3"/>
          <c:order val="3"/>
          <c:tx>
            <c:strRef>
              <c:f>'Fiche levier - 16'!$AL$28</c:f>
              <c:strCache>
                <c:ptCount val="1"/>
                <c:pt idx="0">
                  <c:v>Avion</c:v>
                </c:pt>
              </c:strCache>
            </c:strRef>
          </c:tx>
          <c:spPr>
            <a:prstGeom prst="rect">
              <a:avLst/>
            </a:prstGeom>
            <a:solidFill>
              <a:schemeClr val="tx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bwMode="auto">
                    <a:ln w="9525" cap="flat" cmpd="sng" algn="ctr">
                      <a:solidFill>
                        <a:schemeClr val="tx1">
                          <a:lumMod val="35000"/>
                          <a:lumOff val="65000"/>
                        </a:schemeClr>
                      </a:solidFill>
                      <a:round/>
                    </a:ln>
                    <a:effectLst/>
                  </c:spPr>
                </c15:leaderLines>
              </c:ext>
            </c:extLst>
          </c:dLbls>
          <c:val>
            <c:numRef>
              <c:f>'Fiche levier - 16'!$AM$28:$AN$28</c:f>
            </c:numRef>
          </c:val>
          <c:extLst>
            <c:ext xmlns:c15="http://schemas.microsoft.com/office/drawing/2012/chart" uri="{02D57815-91ED-43cb-92C2-25804820EDAC}">
              <c15:filteredCategoryTitle>
                <c15:cat>
                  <c:numRef>
                    <c:extLst>
                      <c:ext uri="{02D57815-91ED-43cb-92C2-25804820EDAC}">
                        <c15:formulaRef>
                          <c15:sqref>'Fiche levier - 16'!$AM$24:$AN$24</c15:sqref>
                        </c15:formulaRef>
                      </c:ext>
                    </c:extLst>
                  </c:numRef>
                </c15:cat>
              </c15:filteredCategoryTitle>
            </c:ext>
            <c:ext xmlns:c16="http://schemas.microsoft.com/office/drawing/2014/chart" uri="{C3380CC4-5D6E-409C-BE32-E72D297353CC}">
              <c16:uniqueId val="{00000003-CAA2-8645-B6EA-B4DCB8723EDD}"/>
            </c:ext>
          </c:extLst>
        </c:ser>
        <c:dLbls>
          <c:dLblPos val="ctr"/>
          <c:showLegendKey val="0"/>
          <c:showVal val="1"/>
          <c:showCatName val="0"/>
          <c:showSerName val="0"/>
          <c:showPercent val="0"/>
          <c:showBubbleSize val="0"/>
        </c:dLbls>
        <c:gapWidth val="150"/>
        <c:overlap val="100"/>
        <c:axId val="1137669391"/>
        <c:axId val="653426143"/>
      </c:barChart>
      <c:catAx>
        <c:axId val="1137669391"/>
        <c:scaling>
          <c:orientation val="minMax"/>
        </c:scaling>
        <c:delete val="0"/>
        <c:axPos val="b"/>
        <c:numFmt formatCode="General" sourceLinked="1"/>
        <c:majorTickMark val="none"/>
        <c:minorTickMark val="none"/>
        <c:tickLblPos val="nextTo"/>
        <c:spPr bwMode="auto">
          <a:prstGeom prst="rect">
            <a:avLst/>
          </a:prstGeom>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baseline="0">
                <a:solidFill>
                  <a:schemeClr val="tx2"/>
                </a:solidFill>
                <a:latin typeface="+mn-lt"/>
                <a:ea typeface="+mn-ea"/>
                <a:cs typeface="+mn-cs"/>
              </a:defRPr>
            </a:pPr>
            <a:endParaRPr lang="fr-FR"/>
          </a:p>
        </c:txPr>
        <c:crossAx val="653426143"/>
        <c:crosses val="autoZero"/>
        <c:auto val="1"/>
        <c:lblAlgn val="ctr"/>
        <c:lblOffset val="100"/>
        <c:noMultiLvlLbl val="0"/>
      </c:catAx>
      <c:valAx>
        <c:axId val="653426143"/>
        <c:scaling>
          <c:orientation val="minMax"/>
        </c:scaling>
        <c:delete val="0"/>
        <c:axPos val="l"/>
        <c:majorGridlines>
          <c:spPr bwMode="auto">
            <a:prstGeom prst="rect">
              <a:avLst/>
            </a:prstGeom>
            <a:ln w="9525" cap="flat" cmpd="sng" algn="ctr">
              <a:solidFill>
                <a:schemeClr val="tx1">
                  <a:lumMod val="15000"/>
                  <a:lumOff val="85000"/>
                </a:schemeClr>
              </a:solidFill>
              <a:round/>
            </a:ln>
            <a:effectLst/>
          </c:spPr>
        </c:majorGridlines>
        <c:numFmt formatCode="0%"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1200" b="1" i="0" u="none" strike="noStrike" baseline="0">
                <a:solidFill>
                  <a:schemeClr val="tx2"/>
                </a:solidFill>
                <a:latin typeface="+mn-lt"/>
                <a:ea typeface="+mn-ea"/>
                <a:cs typeface="+mn-cs"/>
              </a:defRPr>
            </a:pPr>
            <a:endParaRPr lang="fr-FR"/>
          </a:p>
        </c:txPr>
        <c:crossAx val="1137669391"/>
        <c:crosses val="autoZero"/>
        <c:crossBetween val="between"/>
      </c:valAx>
      <c:spPr>
        <a:prstGeom prst="rect">
          <a:avLst/>
        </a:prstGeom>
        <a:noFill/>
        <a:ln>
          <a:noFill/>
        </a:ln>
        <a:effectLst/>
      </c:spPr>
    </c:plotArea>
    <c:legend>
      <c:legendPos val="b"/>
      <c:layout>
        <c:manualLayout>
          <c:xMode val="edge"/>
          <c:yMode val="edge"/>
          <c:x val="0.1100157372881992"/>
          <c:y val="0.91379570727857862"/>
          <c:w val="0.82616618225337668"/>
          <c:h val="7.281252250206327E-2"/>
        </c:manualLayout>
      </c:layout>
      <c:overlay val="0"/>
      <c:spPr>
        <a:prstGeom prst="rect">
          <a:avLst/>
        </a:prstGeom>
        <a:noFill/>
        <a:ln>
          <a:noFill/>
        </a:ln>
        <a:effectLst/>
      </c:spPr>
      <c:txPr>
        <a:bodyPr rot="0" spcFirstLastPara="1" vertOverflow="ellipsis" vert="horz" wrap="square" anchor="ctr" anchorCtr="1"/>
        <a:lstStyle/>
        <a:p>
          <a:pPr>
            <a:defRPr sz="1200" b="1" i="0" u="none" strike="noStrike" baseline="0">
              <a:solidFill>
                <a:schemeClr val="tx2"/>
              </a:solidFill>
              <a:latin typeface="+mn-lt"/>
              <a:ea typeface="+mn-ea"/>
              <a:cs typeface="+mn-cs"/>
            </a:defRPr>
          </a:pPr>
          <a:endParaRPr lang="fr-FR"/>
        </a:p>
      </c:txPr>
    </c:legend>
    <c:plotVisOnly val="1"/>
    <c:dispBlanksAs val="gap"/>
    <c:showDLblsOverMax val="0"/>
  </c:chart>
  <c:spPr bwMode="auto">
    <a:xfrm>
      <a:off x="0" y="0"/>
      <a:ext cx="0" cy="0"/>
    </a:xfrm>
    <a:prstGeom prst="rect">
      <a:avLst/>
    </a:prstGeom>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'Fiche levier - 22'!$C$111</c:f>
              <c:strCache>
                <c:ptCount val="1"/>
              </c:strCache>
            </c:strRef>
          </c:tx>
          <c:spPr>
            <a:prstGeom prst="rect">
              <a:avLst/>
            </a:prstGeom>
            <a:solidFill>
              <a:schemeClr val="accent1"/>
            </a:solidFill>
            <a:ln>
              <a:noFill/>
            </a:ln>
            <a:effectLst/>
          </c:spPr>
          <c:invertIfNegative val="0"/>
          <c:dPt>
            <c:idx val="1"/>
            <c:invertIfNegative val="0"/>
            <c:bubble3D val="0"/>
            <c:spPr>
              <a:prstGeom prst="rect">
                <a:avLst/>
              </a:prstGeom>
              <a:noFill/>
              <a:ln>
                <a:noFill/>
              </a:ln>
              <a:effectLst/>
            </c:spPr>
            <c:extLst>
              <c:ext xmlns:c16="http://schemas.microsoft.com/office/drawing/2014/chart" uri="{C3380CC4-5D6E-409C-BE32-E72D297353CC}">
                <c16:uniqueId val="{00000001-BCF1-41C2-94F4-CED6FE6DC2A2}"/>
              </c:ext>
            </c:extLst>
          </c:dPt>
          <c:dPt>
            <c:idx val="2"/>
            <c:invertIfNegative val="0"/>
            <c:bubble3D val="0"/>
            <c:spPr>
              <a:prstGeom prst="rect">
                <a:avLst/>
              </a:prstGeom>
              <a:noFill/>
              <a:ln>
                <a:noFill/>
              </a:ln>
              <a:effectLst/>
            </c:spPr>
            <c:extLst>
              <c:ext xmlns:c16="http://schemas.microsoft.com/office/drawing/2014/chart" uri="{C3380CC4-5D6E-409C-BE32-E72D297353CC}">
                <c16:uniqueId val="{00000003-BCF1-41C2-94F4-CED6FE6DC2A2}"/>
              </c:ext>
            </c:extLst>
          </c:dPt>
          <c:dPt>
            <c:idx val="3"/>
            <c:invertIfNegative val="0"/>
            <c:bubble3D val="0"/>
            <c:spPr>
              <a:prstGeom prst="rect">
                <a:avLst/>
              </a:prstGeom>
              <a:noFill/>
              <a:ln>
                <a:noFill/>
              </a:ln>
              <a:effectLst/>
            </c:spPr>
            <c:extLst>
              <c:ext xmlns:c16="http://schemas.microsoft.com/office/drawing/2014/chart" uri="{C3380CC4-5D6E-409C-BE32-E72D297353CC}">
                <c16:uniqueId val="{00000005-BCF1-41C2-94F4-CED6FE6DC2A2}"/>
              </c:ext>
            </c:extLst>
          </c:dPt>
          <c:dPt>
            <c:idx val="4"/>
            <c:invertIfNegative val="0"/>
            <c:bubble3D val="0"/>
            <c:spPr>
              <a:prstGeom prst="rect">
                <a:avLst/>
              </a:prstGeom>
              <a:noFill/>
              <a:ln>
                <a:noFill/>
              </a:ln>
              <a:effectLst/>
            </c:spPr>
            <c:extLst>
              <c:ext xmlns:c16="http://schemas.microsoft.com/office/drawing/2014/chart" uri="{C3380CC4-5D6E-409C-BE32-E72D297353CC}">
                <c16:uniqueId val="{00000007-BCF1-41C2-94F4-CED6FE6DC2A2}"/>
              </c:ext>
            </c:extLst>
          </c:dPt>
          <c:dPt>
            <c:idx val="5"/>
            <c:invertIfNegative val="0"/>
            <c:bubble3D val="0"/>
            <c:spPr>
              <a:prstGeom prst="rect">
                <a:avLst/>
              </a:prstGeom>
              <a:noFill/>
              <a:ln>
                <a:noFill/>
              </a:ln>
              <a:effectLst/>
            </c:spPr>
            <c:extLst>
              <c:ext xmlns:c16="http://schemas.microsoft.com/office/drawing/2014/chart" uri="{C3380CC4-5D6E-409C-BE32-E72D297353CC}">
                <c16:uniqueId val="{00000009-BCF1-41C2-94F4-CED6FE6DC2A2}"/>
              </c:ext>
            </c:extLst>
          </c:dPt>
          <c:cat>
            <c:multiLvlStrRef>
              <c:f>'Fiche levier - 22'!$B$112:$B$118</c:f>
            </c:multiLvlStrRef>
          </c:cat>
          <c:val>
            <c:numRef>
              <c:f>'Fiche levier - 22'!$C$112:$C$118</c:f>
            </c:numRef>
          </c:val>
          <c:extLst>
            <c:ext xmlns:c16="http://schemas.microsoft.com/office/drawing/2014/chart" uri="{C3380CC4-5D6E-409C-BE32-E72D297353CC}">
              <c16:uniqueId val="{0000000A-BCF1-41C2-94F4-CED6FE6DC2A2}"/>
            </c:ext>
          </c:extLst>
        </c:ser>
        <c:ser>
          <c:idx val="1"/>
          <c:order val="1"/>
          <c:tx>
            <c:strRef>
              <c:f>'Fiche levier - 22'!$D$111</c:f>
              <c:strCache>
                <c:ptCount val="1"/>
                <c:pt idx="0">
                  <c:v>2050</c:v>
                </c:pt>
              </c:strCache>
            </c:strRef>
          </c:tx>
          <c:spPr>
            <a:prstGeom prst="rect">
              <a:avLst/>
            </a:prstGeom>
            <a:solidFill>
              <a:schemeClr val="accent3"/>
            </a:solidFill>
            <a:ln>
              <a:noFill/>
            </a:ln>
            <a:effectLst/>
          </c:spPr>
          <c:invertIfNegative val="0"/>
          <c:dPt>
            <c:idx val="0"/>
            <c:invertIfNegative val="0"/>
            <c:bubble3D val="0"/>
            <c:spPr>
              <a:prstGeom prst="rect">
                <a:avLst/>
              </a:prstGeom>
              <a:solidFill>
                <a:schemeClr val="accent3"/>
              </a:solidFill>
              <a:ln>
                <a:noFill/>
              </a:ln>
              <a:effectLst/>
            </c:spPr>
            <c:extLst>
              <c:ext xmlns:c16="http://schemas.microsoft.com/office/drawing/2014/chart" uri="{C3380CC4-5D6E-409C-BE32-E72D297353CC}">
                <c16:uniqueId val="{0000000C-BCF1-41C2-94F4-CED6FE6DC2A2}"/>
              </c:ext>
            </c:extLst>
          </c:dPt>
          <c:dPt>
            <c:idx val="1"/>
            <c:invertIfNegative val="0"/>
            <c:bubble3D val="0"/>
            <c:spPr>
              <a:prstGeom prst="rect">
                <a:avLst/>
              </a:prstGeom>
              <a:solidFill>
                <a:schemeClr val="accent6"/>
              </a:solidFill>
              <a:ln>
                <a:noFill/>
              </a:ln>
              <a:effectLst/>
            </c:spPr>
            <c:extLst>
              <c:ext xmlns:c16="http://schemas.microsoft.com/office/drawing/2014/chart" uri="{C3380CC4-5D6E-409C-BE32-E72D297353CC}">
                <c16:uniqueId val="{0000000E-BCF1-41C2-94F4-CED6FE6DC2A2}"/>
              </c:ext>
            </c:extLst>
          </c:dPt>
          <c:dPt>
            <c:idx val="2"/>
            <c:invertIfNegative val="0"/>
            <c:bubble3D val="0"/>
            <c:spPr>
              <a:prstGeom prst="rect">
                <a:avLst/>
              </a:prstGeom>
              <a:solidFill>
                <a:schemeClr val="accent3"/>
              </a:solidFill>
              <a:ln>
                <a:noFill/>
              </a:ln>
              <a:effectLst/>
            </c:spPr>
            <c:extLst>
              <c:ext xmlns:c16="http://schemas.microsoft.com/office/drawing/2014/chart" uri="{C3380CC4-5D6E-409C-BE32-E72D297353CC}">
                <c16:uniqueId val="{00000010-BCF1-41C2-94F4-CED6FE6DC2A2}"/>
              </c:ext>
            </c:extLst>
          </c:dPt>
          <c:dPt>
            <c:idx val="3"/>
            <c:invertIfNegative val="0"/>
            <c:bubble3D val="0"/>
            <c:spPr>
              <a:prstGeom prst="rect">
                <a:avLst/>
              </a:prstGeom>
              <a:solidFill>
                <a:schemeClr val="accent5"/>
              </a:solidFill>
              <a:ln>
                <a:noFill/>
              </a:ln>
              <a:effectLst/>
            </c:spPr>
            <c:extLst>
              <c:ext xmlns:c16="http://schemas.microsoft.com/office/drawing/2014/chart" uri="{C3380CC4-5D6E-409C-BE32-E72D297353CC}">
                <c16:uniqueId val="{00000012-BCF1-41C2-94F4-CED6FE6DC2A2}"/>
              </c:ext>
            </c:extLst>
          </c:dPt>
          <c:dPt>
            <c:idx val="4"/>
            <c:invertIfNegative val="0"/>
            <c:bubble3D val="0"/>
            <c:spPr>
              <a:prstGeom prst="rect">
                <a:avLst/>
              </a:prstGeom>
              <a:solidFill>
                <a:schemeClr val="accent4"/>
              </a:solidFill>
              <a:ln>
                <a:noFill/>
              </a:ln>
              <a:effectLst/>
            </c:spPr>
            <c:extLst>
              <c:ext xmlns:c16="http://schemas.microsoft.com/office/drawing/2014/chart" uri="{C3380CC4-5D6E-409C-BE32-E72D297353CC}">
                <c16:uniqueId val="{00000014-BCF1-41C2-94F4-CED6FE6DC2A2}"/>
              </c:ext>
            </c:extLst>
          </c:dPt>
          <c:dPt>
            <c:idx val="5"/>
            <c:invertIfNegative val="0"/>
            <c:bubble3D val="0"/>
            <c:spPr>
              <a:prstGeom prst="rect">
                <a:avLst/>
              </a:prstGeom>
              <a:solidFill>
                <a:schemeClr val="accent3"/>
              </a:solidFill>
              <a:ln>
                <a:noFill/>
              </a:ln>
              <a:effectLst/>
            </c:spPr>
            <c:extLst>
              <c:ext xmlns:c16="http://schemas.microsoft.com/office/drawing/2014/chart" uri="{C3380CC4-5D6E-409C-BE32-E72D297353CC}">
                <c16:uniqueId val="{00000016-BCF1-41C2-94F4-CED6FE6DC2A2}"/>
              </c:ext>
            </c:extLst>
          </c:dPt>
          <c:cat>
            <c:multiLvlStrRef>
              <c:f>'Fiche levier - 22'!$B$112:$B$118</c:f>
            </c:multiLvlStrRef>
          </c:cat>
          <c:val>
            <c:numRef>
              <c:f>'Fiche levier - 22'!$D$112:$D$118</c:f>
            </c:numRef>
          </c:val>
          <c:extLst>
            <c:ext xmlns:c16="http://schemas.microsoft.com/office/drawing/2014/chart" uri="{C3380CC4-5D6E-409C-BE32-E72D297353CC}">
              <c16:uniqueId val="{00000017-BCF1-41C2-94F4-CED6FE6DC2A2}"/>
            </c:ext>
          </c:extLst>
        </c:ser>
        <c:dLbls>
          <c:showLegendKey val="0"/>
          <c:showVal val="0"/>
          <c:showCatName val="0"/>
          <c:showSerName val="0"/>
          <c:showPercent val="0"/>
          <c:showBubbleSize val="0"/>
        </c:dLbls>
        <c:gapWidth val="11"/>
        <c:overlap val="100"/>
        <c:axId val="701665535"/>
        <c:axId val="482210063"/>
      </c:barChart>
      <c:catAx>
        <c:axId val="701665535"/>
        <c:scaling>
          <c:orientation val="minMax"/>
        </c:scaling>
        <c:delete val="0"/>
        <c:axPos val="b"/>
        <c:numFmt formatCode="General" sourceLinked="1"/>
        <c:majorTickMark val="none"/>
        <c:minorTickMark val="none"/>
        <c:tickLblPos val="low"/>
        <c:spPr bwMode="auto">
          <a:prstGeom prst="rect">
            <a:avLst/>
          </a:prstGeom>
          <a:noFill/>
          <a:ln w="9525" cap="flat" cmpd="sng" algn="ctr">
            <a:solidFill>
              <a:schemeClr val="tx1">
                <a:lumMod val="15000"/>
                <a:lumOff val="85000"/>
              </a:schemeClr>
            </a:solidFill>
            <a:round/>
          </a:ln>
          <a:effectLst/>
        </c:spPr>
        <c:txPr>
          <a:bodyPr rot="0" spcFirstLastPara="1" vertOverflow="ellipsis" wrap="square" anchor="t" anchorCtr="0"/>
          <a:lstStyle/>
          <a:p>
            <a:pPr>
              <a:defRPr sz="1000" b="1" i="0" u="none" strike="noStrike" baseline="0">
                <a:solidFill>
                  <a:schemeClr val="tx1"/>
                </a:solidFill>
                <a:latin typeface="+mn-lt"/>
                <a:ea typeface="+mn-ea"/>
                <a:cs typeface="Calibri"/>
              </a:defRPr>
            </a:pPr>
            <a:endParaRPr lang="fr-FR"/>
          </a:p>
        </c:txPr>
        <c:crossAx val="482210063"/>
        <c:crosses val="autoZero"/>
        <c:auto val="1"/>
        <c:lblAlgn val="ctr"/>
        <c:lblOffset val="100"/>
        <c:noMultiLvlLbl val="0"/>
      </c:catAx>
      <c:valAx>
        <c:axId val="482210063"/>
        <c:scaling>
          <c:orientation val="minMax"/>
          <c:max val="225"/>
          <c:min val="0"/>
        </c:scaling>
        <c:delete val="0"/>
        <c:axPos val="l"/>
        <c:majorGridlines>
          <c:spPr bwMode="auto">
            <a:prstGeom prst="rect">
              <a:avLst/>
            </a:prstGeom>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r>
                  <a:rPr lang="fr-FR" b="1">
                    <a:solidFill>
                      <a:schemeClr val="tx1"/>
                    </a:solidFill>
                  </a:rPr>
                  <a:t>Émissions en millions de tonnes de CO2 équivalents</a:t>
                </a:r>
              </a:p>
            </c:rich>
          </c:tx>
          <c:overlay val="0"/>
          <c:spPr>
            <a:prstGeom prst="rect">
              <a:avLst/>
            </a:prstGeom>
            <a:noFill/>
            <a:ln>
              <a:noFill/>
            </a:ln>
            <a:effectLst/>
          </c:spPr>
          <c:txPr>
            <a:bodyPr rot="-54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prstGeom prst="rect">
            <a:avLst/>
          </a:prstGeom>
          <a:noFill/>
          <a:ln>
            <a:noFill/>
          </a:ln>
          <a:effectLst/>
        </c:spPr>
        <c:txPr>
          <a:bodyPr rot="-60000000" spcFirstLastPara="1" vertOverflow="ellipsis" vert="horz" wrap="square" anchor="ctr" anchorCtr="1"/>
          <a:lstStyle/>
          <a:p>
            <a:pPr>
              <a:defRPr sz="900" b="1" i="0" u="none" strike="noStrike" baseline="0">
                <a:solidFill>
                  <a:schemeClr val="tx1"/>
                </a:solidFill>
                <a:latin typeface="+mn-lt"/>
                <a:ea typeface="+mn-ea"/>
                <a:cs typeface="+mn-cs"/>
              </a:defRPr>
            </a:pPr>
            <a:endParaRPr lang="fr-FR"/>
          </a:p>
        </c:txPr>
        <c:crossAx val="701665535"/>
        <c:crosses val="autoZero"/>
        <c:crossBetween val="between"/>
        <c:majorUnit val="25"/>
      </c:valAx>
      <c:spPr>
        <a:prstGeom prst="rect">
          <a:avLst/>
        </a:prstGeom>
        <a:noFill/>
        <a:ln>
          <a:noFill/>
        </a:ln>
        <a:effectLst/>
      </c:spPr>
    </c:plotArea>
    <c:plotVisOnly val="1"/>
    <c:dispBlanksAs val="gap"/>
    <c:showDLblsOverMax val="0"/>
  </c:chart>
  <c:spPr bwMode="auto">
    <a:xfrm>
      <a:off x="0" y="0"/>
      <a:ext cx="0" cy="0"/>
    </a:xfrm>
    <a:prstGeom prst="rect">
      <a:avLst/>
    </a:prstGeom>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Récapitulatif!$J$8</c:f>
              <c:strCache>
                <c:ptCount val="1"/>
                <c:pt idx="0">
                  <c:v>Avion</c:v>
                </c:pt>
              </c:strCache>
            </c:strRef>
          </c:tx>
          <c:spPr>
            <a:solidFill>
              <a:schemeClr val="accent1"/>
            </a:solidFill>
            <a:ln w="6350">
              <a:noFill/>
            </a:ln>
            <a:effectLst/>
          </c:spPr>
          <c:invertIfNegative val="0"/>
          <c:dPt>
            <c:idx val="0"/>
            <c:invertIfNegative val="0"/>
            <c:bubble3D val="0"/>
            <c:spPr>
              <a:solidFill>
                <a:schemeClr val="accent1"/>
              </a:solidFill>
              <a:ln w="6350">
                <a:solidFill>
                  <a:schemeClr val="bg1"/>
                </a:solidFill>
              </a:ln>
              <a:effectLst/>
            </c:spPr>
            <c:extLst>
              <c:ext xmlns:c16="http://schemas.microsoft.com/office/drawing/2014/chart" uri="{C3380CC4-5D6E-409C-BE32-E72D297353CC}">
                <c16:uniqueId val="{00000003-080B-0847-807F-C284F1F754D1}"/>
              </c:ext>
            </c:extLst>
          </c:dPt>
          <c:dPt>
            <c:idx val="2"/>
            <c:invertIfNegative val="0"/>
            <c:bubble3D val="0"/>
            <c:spPr>
              <a:solidFill>
                <a:schemeClr val="accent1">
                  <a:lumMod val="50000"/>
                  <a:lumOff val="50000"/>
                </a:schemeClr>
              </a:solidFill>
              <a:ln w="6350">
                <a:noFill/>
              </a:ln>
              <a:effectLst/>
            </c:spPr>
            <c:extLst>
              <c:ext xmlns:c16="http://schemas.microsoft.com/office/drawing/2014/chart" uri="{C3380CC4-5D6E-409C-BE32-E72D297353CC}">
                <c16:uniqueId val="{00000009-080B-0847-807F-C284F1F754D1}"/>
              </c:ext>
            </c:extLst>
          </c:dPt>
          <c:dPt>
            <c:idx val="3"/>
            <c:invertIfNegative val="0"/>
            <c:bubble3D val="0"/>
            <c:spPr>
              <a:solidFill>
                <a:schemeClr val="accent2"/>
              </a:solidFill>
              <a:ln w="6350">
                <a:noFill/>
              </a:ln>
              <a:effectLst/>
            </c:spPr>
            <c:extLst>
              <c:ext xmlns:c16="http://schemas.microsoft.com/office/drawing/2014/chart" uri="{C3380CC4-5D6E-409C-BE32-E72D297353CC}">
                <c16:uniqueId val="{0000000A-080B-0847-807F-C284F1F754D1}"/>
              </c:ext>
            </c:extLst>
          </c:dPt>
          <c:dPt>
            <c:idx val="4"/>
            <c:invertIfNegative val="0"/>
            <c:bubble3D val="0"/>
            <c:spPr>
              <a:solidFill>
                <a:schemeClr val="accent3"/>
              </a:solidFill>
              <a:ln w="6350">
                <a:noFill/>
              </a:ln>
              <a:effectLst/>
            </c:spPr>
            <c:extLst>
              <c:ext xmlns:c16="http://schemas.microsoft.com/office/drawing/2014/chart" uri="{C3380CC4-5D6E-409C-BE32-E72D297353CC}">
                <c16:uniqueId val="{0000000B-080B-0847-807F-C284F1F754D1}"/>
              </c:ext>
            </c:extLst>
          </c:dPt>
          <c:dPt>
            <c:idx val="5"/>
            <c:invertIfNegative val="0"/>
            <c:bubble3D val="0"/>
            <c:spPr>
              <a:solidFill>
                <a:schemeClr val="accent4"/>
              </a:solidFill>
              <a:ln w="6350">
                <a:noFill/>
              </a:ln>
              <a:effectLst/>
            </c:spPr>
            <c:extLst>
              <c:ext xmlns:c16="http://schemas.microsoft.com/office/drawing/2014/chart" uri="{C3380CC4-5D6E-409C-BE32-E72D297353CC}">
                <c16:uniqueId val="{0000000C-080B-0847-807F-C284F1F754D1}"/>
              </c:ext>
            </c:extLst>
          </c:dPt>
          <c:dPt>
            <c:idx val="6"/>
            <c:invertIfNegative val="0"/>
            <c:bubble3D val="0"/>
            <c:spPr>
              <a:solidFill>
                <a:schemeClr val="accent2">
                  <a:lumMod val="50000"/>
                </a:schemeClr>
              </a:solidFill>
              <a:ln w="6350">
                <a:noFill/>
              </a:ln>
              <a:effectLst/>
            </c:spPr>
            <c:extLst>
              <c:ext xmlns:c16="http://schemas.microsoft.com/office/drawing/2014/chart" uri="{C3380CC4-5D6E-409C-BE32-E72D297353CC}">
                <c16:uniqueId val="{0000000D-080B-0847-807F-C284F1F754D1}"/>
              </c:ext>
            </c:extLst>
          </c:dPt>
          <c:dPt>
            <c:idx val="7"/>
            <c:invertIfNegative val="0"/>
            <c:bubble3D val="0"/>
            <c:spPr>
              <a:solidFill>
                <a:schemeClr val="tx1"/>
              </a:solidFill>
              <a:ln w="6350">
                <a:noFill/>
              </a:ln>
              <a:effectLst/>
            </c:spPr>
            <c:extLst>
              <c:ext xmlns:c16="http://schemas.microsoft.com/office/drawing/2014/chart" uri="{C3380CC4-5D6E-409C-BE32-E72D297353CC}">
                <c16:uniqueId val="{0000000E-080B-0847-807F-C284F1F754D1}"/>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chemeClr val="bg1"/>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3-080B-0847-807F-C284F1F754D1}"/>
                </c:ext>
              </c:extLst>
            </c:dLbl>
            <c:dLbl>
              <c:idx val="1"/>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8-080B-0847-807F-C284F1F754D1}"/>
                </c:ext>
              </c:extLst>
            </c:dLbl>
            <c:dLbl>
              <c:idx val="2"/>
              <c:delete val="1"/>
              <c:extLst>
                <c:ext xmlns:c15="http://schemas.microsoft.com/office/drawing/2012/chart" uri="{CE6537A1-D6FC-4f65-9D91-7224C49458BB}"/>
                <c:ext xmlns:c16="http://schemas.microsoft.com/office/drawing/2014/chart" uri="{C3380CC4-5D6E-409C-BE32-E72D297353CC}">
                  <c16:uniqueId val="{00000009-080B-0847-807F-C284F1F754D1}"/>
                </c:ext>
              </c:extLst>
            </c:dLbl>
            <c:dLbl>
              <c:idx val="5"/>
              <c:layout>
                <c:manualLayout>
                  <c:x val="8.0102744965465268E-17"/>
                  <c:y val="-2.96387687542031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0B-0847-807F-C284F1F754D1}"/>
                </c:ext>
              </c:extLst>
            </c:dLbl>
            <c:dLbl>
              <c:idx val="6"/>
              <c:layout>
                <c:manualLayout>
                  <c:x val="-1.6020548993093054E-16"/>
                  <c:y val="-3.21086661503868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0B-0847-807F-C284F1F754D1}"/>
                </c:ext>
              </c:extLst>
            </c:dLbl>
            <c:dLbl>
              <c:idx val="7"/>
              <c:layout>
                <c:manualLayout>
                  <c:x val="0"/>
                  <c:y val="-2.46989739618360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0B-0847-807F-C284F1F754D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Récapitulatif!$I$9:$I$16</c:f>
              <c:strCache>
                <c:ptCount val="8"/>
                <c:pt idx="0">
                  <c:v>Déplacement des spectateurs</c:v>
                </c:pt>
                <c:pt idx="1">
                  <c:v>Déplacement de l'équipe sportive</c:v>
                </c:pt>
                <c:pt idx="2">
                  <c:v>Déplacement des salariés</c:v>
                </c:pt>
                <c:pt idx="3">
                  <c:v>Construction et entretien des infras.</c:v>
                </c:pt>
                <c:pt idx="4">
                  <c:v>Alimentation et boissons</c:v>
                </c:pt>
                <c:pt idx="5">
                  <c:v>Retransmission</c:v>
                </c:pt>
                <c:pt idx="6">
                  <c:v>Consommation d'énergie des infras.</c:v>
                </c:pt>
                <c:pt idx="7">
                  <c:v>Déchets et autres</c:v>
                </c:pt>
              </c:strCache>
            </c:strRef>
          </c:cat>
          <c:val>
            <c:numRef>
              <c:f>Récapitulatif!$J$9:$J$16</c:f>
              <c:numCache>
                <c:formatCode>0%</c:formatCode>
                <c:ptCount val="8"/>
                <c:pt idx="0">
                  <c:v>0</c:v>
                </c:pt>
                <c:pt idx="1">
                  <c:v>6.7722068551222342E-2</c:v>
                </c:pt>
                <c:pt idx="2">
                  <c:v>1.1082088318053367E-3</c:v>
                </c:pt>
                <c:pt idx="3">
                  <c:v>8.3939946616052225E-2</c:v>
                </c:pt>
                <c:pt idx="4">
                  <c:v>5.832828439907492E-2</c:v>
                </c:pt>
                <c:pt idx="5">
                  <c:v>2.3389699145898016E-2</c:v>
                </c:pt>
                <c:pt idx="6">
                  <c:v>1.9825295993133454E-2</c:v>
                </c:pt>
                <c:pt idx="7">
                  <c:v>1.4066973315217696E-2</c:v>
                </c:pt>
              </c:numCache>
            </c:numRef>
          </c:val>
          <c:extLst>
            <c:ext xmlns:c16="http://schemas.microsoft.com/office/drawing/2014/chart" uri="{C3380CC4-5D6E-409C-BE32-E72D297353CC}">
              <c16:uniqueId val="{00000000-080B-0847-807F-C284F1F754D1}"/>
            </c:ext>
          </c:extLst>
        </c:ser>
        <c:ser>
          <c:idx val="1"/>
          <c:order val="1"/>
          <c:tx>
            <c:strRef>
              <c:f>Récapitulatif!$K$8</c:f>
              <c:strCache>
                <c:ptCount val="1"/>
                <c:pt idx="0">
                  <c:v>Voiture</c:v>
                </c:pt>
              </c:strCache>
            </c:strRef>
          </c:tx>
          <c:spPr>
            <a:solidFill>
              <a:schemeClr val="accent6"/>
            </a:solidFill>
            <a:ln w="6350">
              <a:solidFill>
                <a:schemeClr val="bg1"/>
              </a:solidFill>
            </a:ln>
            <a:effectLst/>
          </c:spPr>
          <c:invertIfNegative val="0"/>
          <c:dPt>
            <c:idx val="0"/>
            <c:invertIfNegative val="0"/>
            <c:bubble3D val="0"/>
            <c:spPr>
              <a:solidFill>
                <a:schemeClr val="accent1">
                  <a:lumMod val="50000"/>
                  <a:lumOff val="50000"/>
                </a:schemeClr>
              </a:solidFill>
              <a:ln w="6350">
                <a:solidFill>
                  <a:schemeClr val="bg1"/>
                </a:solidFill>
              </a:ln>
              <a:effectLst/>
            </c:spPr>
            <c:extLst>
              <c:ext xmlns:c16="http://schemas.microsoft.com/office/drawing/2014/chart" uri="{C3380CC4-5D6E-409C-BE32-E72D297353CC}">
                <c16:uniqueId val="{00000004-080B-0847-807F-C284F1F754D1}"/>
              </c:ext>
            </c:extLst>
          </c:dPt>
          <c:dLbls>
            <c:dLbl>
              <c:idx val="0"/>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chemeClr val="bg1"/>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4-080B-0847-807F-C284F1F754D1}"/>
                </c:ext>
              </c:extLst>
            </c:dLbl>
            <c:dLbl>
              <c:idx val="1"/>
              <c:delete val="1"/>
              <c:extLst>
                <c:ext xmlns:c15="http://schemas.microsoft.com/office/drawing/2012/chart" uri="{CE6537A1-D6FC-4f65-9D91-7224C49458BB}"/>
                <c:ext xmlns:c16="http://schemas.microsoft.com/office/drawing/2014/chart" uri="{C3380CC4-5D6E-409C-BE32-E72D297353CC}">
                  <c16:uniqueId val="{00000007-080B-0847-807F-C284F1F754D1}"/>
                </c:ext>
              </c:extLst>
            </c:dLbl>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0-2CE5-2C42-96B7-6F0359D02EC2}"/>
                </c:ext>
              </c:extLst>
            </c:dLbl>
            <c:spPr>
              <a:noFill/>
              <a:ln>
                <a:noFill/>
              </a:ln>
              <a:effectLst/>
            </c:spPr>
            <c:txPr>
              <a:bodyPr rot="0" spcFirstLastPara="1" vertOverflow="ellipsis" vert="horz" wrap="square" lIns="38100" tIns="19050" rIns="38100" bIns="19050" anchor="ctr" anchorCtr="1">
                <a:spAutoFit/>
              </a:bodyPr>
              <a:lstStyle/>
              <a:p>
                <a:pPr>
                  <a:defRPr sz="1200" b="1" i="1" u="none" strike="noStrike" kern="1200" baseline="0">
                    <a:solidFill>
                      <a:schemeClr val="bg1"/>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Récapitulatif!$I$9:$I$16</c:f>
              <c:strCache>
                <c:ptCount val="8"/>
                <c:pt idx="0">
                  <c:v>Déplacement des spectateurs</c:v>
                </c:pt>
                <c:pt idx="1">
                  <c:v>Déplacement de l'équipe sportive</c:v>
                </c:pt>
                <c:pt idx="2">
                  <c:v>Déplacement des salariés</c:v>
                </c:pt>
                <c:pt idx="3">
                  <c:v>Construction et entretien des infras.</c:v>
                </c:pt>
                <c:pt idx="4">
                  <c:v>Alimentation et boissons</c:v>
                </c:pt>
                <c:pt idx="5">
                  <c:v>Retransmission</c:v>
                </c:pt>
                <c:pt idx="6">
                  <c:v>Consommation d'énergie des infras.</c:v>
                </c:pt>
                <c:pt idx="7">
                  <c:v>Déchets et autres</c:v>
                </c:pt>
              </c:strCache>
            </c:strRef>
          </c:cat>
          <c:val>
            <c:numRef>
              <c:f>Récapitulatif!$K$9:$K$16</c:f>
              <c:numCache>
                <c:formatCode>0%</c:formatCode>
                <c:ptCount val="8"/>
                <c:pt idx="0">
                  <c:v>0</c:v>
                </c:pt>
                <c:pt idx="1">
                  <c:v>9.3317981263690039E-4</c:v>
                </c:pt>
                <c:pt idx="2">
                  <c:v>4.545475417054879E-2</c:v>
                </c:pt>
              </c:numCache>
            </c:numRef>
          </c:val>
          <c:extLst>
            <c:ext xmlns:c16="http://schemas.microsoft.com/office/drawing/2014/chart" uri="{C3380CC4-5D6E-409C-BE32-E72D297353CC}">
              <c16:uniqueId val="{00000001-080B-0847-807F-C284F1F754D1}"/>
            </c:ext>
          </c:extLst>
        </c:ser>
        <c:ser>
          <c:idx val="2"/>
          <c:order val="2"/>
          <c:tx>
            <c:strRef>
              <c:f>Récapitulatif!$L$8</c:f>
              <c:strCache>
                <c:ptCount val="1"/>
                <c:pt idx="0">
                  <c:v>Transports en commun</c:v>
                </c:pt>
              </c:strCache>
            </c:strRef>
          </c:tx>
          <c:spPr>
            <a:solidFill>
              <a:schemeClr val="tx2">
                <a:lumMod val="25000"/>
                <a:lumOff val="75000"/>
              </a:schemeClr>
            </a:solidFill>
            <a:ln w="6350">
              <a:solidFill>
                <a:schemeClr val="bg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6-080B-0847-807F-C284F1F754D1}"/>
                </c:ext>
              </c:extLst>
            </c:dLbl>
            <c:dLbl>
              <c:idx val="2"/>
              <c:delete val="1"/>
              <c:extLst>
                <c:ext xmlns:c15="http://schemas.microsoft.com/office/drawing/2012/chart" uri="{CE6537A1-D6FC-4f65-9D91-7224C49458BB}"/>
                <c:ext xmlns:c16="http://schemas.microsoft.com/office/drawing/2014/chart" uri="{C3380CC4-5D6E-409C-BE32-E72D297353CC}">
                  <c16:uniqueId val="{0000000F-080B-0847-807F-C284F1F754D1}"/>
                </c:ext>
              </c:extLst>
            </c:dLbl>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chemeClr val="bg1"/>
                    </a:solidFill>
                    <a:latin typeface="Poppins" pitchFamily="2" charset="77"/>
                    <a:ea typeface="+mn-ea"/>
                    <a:cs typeface="Poppins" pitchFamily="2" charset="77"/>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Récapitulatif!$I$9:$I$16</c:f>
              <c:strCache>
                <c:ptCount val="8"/>
                <c:pt idx="0">
                  <c:v>Déplacement des spectateurs</c:v>
                </c:pt>
                <c:pt idx="1">
                  <c:v>Déplacement de l'équipe sportive</c:v>
                </c:pt>
                <c:pt idx="2">
                  <c:v>Déplacement des salariés</c:v>
                </c:pt>
                <c:pt idx="3">
                  <c:v>Construction et entretien des infras.</c:v>
                </c:pt>
                <c:pt idx="4">
                  <c:v>Alimentation et boissons</c:v>
                </c:pt>
                <c:pt idx="5">
                  <c:v>Retransmission</c:v>
                </c:pt>
                <c:pt idx="6">
                  <c:v>Consommation d'énergie des infras.</c:v>
                </c:pt>
                <c:pt idx="7">
                  <c:v>Déchets et autres</c:v>
                </c:pt>
              </c:strCache>
            </c:strRef>
          </c:cat>
          <c:val>
            <c:numRef>
              <c:f>Récapitulatif!$L$9:$L$16</c:f>
              <c:numCache>
                <c:formatCode>0%</c:formatCode>
                <c:ptCount val="8"/>
                <c:pt idx="0">
                  <c:v>0</c:v>
                </c:pt>
                <c:pt idx="1">
                  <c:v>3.5157860267407818E-3</c:v>
                </c:pt>
                <c:pt idx="2">
                  <c:v>2.0855886150841774E-3</c:v>
                </c:pt>
              </c:numCache>
            </c:numRef>
          </c:val>
          <c:extLst>
            <c:ext xmlns:c16="http://schemas.microsoft.com/office/drawing/2014/chart" uri="{C3380CC4-5D6E-409C-BE32-E72D297353CC}">
              <c16:uniqueId val="{00000002-080B-0847-807F-C284F1F754D1}"/>
            </c:ext>
          </c:extLst>
        </c:ser>
        <c:dLbls>
          <c:dLblPos val="ctr"/>
          <c:showLegendKey val="0"/>
          <c:showVal val="1"/>
          <c:showCatName val="0"/>
          <c:showSerName val="0"/>
          <c:showPercent val="0"/>
          <c:showBubbleSize val="0"/>
        </c:dLbls>
        <c:gapWidth val="100"/>
        <c:overlap val="100"/>
        <c:axId val="1663012047"/>
        <c:axId val="65725344"/>
      </c:barChart>
      <c:catAx>
        <c:axId val="1663012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Poppins" pitchFamily="2" charset="77"/>
                <a:ea typeface="+mn-ea"/>
                <a:cs typeface="Poppins" pitchFamily="2" charset="77"/>
              </a:defRPr>
            </a:pPr>
            <a:endParaRPr lang="fr-FR"/>
          </a:p>
        </c:txPr>
        <c:crossAx val="65725344"/>
        <c:crosses val="autoZero"/>
        <c:auto val="1"/>
        <c:lblAlgn val="ctr"/>
        <c:lblOffset val="100"/>
        <c:noMultiLvlLbl val="0"/>
      </c:catAx>
      <c:valAx>
        <c:axId val="65725344"/>
        <c:scaling>
          <c:orientation val="minMax"/>
          <c:max val="0.75"/>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2"/>
                </a:solidFill>
                <a:latin typeface="Poppins" pitchFamily="2" charset="77"/>
                <a:ea typeface="+mn-ea"/>
                <a:cs typeface="Poppins" pitchFamily="2" charset="77"/>
              </a:defRPr>
            </a:pPr>
            <a:endParaRPr lang="fr-FR"/>
          </a:p>
        </c:txPr>
        <c:crossAx val="1663012047"/>
        <c:crosses val="autoZero"/>
        <c:crossBetween val="between"/>
      </c:valAx>
      <c:spPr>
        <a:noFill/>
        <a:ln>
          <a:noFill/>
        </a:ln>
        <a:effectLst/>
      </c:spPr>
    </c:plotArea>
    <c:legend>
      <c:legendPos val="b"/>
      <c:layout>
        <c:manualLayout>
          <c:xMode val="edge"/>
          <c:yMode val="edge"/>
          <c:x val="0.67587901820471075"/>
          <c:y val="0.11148246010869192"/>
          <c:w val="0.30933654885128464"/>
          <c:h val="4.7357465643184354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Poppins" pitchFamily="2" charset="77"/>
              <a:ea typeface="+mn-ea"/>
              <a:cs typeface="Poppins" pitchFamily="2" charset="77"/>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Récapitulatif!$J$25</c:f>
              <c:strCache>
                <c:ptCount val="1"/>
                <c:pt idx="0">
                  <c:v>Voiture</c:v>
                </c:pt>
              </c:strCache>
            </c:strRef>
          </c:tx>
          <c:spPr>
            <a:solidFill>
              <a:schemeClr val="tx2">
                <a:lumMod val="50000"/>
                <a:lumOff val="50000"/>
              </a:schemeClr>
            </a:solidFill>
            <a:ln w="6350">
              <a:solidFill>
                <a:schemeClr val="bg1"/>
              </a:solidFill>
            </a:ln>
            <a:effectLst/>
          </c:spPr>
          <c:invertIfNegative val="0"/>
          <c:dPt>
            <c:idx val="0"/>
            <c:invertIfNegative val="0"/>
            <c:bubble3D val="0"/>
            <c:spPr>
              <a:solidFill>
                <a:schemeClr val="tx2">
                  <a:lumMod val="50000"/>
                  <a:lumOff val="50000"/>
                </a:schemeClr>
              </a:solidFill>
              <a:ln w="6350">
                <a:solidFill>
                  <a:schemeClr val="bg1"/>
                </a:solidFill>
              </a:ln>
              <a:effectLst/>
            </c:spPr>
            <c:extLst>
              <c:ext xmlns:c16="http://schemas.microsoft.com/office/drawing/2014/chart" uri="{C3380CC4-5D6E-409C-BE32-E72D297353CC}">
                <c16:uniqueId val="{00000001-54F4-CB45-8FC7-74FEEF5CEC43}"/>
              </c:ext>
            </c:extLst>
          </c:dPt>
          <c:dPt>
            <c:idx val="2"/>
            <c:invertIfNegative val="0"/>
            <c:bubble3D val="0"/>
            <c:spPr>
              <a:solidFill>
                <a:schemeClr val="tx2">
                  <a:lumMod val="50000"/>
                  <a:lumOff val="50000"/>
                </a:schemeClr>
              </a:solidFill>
              <a:ln w="6350">
                <a:solidFill>
                  <a:schemeClr val="bg1"/>
                </a:solidFill>
              </a:ln>
              <a:effectLst/>
            </c:spPr>
            <c:extLst>
              <c:ext xmlns:c16="http://schemas.microsoft.com/office/drawing/2014/chart" uri="{C3380CC4-5D6E-409C-BE32-E72D297353CC}">
                <c16:uniqueId val="{00000003-54F4-CB45-8FC7-74FEEF5CEC43}"/>
              </c:ext>
            </c:extLst>
          </c:dPt>
          <c:dPt>
            <c:idx val="3"/>
            <c:invertIfNegative val="0"/>
            <c:bubble3D val="0"/>
            <c:spPr>
              <a:solidFill>
                <a:schemeClr val="accent2"/>
              </a:solidFill>
              <a:ln w="6350">
                <a:solidFill>
                  <a:schemeClr val="bg1"/>
                </a:solidFill>
              </a:ln>
              <a:effectLst/>
            </c:spPr>
            <c:extLst>
              <c:ext xmlns:c16="http://schemas.microsoft.com/office/drawing/2014/chart" uri="{C3380CC4-5D6E-409C-BE32-E72D297353CC}">
                <c16:uniqueId val="{00000005-54F4-CB45-8FC7-74FEEF5CEC43}"/>
              </c:ext>
            </c:extLst>
          </c:dPt>
          <c:dPt>
            <c:idx val="4"/>
            <c:invertIfNegative val="0"/>
            <c:bubble3D val="0"/>
            <c:spPr>
              <a:solidFill>
                <a:schemeClr val="accent3"/>
              </a:solidFill>
              <a:ln w="6350">
                <a:solidFill>
                  <a:schemeClr val="bg1"/>
                </a:solidFill>
              </a:ln>
              <a:effectLst/>
            </c:spPr>
            <c:extLst>
              <c:ext xmlns:c16="http://schemas.microsoft.com/office/drawing/2014/chart" uri="{C3380CC4-5D6E-409C-BE32-E72D297353CC}">
                <c16:uniqueId val="{00000007-54F4-CB45-8FC7-74FEEF5CEC43}"/>
              </c:ext>
            </c:extLst>
          </c:dPt>
          <c:dPt>
            <c:idx val="5"/>
            <c:invertIfNegative val="0"/>
            <c:bubble3D val="0"/>
            <c:spPr>
              <a:solidFill>
                <a:schemeClr val="accent4"/>
              </a:solidFill>
              <a:ln w="6350">
                <a:solidFill>
                  <a:schemeClr val="bg1"/>
                </a:solidFill>
              </a:ln>
              <a:effectLst/>
            </c:spPr>
            <c:extLst>
              <c:ext xmlns:c16="http://schemas.microsoft.com/office/drawing/2014/chart" uri="{C3380CC4-5D6E-409C-BE32-E72D297353CC}">
                <c16:uniqueId val="{00000009-54F4-CB45-8FC7-74FEEF5CEC43}"/>
              </c:ext>
            </c:extLst>
          </c:dPt>
          <c:dPt>
            <c:idx val="6"/>
            <c:invertIfNegative val="0"/>
            <c:bubble3D val="0"/>
            <c:spPr>
              <a:solidFill>
                <a:schemeClr val="accent2">
                  <a:lumMod val="50000"/>
                </a:schemeClr>
              </a:solidFill>
              <a:ln w="6350">
                <a:solidFill>
                  <a:schemeClr val="bg1"/>
                </a:solidFill>
              </a:ln>
              <a:effectLst/>
            </c:spPr>
            <c:extLst>
              <c:ext xmlns:c16="http://schemas.microsoft.com/office/drawing/2014/chart" uri="{C3380CC4-5D6E-409C-BE32-E72D297353CC}">
                <c16:uniqueId val="{0000000B-54F4-CB45-8FC7-74FEEF5CEC43}"/>
              </c:ext>
            </c:extLst>
          </c:dPt>
          <c:dPt>
            <c:idx val="7"/>
            <c:invertIfNegative val="0"/>
            <c:bubble3D val="0"/>
            <c:spPr>
              <a:solidFill>
                <a:schemeClr val="tx1"/>
              </a:solidFill>
              <a:ln w="6350">
                <a:solidFill>
                  <a:schemeClr val="bg1"/>
                </a:solidFill>
              </a:ln>
              <a:effectLst/>
            </c:spPr>
            <c:extLst>
              <c:ext xmlns:c16="http://schemas.microsoft.com/office/drawing/2014/chart" uri="{C3380CC4-5D6E-409C-BE32-E72D297353CC}">
                <c16:uniqueId val="{0000000D-54F4-CB45-8FC7-74FEEF5CEC43}"/>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1-54F4-CB45-8FC7-74FEEF5CEC43}"/>
                </c:ext>
              </c:extLst>
            </c:dLbl>
            <c:dLbl>
              <c:idx val="1"/>
              <c:delete val="1"/>
              <c:extLst>
                <c:ext xmlns:c15="http://schemas.microsoft.com/office/drawing/2012/chart" uri="{CE6537A1-D6FC-4f65-9D91-7224C49458BB}"/>
                <c:ext xmlns:c16="http://schemas.microsoft.com/office/drawing/2014/chart" uri="{C3380CC4-5D6E-409C-BE32-E72D297353CC}">
                  <c16:uniqueId val="{0000000E-54F4-CB45-8FC7-74FEEF5CEC43}"/>
                </c:ext>
              </c:extLst>
            </c:dLbl>
            <c:dLbl>
              <c:idx val="2"/>
              <c:delete val="1"/>
              <c:extLst>
                <c:ext xmlns:c15="http://schemas.microsoft.com/office/drawing/2012/chart" uri="{CE6537A1-D6FC-4f65-9D91-7224C49458BB}"/>
                <c:ext xmlns:c16="http://schemas.microsoft.com/office/drawing/2014/chart" uri="{C3380CC4-5D6E-409C-BE32-E72D297353CC}">
                  <c16:uniqueId val="{00000003-54F4-CB45-8FC7-74FEEF5CEC43}"/>
                </c:ext>
              </c:extLst>
            </c:dLbl>
            <c:dLbl>
              <c:idx val="3"/>
              <c:layout>
                <c:manualLayout>
                  <c:x val="0"/>
                  <c:y val="-0.1090131458599707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F4-CB45-8FC7-74FEEF5CEC43}"/>
                </c:ext>
              </c:extLst>
            </c:dLbl>
            <c:dLbl>
              <c:idx val="4"/>
              <c:layout>
                <c:manualLayout>
                  <c:x val="-8.2082630308237219E-17"/>
                  <c:y val="-8.23654879830889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F4-CB45-8FC7-74FEEF5CEC43}"/>
                </c:ext>
              </c:extLst>
            </c:dLbl>
            <c:dLbl>
              <c:idx val="5"/>
              <c:layout>
                <c:manualLayout>
                  <c:x val="-8.2082630308237219E-17"/>
                  <c:y val="-4.36052583439882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F4-CB45-8FC7-74FEEF5CEC43}"/>
                </c:ext>
              </c:extLst>
            </c:dLbl>
            <c:dLbl>
              <c:idx val="6"/>
              <c:layout>
                <c:manualLayout>
                  <c:x val="0"/>
                  <c:y val="-3.87602296391007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4F4-CB45-8FC7-74FEEF5CEC43}"/>
                </c:ext>
              </c:extLst>
            </c:dLbl>
            <c:dLbl>
              <c:idx val="7"/>
              <c:layout>
                <c:manualLayout>
                  <c:x val="0"/>
                  <c:y val="-3.3915200934213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F4-CB45-8FC7-74FEEF5CEC4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Récapitulatif!$I$26:$I$33</c:f>
              <c:strCache>
                <c:ptCount val="8"/>
                <c:pt idx="0">
                  <c:v>Déplacement des spectateurs</c:v>
                </c:pt>
                <c:pt idx="1">
                  <c:v>Déplacement de l'équipe sportive</c:v>
                </c:pt>
                <c:pt idx="2">
                  <c:v>Déplacement des salariés</c:v>
                </c:pt>
                <c:pt idx="3">
                  <c:v>Construction et entretien des infras.</c:v>
                </c:pt>
                <c:pt idx="4">
                  <c:v>Alimentation et boissons</c:v>
                </c:pt>
                <c:pt idx="5">
                  <c:v>Retransmission</c:v>
                </c:pt>
                <c:pt idx="6">
                  <c:v>Consommation d'énergie des infras.</c:v>
                </c:pt>
                <c:pt idx="7">
                  <c:v>Déchets et autres</c:v>
                </c:pt>
              </c:strCache>
            </c:strRef>
          </c:cat>
          <c:val>
            <c:numRef>
              <c:f>Récapitulatif!$J$26:$J$33</c:f>
              <c:numCache>
                <c:formatCode>0%</c:formatCode>
                <c:ptCount val="8"/>
                <c:pt idx="0">
                  <c:v>0.47153169846489307</c:v>
                </c:pt>
                <c:pt idx="1">
                  <c:v>1.5986075348607286E-3</c:v>
                </c:pt>
                <c:pt idx="2">
                  <c:v>7.3214635901071107E-2</c:v>
                </c:pt>
                <c:pt idx="3">
                  <c:v>0.13520329701907202</c:v>
                </c:pt>
                <c:pt idx="4">
                  <c:v>9.3950218914160236E-2</c:v>
                </c:pt>
                <c:pt idx="5">
                  <c:v>3.7674129759391939E-2</c:v>
                </c:pt>
                <c:pt idx="6">
                  <c:v>3.1932893582970738E-2</c:v>
                </c:pt>
                <c:pt idx="7">
                  <c:v>2.2657879209718589E-2</c:v>
                </c:pt>
              </c:numCache>
            </c:numRef>
          </c:val>
          <c:extLst>
            <c:ext xmlns:c16="http://schemas.microsoft.com/office/drawing/2014/chart" uri="{C3380CC4-5D6E-409C-BE32-E72D297353CC}">
              <c16:uniqueId val="{0000000F-54F4-CB45-8FC7-74FEEF5CEC43}"/>
            </c:ext>
          </c:extLst>
        </c:ser>
        <c:ser>
          <c:idx val="1"/>
          <c:order val="1"/>
          <c:tx>
            <c:strRef>
              <c:f>Récapitulatif!$K$25</c:f>
              <c:strCache>
                <c:ptCount val="1"/>
                <c:pt idx="0">
                  <c:v>Transports en commun</c:v>
                </c:pt>
              </c:strCache>
            </c:strRef>
          </c:tx>
          <c:spPr>
            <a:solidFill>
              <a:schemeClr val="tx2">
                <a:lumMod val="25000"/>
                <a:lumOff val="75000"/>
              </a:schemeClr>
            </a:solidFill>
            <a:ln w="6350">
              <a:solidFill>
                <a:schemeClr val="bg1"/>
              </a:solidFill>
            </a:ln>
            <a:effectLst/>
          </c:spPr>
          <c:invertIfNegative val="0"/>
          <c:dPt>
            <c:idx val="0"/>
            <c:invertIfNegative val="0"/>
            <c:bubble3D val="0"/>
            <c:spPr>
              <a:solidFill>
                <a:schemeClr val="tx2">
                  <a:lumMod val="25000"/>
                  <a:lumOff val="75000"/>
                </a:schemeClr>
              </a:solidFill>
              <a:ln w="6350">
                <a:solidFill>
                  <a:schemeClr val="bg1"/>
                </a:solidFill>
              </a:ln>
              <a:effectLst/>
            </c:spPr>
            <c:extLst>
              <c:ext xmlns:c16="http://schemas.microsoft.com/office/drawing/2014/chart" uri="{C3380CC4-5D6E-409C-BE32-E72D297353CC}">
                <c16:uniqueId val="{00000011-54F4-CB45-8FC7-74FEEF5CEC43}"/>
              </c:ext>
            </c:extLst>
          </c:dPt>
          <c:dLbls>
            <c:dLbl>
              <c:idx val="1"/>
              <c:delete val="1"/>
              <c:extLst>
                <c:ext xmlns:c15="http://schemas.microsoft.com/office/drawing/2012/chart" uri="{CE6537A1-D6FC-4f65-9D91-7224C49458BB}"/>
                <c:ext xmlns:c16="http://schemas.microsoft.com/office/drawing/2014/chart" uri="{C3380CC4-5D6E-409C-BE32-E72D297353CC}">
                  <c16:uniqueId val="{00000012-54F4-CB45-8FC7-74FEEF5CEC43}"/>
                </c:ext>
              </c:extLst>
            </c:dLbl>
            <c:dLbl>
              <c:idx val="2"/>
              <c:delete val="1"/>
              <c:extLst>
                <c:ext xmlns:c15="http://schemas.microsoft.com/office/drawing/2012/chart" uri="{CE6537A1-D6FC-4f65-9D91-7224C49458BB}"/>
                <c:ext xmlns:c16="http://schemas.microsoft.com/office/drawing/2014/chart" uri="{C3380CC4-5D6E-409C-BE32-E72D297353CC}">
                  <c16:uniqueId val="{00000010-571A-E449-A8B0-BF22085E956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Récapitulatif!$I$26:$I$33</c:f>
              <c:strCache>
                <c:ptCount val="8"/>
                <c:pt idx="0">
                  <c:v>Déplacement des spectateurs</c:v>
                </c:pt>
                <c:pt idx="1">
                  <c:v>Déplacement de l'équipe sportive</c:v>
                </c:pt>
                <c:pt idx="2">
                  <c:v>Déplacement des salariés</c:v>
                </c:pt>
                <c:pt idx="3">
                  <c:v>Construction et entretien des infras.</c:v>
                </c:pt>
                <c:pt idx="4">
                  <c:v>Alimentation et boissons</c:v>
                </c:pt>
                <c:pt idx="5">
                  <c:v>Retransmission</c:v>
                </c:pt>
                <c:pt idx="6">
                  <c:v>Consommation d'énergie des infras.</c:v>
                </c:pt>
                <c:pt idx="7">
                  <c:v>Déchets et autres</c:v>
                </c:pt>
              </c:strCache>
            </c:strRef>
          </c:cat>
          <c:val>
            <c:numRef>
              <c:f>Récapitulatif!$K$26:$K$33</c:f>
              <c:numCache>
                <c:formatCode>0%</c:formatCode>
                <c:ptCount val="8"/>
                <c:pt idx="0">
                  <c:v>3.8518929590560212E-2</c:v>
                </c:pt>
                <c:pt idx="1">
                  <c:v>6.0228071344839212E-3</c:v>
                </c:pt>
                <c:pt idx="2">
                  <c:v>3.3592880190240317E-3</c:v>
                </c:pt>
              </c:numCache>
            </c:numRef>
          </c:val>
          <c:extLst>
            <c:ext xmlns:c16="http://schemas.microsoft.com/office/drawing/2014/chart" uri="{C3380CC4-5D6E-409C-BE32-E72D297353CC}">
              <c16:uniqueId val="{00000013-54F4-CB45-8FC7-74FEEF5CEC43}"/>
            </c:ext>
          </c:extLst>
        </c:ser>
        <c:ser>
          <c:idx val="2"/>
          <c:order val="2"/>
          <c:tx>
            <c:strRef>
              <c:f>Récapitulatif!$L$25</c:f>
              <c:strCache>
                <c:ptCount val="1"/>
                <c:pt idx="0">
                  <c:v>Avion</c:v>
                </c:pt>
              </c:strCache>
            </c:strRef>
          </c:tx>
          <c:spPr>
            <a:solidFill>
              <a:schemeClr val="tx2"/>
            </a:solidFill>
            <a:ln w="6350">
              <a:solidFill>
                <a:schemeClr val="bg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2"/>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1-571A-E449-A8B0-BF22085E956E}"/>
                </c:ext>
              </c:extLst>
            </c:dLbl>
            <c:dLbl>
              <c:idx val="1"/>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2"/>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12-571A-E449-A8B0-BF22085E956E}"/>
                </c:ext>
              </c:extLst>
            </c:dLbl>
            <c:dLbl>
              <c:idx val="2"/>
              <c:delete val="1"/>
              <c:extLst>
                <c:ext xmlns:c15="http://schemas.microsoft.com/office/drawing/2012/chart" uri="{CE6537A1-D6FC-4f65-9D91-7224C49458BB}"/>
                <c:ext xmlns:c16="http://schemas.microsoft.com/office/drawing/2014/chart" uri="{C3380CC4-5D6E-409C-BE32-E72D297353CC}">
                  <c16:uniqueId val="{00000015-54F4-CB45-8FC7-74FEEF5CEC43}"/>
                </c:ext>
              </c:extLst>
            </c:dLbl>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chemeClr val="bg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Récapitulatif!$I$26:$I$33</c:f>
              <c:strCache>
                <c:ptCount val="8"/>
                <c:pt idx="0">
                  <c:v>Déplacement des spectateurs</c:v>
                </c:pt>
                <c:pt idx="1">
                  <c:v>Déplacement de l'équipe sportive</c:v>
                </c:pt>
                <c:pt idx="2">
                  <c:v>Déplacement des salariés</c:v>
                </c:pt>
                <c:pt idx="3">
                  <c:v>Construction et entretien des infras.</c:v>
                </c:pt>
                <c:pt idx="4">
                  <c:v>Alimentation et boissons</c:v>
                </c:pt>
                <c:pt idx="5">
                  <c:v>Retransmission</c:v>
                </c:pt>
                <c:pt idx="6">
                  <c:v>Consommation d'énergie des infras.</c:v>
                </c:pt>
                <c:pt idx="7">
                  <c:v>Déchets et autres</c:v>
                </c:pt>
              </c:strCache>
            </c:strRef>
          </c:cat>
          <c:val>
            <c:numRef>
              <c:f>Récapitulatif!$L$26:$L$33</c:f>
              <c:numCache>
                <c:formatCode>0%</c:formatCode>
                <c:ptCount val="8"/>
                <c:pt idx="0">
                  <c:v>2.4865444473523405E-2</c:v>
                </c:pt>
                <c:pt idx="1">
                  <c:v>5.7685162257879466E-2</c:v>
                </c:pt>
                <c:pt idx="2">
                  <c:v>1.7850081383907193E-3</c:v>
                </c:pt>
              </c:numCache>
            </c:numRef>
          </c:val>
          <c:extLst>
            <c:ext xmlns:c16="http://schemas.microsoft.com/office/drawing/2014/chart" uri="{C3380CC4-5D6E-409C-BE32-E72D297353CC}">
              <c16:uniqueId val="{00000016-54F4-CB45-8FC7-74FEEF5CEC43}"/>
            </c:ext>
          </c:extLst>
        </c:ser>
        <c:dLbls>
          <c:dLblPos val="ctr"/>
          <c:showLegendKey val="0"/>
          <c:showVal val="1"/>
          <c:showCatName val="0"/>
          <c:showSerName val="0"/>
          <c:showPercent val="0"/>
          <c:showBubbleSize val="0"/>
        </c:dLbls>
        <c:gapWidth val="150"/>
        <c:overlap val="100"/>
        <c:axId val="1663012047"/>
        <c:axId val="65725344"/>
      </c:barChart>
      <c:catAx>
        <c:axId val="1663012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crossAx val="65725344"/>
        <c:crosses val="autoZero"/>
        <c:auto val="1"/>
        <c:lblAlgn val="ctr"/>
        <c:lblOffset val="100"/>
        <c:noMultiLvlLbl val="0"/>
      </c:catAx>
      <c:valAx>
        <c:axId val="65725344"/>
        <c:scaling>
          <c:orientation val="minMax"/>
          <c:max val="0.6"/>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crossAx val="1663012047"/>
        <c:crosses val="autoZero"/>
        <c:crossBetween val="between"/>
        <c:majorUnit val="0.1"/>
        <c:minorUnit val="0.02"/>
      </c:valAx>
      <c:spPr>
        <a:noFill/>
        <a:ln>
          <a:noFill/>
        </a:ln>
        <a:effectLst/>
      </c:spPr>
    </c:plotArea>
    <c:legend>
      <c:legendPos val="b"/>
      <c:layout>
        <c:manualLayout>
          <c:xMode val="edge"/>
          <c:yMode val="edge"/>
          <c:x val="0.67501053715072445"/>
          <c:y val="7.6957749858996977E-2"/>
          <c:w val="0.30933655246103064"/>
          <c:h val="4.644167358790594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Récapitulatif!$J$42</c:f>
              <c:strCache>
                <c:ptCount val="1"/>
                <c:pt idx="0">
                  <c:v>Avion</c:v>
                </c:pt>
              </c:strCache>
            </c:strRef>
          </c:tx>
          <c:spPr>
            <a:solidFill>
              <a:schemeClr val="accent1"/>
            </a:solidFill>
            <a:ln w="6350">
              <a:noFill/>
            </a:ln>
            <a:effectLst/>
          </c:spPr>
          <c:invertIfNegative val="0"/>
          <c:dPt>
            <c:idx val="0"/>
            <c:invertIfNegative val="0"/>
            <c:bubble3D val="0"/>
            <c:spPr>
              <a:solidFill>
                <a:schemeClr val="accent1"/>
              </a:solidFill>
              <a:ln w="6350">
                <a:solidFill>
                  <a:schemeClr val="bg1"/>
                </a:solidFill>
              </a:ln>
              <a:effectLst/>
            </c:spPr>
            <c:extLst>
              <c:ext xmlns:c16="http://schemas.microsoft.com/office/drawing/2014/chart" uri="{C3380CC4-5D6E-409C-BE32-E72D297353CC}">
                <c16:uniqueId val="{00000001-4232-CC47-AF0F-502C7F8DFDD9}"/>
              </c:ext>
            </c:extLst>
          </c:dPt>
          <c:dPt>
            <c:idx val="2"/>
            <c:invertIfNegative val="0"/>
            <c:bubble3D val="0"/>
            <c:spPr>
              <a:solidFill>
                <a:schemeClr val="accent1">
                  <a:lumMod val="50000"/>
                  <a:lumOff val="50000"/>
                </a:schemeClr>
              </a:solidFill>
              <a:ln w="6350">
                <a:solidFill>
                  <a:schemeClr val="tx1"/>
                </a:solidFill>
              </a:ln>
              <a:effectLst/>
            </c:spPr>
            <c:extLst>
              <c:ext xmlns:c16="http://schemas.microsoft.com/office/drawing/2014/chart" uri="{C3380CC4-5D6E-409C-BE32-E72D297353CC}">
                <c16:uniqueId val="{00000003-4232-CC47-AF0F-502C7F8DFDD9}"/>
              </c:ext>
            </c:extLst>
          </c:dPt>
          <c:dPt>
            <c:idx val="3"/>
            <c:invertIfNegative val="0"/>
            <c:bubble3D val="0"/>
            <c:spPr>
              <a:solidFill>
                <a:schemeClr val="accent4"/>
              </a:solidFill>
              <a:ln w="6350">
                <a:solidFill>
                  <a:schemeClr val="bg1"/>
                </a:solidFill>
              </a:ln>
              <a:effectLst/>
            </c:spPr>
            <c:extLst>
              <c:ext xmlns:c16="http://schemas.microsoft.com/office/drawing/2014/chart" uri="{C3380CC4-5D6E-409C-BE32-E72D297353CC}">
                <c16:uniqueId val="{00000005-4232-CC47-AF0F-502C7F8DFDD9}"/>
              </c:ext>
            </c:extLst>
          </c:dPt>
          <c:dPt>
            <c:idx val="4"/>
            <c:invertIfNegative val="0"/>
            <c:bubble3D val="0"/>
            <c:spPr>
              <a:solidFill>
                <a:schemeClr val="accent3"/>
              </a:solidFill>
              <a:ln w="6350">
                <a:solidFill>
                  <a:schemeClr val="bg1"/>
                </a:solidFill>
              </a:ln>
              <a:effectLst/>
            </c:spPr>
            <c:extLst>
              <c:ext xmlns:c16="http://schemas.microsoft.com/office/drawing/2014/chart" uri="{C3380CC4-5D6E-409C-BE32-E72D297353CC}">
                <c16:uniqueId val="{00000007-4232-CC47-AF0F-502C7F8DFDD9}"/>
              </c:ext>
            </c:extLst>
          </c:dPt>
          <c:dPt>
            <c:idx val="5"/>
            <c:invertIfNegative val="0"/>
            <c:bubble3D val="0"/>
            <c:spPr>
              <a:solidFill>
                <a:schemeClr val="accent2"/>
              </a:solidFill>
              <a:ln w="6350">
                <a:solidFill>
                  <a:schemeClr val="bg1"/>
                </a:solidFill>
              </a:ln>
              <a:effectLst/>
            </c:spPr>
            <c:extLst>
              <c:ext xmlns:c16="http://schemas.microsoft.com/office/drawing/2014/chart" uri="{C3380CC4-5D6E-409C-BE32-E72D297353CC}">
                <c16:uniqueId val="{00000009-4232-CC47-AF0F-502C7F8DFDD9}"/>
              </c:ext>
            </c:extLst>
          </c:dPt>
          <c:dPt>
            <c:idx val="6"/>
            <c:invertIfNegative val="0"/>
            <c:bubble3D val="0"/>
            <c:spPr>
              <a:solidFill>
                <a:schemeClr val="accent2">
                  <a:lumMod val="50000"/>
                </a:schemeClr>
              </a:solidFill>
              <a:ln w="6350">
                <a:solidFill>
                  <a:schemeClr val="bg1"/>
                </a:solidFill>
              </a:ln>
              <a:effectLst/>
            </c:spPr>
            <c:extLst>
              <c:ext xmlns:c16="http://schemas.microsoft.com/office/drawing/2014/chart" uri="{C3380CC4-5D6E-409C-BE32-E72D297353CC}">
                <c16:uniqueId val="{0000000B-4232-CC47-AF0F-502C7F8DFDD9}"/>
              </c:ext>
            </c:extLst>
          </c:dPt>
          <c:dPt>
            <c:idx val="7"/>
            <c:invertIfNegative val="0"/>
            <c:bubble3D val="0"/>
            <c:spPr>
              <a:solidFill>
                <a:schemeClr val="tx1"/>
              </a:solidFill>
              <a:ln w="6350">
                <a:solidFill>
                  <a:schemeClr val="bg1"/>
                </a:solidFill>
              </a:ln>
              <a:effectLst/>
            </c:spPr>
            <c:extLst>
              <c:ext xmlns:c16="http://schemas.microsoft.com/office/drawing/2014/chart" uri="{C3380CC4-5D6E-409C-BE32-E72D297353CC}">
                <c16:uniqueId val="{0000000D-4232-CC47-AF0F-502C7F8DFDD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extLst>
                <c:ext xmlns:c16="http://schemas.microsoft.com/office/drawing/2014/chart" uri="{C3380CC4-5D6E-409C-BE32-E72D297353CC}">
                  <c16:uniqueId val="{00000001-4232-CC47-AF0F-502C7F8DFDD9}"/>
                </c:ext>
              </c:extLst>
            </c:dLbl>
            <c:dLbl>
              <c:idx val="1"/>
              <c:delete val="1"/>
              <c:extLst>
                <c:ext xmlns:c15="http://schemas.microsoft.com/office/drawing/2012/chart" uri="{CE6537A1-D6FC-4f65-9D91-7224C49458BB}"/>
                <c:ext xmlns:c16="http://schemas.microsoft.com/office/drawing/2014/chart" uri="{C3380CC4-5D6E-409C-BE32-E72D297353CC}">
                  <c16:uniqueId val="{0000000E-4232-CC47-AF0F-502C7F8DFDD9}"/>
                </c:ext>
              </c:extLst>
            </c:dLbl>
            <c:dLbl>
              <c:idx val="2"/>
              <c:delete val="1"/>
              <c:extLst>
                <c:ext xmlns:c15="http://schemas.microsoft.com/office/drawing/2012/chart" uri="{CE6537A1-D6FC-4f65-9D91-7224C49458BB}"/>
                <c:ext xmlns:c16="http://schemas.microsoft.com/office/drawing/2014/chart" uri="{C3380CC4-5D6E-409C-BE32-E72D297353CC}">
                  <c16:uniqueId val="{00000003-4232-CC47-AF0F-502C7F8DFDD9}"/>
                </c:ext>
              </c:extLst>
            </c:dLbl>
            <c:dLbl>
              <c:idx val="3"/>
              <c:layout>
                <c:manualLayout>
                  <c:x val="0"/>
                  <c:y val="-3.05030346362136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32-CC47-AF0F-502C7F8DFDD9}"/>
                </c:ext>
              </c:extLst>
            </c:dLbl>
            <c:dLbl>
              <c:idx val="4"/>
              <c:layout>
                <c:manualLayout>
                  <c:x val="0"/>
                  <c:y val="-2.59363500098427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32-CC47-AF0F-502C7F8DFDD9}"/>
                </c:ext>
              </c:extLst>
            </c:dLbl>
            <c:dLbl>
              <c:idx val="5"/>
              <c:layout>
                <c:manualLayout>
                  <c:x val="-8.1946134776916976E-17"/>
                  <c:y val="-3.13379773560907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32-CC47-AF0F-502C7F8DFDD9}"/>
                </c:ext>
              </c:extLst>
            </c:dLbl>
            <c:dLbl>
              <c:idx val="6"/>
              <c:layout>
                <c:manualLayout>
                  <c:x val="0"/>
                  <c:y val="-3.876022963910076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232-CC47-AF0F-502C7F8DFDD9}"/>
                </c:ext>
              </c:extLst>
            </c:dLbl>
            <c:dLbl>
              <c:idx val="7"/>
              <c:layout>
                <c:manualLayout>
                  <c:x val="0"/>
                  <c:y val="-3.3915200934213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232-CC47-AF0F-502C7F8DFDD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Récapitulatif!$I$43:$I$49</c:f>
              <c:strCache>
                <c:ptCount val="7"/>
                <c:pt idx="0">
                  <c:v>Déplacement des spectateurs</c:v>
                </c:pt>
                <c:pt idx="1">
                  <c:v>Déplacement de l'équipe sportive</c:v>
                </c:pt>
                <c:pt idx="2">
                  <c:v>Déplacement des salariés</c:v>
                </c:pt>
                <c:pt idx="3">
                  <c:v>Retransmission</c:v>
                </c:pt>
                <c:pt idx="4">
                  <c:v>Construction et entretien des infras.</c:v>
                </c:pt>
                <c:pt idx="5">
                  <c:v>Alimentation et boissons</c:v>
                </c:pt>
                <c:pt idx="6">
                  <c:v>Énergie et autres (dont déchets)</c:v>
                </c:pt>
              </c:strCache>
            </c:strRef>
          </c:cat>
          <c:val>
            <c:numRef>
              <c:f>Récapitulatif!$J$43:$J$49</c:f>
              <c:numCache>
                <c:formatCode>0%</c:formatCode>
                <c:ptCount val="7"/>
                <c:pt idx="0">
                  <c:v>0.70344348042649329</c:v>
                </c:pt>
                <c:pt idx="1">
                  <c:v>8.0586789778173545E-2</c:v>
                </c:pt>
                <c:pt idx="2">
                  <c:v>0</c:v>
                </c:pt>
                <c:pt idx="3">
                  <c:v>2.000992205853027E-2</c:v>
                </c:pt>
                <c:pt idx="4">
                  <c:v>1.1161767793100422E-2</c:v>
                </c:pt>
                <c:pt idx="5">
                  <c:v>7.7561017427177333E-3</c:v>
                </c:pt>
                <c:pt idx="6" formatCode="0.0%">
                  <c:v>4.506765315582131E-3</c:v>
                </c:pt>
              </c:numCache>
            </c:numRef>
          </c:val>
          <c:extLst>
            <c:ext xmlns:c16="http://schemas.microsoft.com/office/drawing/2014/chart" uri="{C3380CC4-5D6E-409C-BE32-E72D297353CC}">
              <c16:uniqueId val="{0000000F-4232-CC47-AF0F-502C7F8DFDD9}"/>
            </c:ext>
          </c:extLst>
        </c:ser>
        <c:ser>
          <c:idx val="1"/>
          <c:order val="1"/>
          <c:tx>
            <c:strRef>
              <c:f>Récapitulatif!$K$42</c:f>
              <c:strCache>
                <c:ptCount val="1"/>
                <c:pt idx="0">
                  <c:v>Voiture</c:v>
                </c:pt>
              </c:strCache>
            </c:strRef>
          </c:tx>
          <c:spPr>
            <a:solidFill>
              <a:schemeClr val="accent6"/>
            </a:solidFill>
            <a:ln w="6350">
              <a:solidFill>
                <a:schemeClr val="bg1"/>
              </a:solidFill>
            </a:ln>
            <a:effectLst/>
          </c:spPr>
          <c:invertIfNegative val="0"/>
          <c:dPt>
            <c:idx val="0"/>
            <c:invertIfNegative val="0"/>
            <c:bubble3D val="0"/>
            <c:spPr>
              <a:solidFill>
                <a:schemeClr val="accent1">
                  <a:lumMod val="50000"/>
                  <a:lumOff val="50000"/>
                </a:schemeClr>
              </a:solidFill>
              <a:ln w="6350">
                <a:solidFill>
                  <a:schemeClr val="bg1"/>
                </a:solidFill>
              </a:ln>
              <a:effectLst/>
            </c:spPr>
            <c:extLst>
              <c:ext xmlns:c16="http://schemas.microsoft.com/office/drawing/2014/chart" uri="{C3380CC4-5D6E-409C-BE32-E72D297353CC}">
                <c16:uniqueId val="{00000011-4232-CC47-AF0F-502C7F8DFDD9}"/>
              </c:ext>
            </c:extLst>
          </c:dPt>
          <c:dLbls>
            <c:dLbl>
              <c:idx val="1"/>
              <c:delete val="1"/>
              <c:extLst>
                <c:ext xmlns:c15="http://schemas.microsoft.com/office/drawing/2012/chart" uri="{CE6537A1-D6FC-4f65-9D91-7224C49458BB}"/>
                <c:ext xmlns:c16="http://schemas.microsoft.com/office/drawing/2014/chart" uri="{C3380CC4-5D6E-409C-BE32-E72D297353CC}">
                  <c16:uniqueId val="{00000012-4232-CC47-AF0F-502C7F8DFDD9}"/>
                </c:ext>
              </c:extLst>
            </c:dLbl>
            <c:dLbl>
              <c:idx val="2"/>
              <c:delete val="1"/>
              <c:extLst>
                <c:ext xmlns:c15="http://schemas.microsoft.com/office/drawing/2012/chart" uri="{CE6537A1-D6FC-4f65-9D91-7224C49458BB}"/>
                <c:ext xmlns:c16="http://schemas.microsoft.com/office/drawing/2014/chart" uri="{C3380CC4-5D6E-409C-BE32-E72D297353CC}">
                  <c16:uniqueId val="{00000017-4232-CC47-AF0F-502C7F8DFDD9}"/>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Récapitulatif!$I$43:$I$49</c:f>
              <c:strCache>
                <c:ptCount val="7"/>
                <c:pt idx="0">
                  <c:v>Déplacement des spectateurs</c:v>
                </c:pt>
                <c:pt idx="1">
                  <c:v>Déplacement de l'équipe sportive</c:v>
                </c:pt>
                <c:pt idx="2">
                  <c:v>Déplacement des salariés</c:v>
                </c:pt>
                <c:pt idx="3">
                  <c:v>Retransmission</c:v>
                </c:pt>
                <c:pt idx="4">
                  <c:v>Construction et entretien des infras.</c:v>
                </c:pt>
                <c:pt idx="5">
                  <c:v>Alimentation et boissons</c:v>
                </c:pt>
                <c:pt idx="6">
                  <c:v>Énergie et autres (dont déchets)</c:v>
                </c:pt>
              </c:strCache>
            </c:strRef>
          </c:cat>
          <c:val>
            <c:numRef>
              <c:f>Récapitulatif!$K$43:$K$49</c:f>
              <c:numCache>
                <c:formatCode>0%</c:formatCode>
                <c:ptCount val="7"/>
                <c:pt idx="0">
                  <c:v>0.14195143268111327</c:v>
                </c:pt>
                <c:pt idx="1">
                  <c:v>0</c:v>
                </c:pt>
                <c:pt idx="2">
                  <c:v>6.468956182546168E-3</c:v>
                </c:pt>
              </c:numCache>
            </c:numRef>
          </c:val>
          <c:extLst>
            <c:ext xmlns:c16="http://schemas.microsoft.com/office/drawing/2014/chart" uri="{C3380CC4-5D6E-409C-BE32-E72D297353CC}">
              <c16:uniqueId val="{00000013-4232-CC47-AF0F-502C7F8DFDD9}"/>
            </c:ext>
          </c:extLst>
        </c:ser>
        <c:ser>
          <c:idx val="2"/>
          <c:order val="2"/>
          <c:tx>
            <c:strRef>
              <c:f>Récapitulatif!$L$42</c:f>
              <c:strCache>
                <c:ptCount val="1"/>
                <c:pt idx="0">
                  <c:v>Transports en commun</c:v>
                </c:pt>
              </c:strCache>
            </c:strRef>
          </c:tx>
          <c:spPr>
            <a:solidFill>
              <a:schemeClr val="tx2">
                <a:lumMod val="25000"/>
                <a:lumOff val="75000"/>
              </a:schemeClr>
            </a:solidFill>
            <a:ln w="6350">
              <a:solidFill>
                <a:schemeClr val="bg1"/>
              </a:solidFill>
            </a:ln>
            <a:effectLst/>
          </c:spPr>
          <c:invertIfNegative val="0"/>
          <c:dLbls>
            <c:dLbl>
              <c:idx val="0"/>
              <c:layout>
                <c:manualLayout>
                  <c:x val="0"/>
                  <c:y val="2.46119547434599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B6D-D14B-9A63-36517809A666}"/>
                </c:ext>
              </c:extLst>
            </c:dLbl>
            <c:dLbl>
              <c:idx val="1"/>
              <c:delete val="1"/>
              <c:extLst>
                <c:ext xmlns:c15="http://schemas.microsoft.com/office/drawing/2012/chart" uri="{CE6537A1-D6FC-4f65-9D91-7224C49458BB}"/>
                <c:ext xmlns:c16="http://schemas.microsoft.com/office/drawing/2014/chart" uri="{C3380CC4-5D6E-409C-BE32-E72D297353CC}">
                  <c16:uniqueId val="{00000016-4232-CC47-AF0F-502C7F8DFDD9}"/>
                </c:ext>
              </c:extLst>
            </c:dLbl>
            <c:dLbl>
              <c:idx val="2"/>
              <c:delete val="1"/>
              <c:extLst>
                <c:ext xmlns:c15="http://schemas.microsoft.com/office/drawing/2012/chart" uri="{CE6537A1-D6FC-4f65-9D91-7224C49458BB}"/>
                <c:ext xmlns:c16="http://schemas.microsoft.com/office/drawing/2014/chart" uri="{C3380CC4-5D6E-409C-BE32-E72D297353CC}">
                  <c16:uniqueId val="{00000014-4232-CC47-AF0F-502C7F8DFDD9}"/>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Récapitulatif!$I$43:$I$49</c:f>
              <c:strCache>
                <c:ptCount val="7"/>
                <c:pt idx="0">
                  <c:v>Déplacement des spectateurs</c:v>
                </c:pt>
                <c:pt idx="1">
                  <c:v>Déplacement de l'équipe sportive</c:v>
                </c:pt>
                <c:pt idx="2">
                  <c:v>Déplacement des salariés</c:v>
                </c:pt>
                <c:pt idx="3">
                  <c:v>Retransmission</c:v>
                </c:pt>
                <c:pt idx="4">
                  <c:v>Construction et entretien des infras.</c:v>
                </c:pt>
                <c:pt idx="5">
                  <c:v>Alimentation et boissons</c:v>
                </c:pt>
                <c:pt idx="6">
                  <c:v>Énergie et autres (dont déchets)</c:v>
                </c:pt>
              </c:strCache>
            </c:strRef>
          </c:cat>
          <c:val>
            <c:numRef>
              <c:f>Récapitulatif!$L$43:$L$49</c:f>
              <c:numCache>
                <c:formatCode>0%</c:formatCode>
                <c:ptCount val="7"/>
                <c:pt idx="0">
                  <c:v>2.4114784021743402E-2</c:v>
                </c:pt>
                <c:pt idx="1">
                  <c:v>0</c:v>
                </c:pt>
                <c:pt idx="2">
                  <c:v>0</c:v>
                </c:pt>
              </c:numCache>
            </c:numRef>
          </c:val>
          <c:extLst>
            <c:ext xmlns:c16="http://schemas.microsoft.com/office/drawing/2014/chart" uri="{C3380CC4-5D6E-409C-BE32-E72D297353CC}">
              <c16:uniqueId val="{00000015-4232-CC47-AF0F-502C7F8DFDD9}"/>
            </c:ext>
          </c:extLst>
        </c:ser>
        <c:dLbls>
          <c:dLblPos val="ctr"/>
          <c:showLegendKey val="0"/>
          <c:showVal val="1"/>
          <c:showCatName val="0"/>
          <c:showSerName val="0"/>
          <c:showPercent val="0"/>
          <c:showBubbleSize val="0"/>
        </c:dLbls>
        <c:gapWidth val="150"/>
        <c:overlap val="100"/>
        <c:axId val="1663012047"/>
        <c:axId val="65725344"/>
      </c:barChart>
      <c:catAx>
        <c:axId val="1663012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crossAx val="65725344"/>
        <c:crosses val="autoZero"/>
        <c:auto val="1"/>
        <c:lblAlgn val="ctr"/>
        <c:lblOffset val="100"/>
        <c:noMultiLvlLbl val="0"/>
      </c:catAx>
      <c:valAx>
        <c:axId val="65725344"/>
        <c:scaling>
          <c:orientation val="minMax"/>
          <c:max val="0.95"/>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crossAx val="1663012047"/>
        <c:crosses val="autoZero"/>
        <c:crossBetween val="between"/>
        <c:majorUnit val="0.1"/>
        <c:minorUnit val="0.02"/>
      </c:valAx>
      <c:spPr>
        <a:noFill/>
        <a:ln>
          <a:noFill/>
        </a:ln>
        <a:effectLst/>
      </c:spPr>
    </c:plotArea>
    <c:legend>
      <c:legendPos val="b"/>
      <c:layout>
        <c:manualLayout>
          <c:xMode val="edge"/>
          <c:yMode val="edge"/>
          <c:x val="0.67501052454101451"/>
          <c:y val="8.6728175246947564E-2"/>
          <c:w val="0.30933655246103064"/>
          <c:h val="4.644167358790594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966-AF48-AD53-8CE9D4A65EF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966-AF48-AD53-8CE9D4A65EF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2"/>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Récapitulatif!$G$76:$H$76</c:f>
              <c:strCache>
                <c:ptCount val="2"/>
                <c:pt idx="0">
                  <c:v>Football professionnel 
Niveau international et national</c:v>
                </c:pt>
                <c:pt idx="1">
                  <c:v>Football amateur
Niveau départemental, régional et national</c:v>
                </c:pt>
              </c:strCache>
            </c:strRef>
          </c:cat>
          <c:val>
            <c:numRef>
              <c:f>Récapitulatif!$G$78:$H$78</c:f>
              <c:numCache>
                <c:formatCode>0%</c:formatCode>
                <c:ptCount val="2"/>
                <c:pt idx="0">
                  <c:v>0.15307931959606041</c:v>
                </c:pt>
                <c:pt idx="1">
                  <c:v>0.84692068040393953</c:v>
                </c:pt>
              </c:numCache>
            </c:numRef>
          </c:val>
          <c:extLst>
            <c:ext xmlns:c16="http://schemas.microsoft.com/office/drawing/2014/chart" uri="{C3380CC4-5D6E-409C-BE32-E72D297353CC}">
              <c16:uniqueId val="{00000004-D966-AF48-AD53-8CE9D4A65EF5}"/>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5.0000043160338063E-2"/>
          <c:y val="0.8111134762274077"/>
          <c:w val="0.89999991367932386"/>
          <c:h val="0.10948303325880848"/>
        </c:manualLayout>
      </c:layout>
      <c:overlay val="0"/>
      <c:spPr>
        <a:noFill/>
        <a:ln>
          <a:noFill/>
        </a:ln>
        <a:effectLst/>
      </c:spPr>
      <c:txPr>
        <a:bodyPr rot="0" spcFirstLastPara="1" vertOverflow="ellipsis" vert="horz" wrap="square" anchor="ctr" anchorCtr="1"/>
        <a:lstStyle/>
        <a:p>
          <a:pPr rtl="0">
            <a:defRPr sz="1100" b="1" i="0" u="none" strike="noStrike" kern="1200" baseline="0">
              <a:solidFill>
                <a:schemeClr val="tx2"/>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25000"/>
            <a:lumOff val="7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bwMode="auto">
      <a:prstGeom prst="rect">
        <a:avLst/>
      </a:prstGeom>
      <a:ln w="19050"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ln w="9525">
        <a:solidFill>
          <a:schemeClr val="phClr"/>
        </a:solidFill>
      </a:ln>
    </cs:spPr>
  </cs:dataPointMarker>
  <cs:dataPointMarkerLayout/>
  <cs:dataPointWireframe>
    <cs:lnRef idx="0">
      <cs:styleClr val="auto"/>
    </cs:lnRef>
    <cs:fillRef idx="0"/>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tx1"/>
    </cs:fontRef>
    <cs:spPr bwMode="auto">
      <a:prstGeom prst="rect">
        <a:avLst/>
      </a:prstGeom>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50000"/>
            <a:lumOff val="50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bwMode="auto">
      <a:prstGeom prst="rect">
        <a:avLst/>
      </a:prstGeom>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bwMode="auto">
      <a:prstGeom prst="rect">
        <a:avLst/>
      </a:prstGeom>
      <a:ln w="9525" cap="flat" cmpd="sng" algn="ctr">
        <a:solidFill>
          <a:schemeClr val="tx1">
            <a:lumMod val="25000"/>
            <a:lumOff val="75000"/>
          </a:schemeClr>
        </a:solidFill>
        <a:round/>
      </a:ln>
    </cs:spPr>
    <cs:defRPr sz="900"/>
  </cs:valueAxis>
  <cs:wall>
    <cs:lnRef idx="0"/>
    <cs:fillRef idx="0"/>
    <cs:effectRef idx="0"/>
    <cs:fontRef idx="minor">
      <a:schemeClr val="tx1"/>
    </cs:fontRef>
    <cs:spPr bwMode="auto">
      <a:prstGeom prst="rect">
        <a:avLst/>
      </a:prstGeom>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25000"/>
            <a:lumOff val="7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bwMode="auto">
      <a:prstGeom prst="rect">
        <a:avLst/>
      </a:prstGeom>
      <a:ln w="19050"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ln w="9525">
        <a:solidFill>
          <a:schemeClr val="phClr"/>
        </a:solidFill>
      </a:ln>
    </cs:spPr>
  </cs:dataPointMarker>
  <cs:dataPointMarkerLayout/>
  <cs:dataPointWireframe>
    <cs:lnRef idx="0">
      <cs:styleClr val="auto"/>
    </cs:lnRef>
    <cs:fillRef idx="0"/>
    <cs:effectRef idx="0"/>
    <cs:fontRef idx="minor">
      <a:schemeClr val="dk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tx1"/>
    </cs:fontRef>
    <cs:spPr bwMode="auto">
      <a:prstGeom prst="rect">
        <a:avLst/>
      </a:prstGeom>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50000"/>
            <a:lumOff val="50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bwMode="auto">
      <a:prstGeom prst="rect">
        <a:avLst/>
      </a:prstGeom>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bwMode="auto">
      <a:prstGeom prst="rect">
        <a:avLst/>
      </a:prstGeom>
      <a:ln w="9525" cap="flat" cmpd="sng" algn="ctr">
        <a:solidFill>
          <a:schemeClr val="tx1">
            <a:lumMod val="25000"/>
            <a:lumOff val="75000"/>
          </a:schemeClr>
        </a:solidFill>
        <a:round/>
      </a:ln>
    </cs:spPr>
    <cs:defRPr sz="900"/>
  </cs:valueAxis>
  <cs:wall>
    <cs:lnRef idx="0"/>
    <cs:fillRef idx="0"/>
    <cs:effectRef idx="0"/>
    <cs:fontRef idx="minor">
      <a:schemeClr val="tx1"/>
    </cs:fontRef>
    <cs:spPr bwMode="auto">
      <a:prstGeom prst="rect">
        <a:avLst/>
      </a:prstGeom>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bwMode="auto">
      <a:prstGeom prst="rect">
        <a:avLst/>
      </a:prstGeom>
      <a:ln w="28575"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ln w="9525">
        <a:solidFill>
          <a:schemeClr val="phClr"/>
        </a:solidFill>
      </a:ln>
    </cs:spPr>
  </cs:dataPointMarker>
  <cs:dataPointMarkerLayout/>
  <cs:dataPointWireframe>
    <cs:lnRef idx="0">
      <cs:styleClr val="auto"/>
    </cs:lnRef>
    <cs:fillRef idx="1"/>
    <cs:effectRef idx="0"/>
    <cs:fontRef idx="minor">
      <a:schemeClr val="tx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tx1"/>
    </cs:fontRef>
    <cs:spPr bwMode="auto">
      <a:prstGeom prst="rect">
        <a:avLst/>
      </a:prstGeom>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50000"/>
            <a:lumOff val="50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bwMode="auto">
      <a:prstGeom prst="rect">
        <a:avLst/>
      </a:prstGeom>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spPr bwMode="auto">
      <a:prstGeom prst="rect">
        <a:avLst/>
      </a:prstGeom>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bwMode="auto">
      <a:prstGeom prst="rect">
        <a:avLst/>
      </a:prstGeom>
      <a:ln w="28575"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ln w="9525">
        <a:solidFill>
          <a:schemeClr val="phClr"/>
        </a:solidFill>
      </a:ln>
    </cs:spPr>
  </cs:dataPointMarker>
  <cs:dataPointMarkerLayout/>
  <cs:dataPointWireframe>
    <cs:lnRef idx="0">
      <cs:styleClr val="auto"/>
    </cs:lnRef>
    <cs:fillRef idx="1"/>
    <cs:effectRef idx="0"/>
    <cs:fontRef idx="minor">
      <a:schemeClr val="tx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tx1"/>
    </cs:fontRef>
    <cs:spPr bwMode="auto">
      <a:prstGeom prst="rect">
        <a:avLst/>
      </a:prstGeom>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50000"/>
            <a:lumOff val="50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bwMode="auto">
      <a:prstGeom prst="rect">
        <a:avLst/>
      </a:prstGeom>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spPr bwMode="auto">
      <a:prstGeom prst="rect">
        <a:avLst/>
      </a:prstGeom>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bwMode="auto">
      <a:prstGeom prst="rect">
        <a:avLst/>
      </a:prstGeom>
      <a:solidFill>
        <a:schemeClr val="phClr"/>
      </a:solidFill>
    </cs:spPr>
  </cs:dataPoint>
  <cs:dataPoint3D>
    <cs:lnRef idx="0"/>
    <cs:fillRef idx="1">
      <cs:styleClr val="auto"/>
    </cs:fillRef>
    <cs:effectRef idx="0"/>
    <cs:fontRef idx="minor">
      <a:schemeClr val="tx1"/>
    </cs:fontRef>
    <cs:spPr bwMode="auto">
      <a:prstGeom prst="rect">
        <a:avLst/>
      </a:prstGeom>
      <a:solidFill>
        <a:schemeClr val="phClr"/>
      </a:solidFill>
    </cs:spPr>
  </cs:dataPoint3D>
  <cs:dataPointLine>
    <cs:lnRef idx="0">
      <cs:styleClr val="auto"/>
    </cs:lnRef>
    <cs:fillRef idx="1"/>
    <cs:effectRef idx="0"/>
    <cs:fontRef idx="minor">
      <a:schemeClr val="tx1"/>
    </cs:fontRef>
    <cs:spPr bwMode="auto">
      <a:prstGeom prst="rect">
        <a:avLst/>
      </a:prstGeom>
      <a:ln w="28575"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solidFill>
        <a:schemeClr val="phClr"/>
      </a:solidFill>
      <a:ln w="9525">
        <a:solidFill>
          <a:schemeClr val="phClr"/>
        </a:solidFill>
      </a:ln>
    </cs:spPr>
  </cs:dataPointMarker>
  <cs:dataPointMarkerLayout/>
  <cs:dataPointWireframe>
    <cs:lnRef idx="0">
      <cs:styleClr val="auto"/>
    </cs:lnRef>
    <cs:fillRef idx="1"/>
    <cs:effectRef idx="0"/>
    <cs:fontRef idx="minor">
      <a:schemeClr val="tx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dk1"/>
    </cs:fontRef>
    <cs:spPr bwMode="auto">
      <a:prstGeom prst="rect">
        <a:avLst/>
      </a:prstGeom>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75000"/>
            <a:lumOff val="25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bwMode="auto">
      <a:prstGeom prst="rect">
        <a:avLst/>
      </a:prstGeom>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spPr bwMode="auto">
      <a:prstGeom prst="rect">
        <a:avLst/>
      </a:prstGeom>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bwMode="auto">
      <a:prstGeom prst="rect">
        <a:avLst/>
      </a:prstGeom>
      <a:ln w="28575"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ln w="9525">
        <a:solidFill>
          <a:schemeClr val="phClr"/>
        </a:solidFill>
      </a:ln>
    </cs:spPr>
  </cs:dataPointMarker>
  <cs:dataPointMarkerLayout/>
  <cs:dataPointWireframe>
    <cs:lnRef idx="0">
      <cs:styleClr val="auto"/>
    </cs:lnRef>
    <cs:fillRef idx="1"/>
    <cs:effectRef idx="0"/>
    <cs:fontRef idx="minor">
      <a:schemeClr val="tx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tx1"/>
    </cs:fontRef>
    <cs:spPr bwMode="auto">
      <a:prstGeom prst="rect">
        <a:avLst/>
      </a:prstGeom>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50000"/>
            <a:lumOff val="50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bwMode="auto">
      <a:prstGeom prst="rect">
        <a:avLst/>
      </a:prstGeom>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spPr bwMode="auto">
      <a:prstGeom prst="rect">
        <a:avLst/>
      </a:prstGeom>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bwMode="auto">
      <a:prstGeom prst="rect">
        <a:avLst/>
      </a:prstGeom>
      <a:ln w="28575"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ln w="9525">
        <a:solidFill>
          <a:schemeClr val="phClr"/>
        </a:solidFill>
      </a:ln>
    </cs:spPr>
  </cs:dataPointMarker>
  <cs:dataPointMarkerLayout/>
  <cs:dataPointWireframe>
    <cs:lnRef idx="0">
      <cs:styleClr val="auto"/>
    </cs:lnRef>
    <cs:fillRef idx="1"/>
    <cs:effectRef idx="0"/>
    <cs:fontRef idx="minor">
      <a:schemeClr val="tx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tx1"/>
    </cs:fontRef>
    <cs:spPr bwMode="auto">
      <a:prstGeom prst="rect">
        <a:avLst/>
      </a:prstGeom>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50000"/>
            <a:lumOff val="50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bwMode="auto">
      <a:prstGeom prst="rect">
        <a:avLst/>
      </a:prstGeom>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spPr bwMode="auto">
      <a:prstGeom prst="rect">
        <a:avLst/>
      </a:prstGeom>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bwMode="auto">
      <a:prstGeom prst="rect">
        <a:avLst/>
      </a:prstGeom>
      <a:ln w="28575"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ln w="9525">
        <a:solidFill>
          <a:schemeClr val="phClr"/>
        </a:solidFill>
      </a:ln>
    </cs:spPr>
  </cs:dataPointMarker>
  <cs:dataPointMarkerLayout/>
  <cs:dataPointWireframe>
    <cs:lnRef idx="0">
      <cs:styleClr val="auto"/>
    </cs:lnRef>
    <cs:fillRef idx="1"/>
    <cs:effectRef idx="0"/>
    <cs:fontRef idx="minor">
      <a:schemeClr val="tx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tx1"/>
    </cs:fontRef>
    <cs:spPr bwMode="auto">
      <a:prstGeom prst="rect">
        <a:avLst/>
      </a:prstGeom>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50000"/>
            <a:lumOff val="50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bwMode="auto">
      <a:prstGeom prst="rect">
        <a:avLst/>
      </a:prstGeom>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spPr bwMode="auto">
      <a:prstGeom prst="rect">
        <a:avLst/>
      </a:prstGeom>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cs:axisTitle>
  <cs:categoryAxis>
    <cs:lnRef idx="0"/>
    <cs:fillRef idx="0"/>
    <cs:effectRef idx="0"/>
    <cs:fontRef idx="minor">
      <a:schemeClr val="tx1">
        <a:lumMod val="65000"/>
        <a:lumOff val="35000"/>
      </a:schemeClr>
    </cs:fontRef>
    <cs:spPr bwMode="auto">
      <a:prstGeom prst="rect">
        <a:avLst/>
      </a:prstGeom>
      <a:ln w="9525" cap="flat" cmpd="sng" algn="ctr">
        <a:solidFill>
          <a:schemeClr val="tx1">
            <a:lumMod val="15000"/>
            <a:lumOff val="85000"/>
          </a:schemeClr>
        </a:solidFill>
        <a:round/>
      </a:ln>
    </cs:spPr>
    <cs:defRPr sz="900"/>
  </cs:categoryAxis>
  <cs:chartArea>
    <cs:lnRef idx="0"/>
    <cs:fillRef idx="0"/>
    <cs:effectRef idx="0"/>
    <cs:fontRef idx="minor">
      <a:schemeClr val="tx1"/>
    </cs:fontRef>
    <cs:spPr bwMode="auto">
      <a:prstGeom prst="rect">
        <a:avLst/>
      </a:prstGeom>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75000"/>
        <a:lumOff val="25000"/>
      </a:schemeClr>
    </cs:fontRef>
    <cs:defRPr sz="900"/>
  </cs:dataLabel>
  <cs:dataLabelCallout>
    <cs:lnRef idx="0"/>
    <cs:fillRef idx="0"/>
    <cs:effectRef idx="0"/>
    <cs:fontRef idx="minor">
      <a:schemeClr val="dk1">
        <a:lumMod val="65000"/>
        <a:lumOff val="35000"/>
      </a:schemeClr>
    </cs:fontRef>
    <cs:spPr bwMode="auto">
      <a:prstGeom prst="rect">
        <a:avLst/>
      </a:prstGeom>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bwMode="auto">
      <a:prstGeom prst="rect">
        <a:avLst/>
      </a:prstGeom>
      <a:ln w="28575" cap="rnd">
        <a:solidFill>
          <a:schemeClr val="phClr"/>
        </a:solidFill>
        <a:round/>
      </a:ln>
    </cs:spPr>
  </cs:dataPointLine>
  <cs:dataPointMarker>
    <cs:lnRef idx="0">
      <cs:styleClr val="auto"/>
    </cs:lnRef>
    <cs:fillRef idx="1">
      <cs:styleClr val="auto"/>
    </cs:fillRef>
    <cs:effectRef idx="0"/>
    <cs:fontRef idx="minor">
      <a:schemeClr val="tx1"/>
    </cs:fontRef>
    <cs:spPr bwMode="auto">
      <a:prstGeom prst="rect">
        <a:avLst/>
      </a:prstGeom>
      <a:ln w="9525">
        <a:solidFill>
          <a:schemeClr val="phClr"/>
        </a:solidFill>
      </a:ln>
    </cs:spPr>
  </cs:dataPointMarker>
  <cs:dataPointMarkerLayout/>
  <cs:dataPointWireframe>
    <cs:lnRef idx="0">
      <cs:styleClr val="auto"/>
    </cs:lnRef>
    <cs:fillRef idx="1"/>
    <cs:effectRef idx="0"/>
    <cs:fontRef idx="minor">
      <a:schemeClr val="tx1"/>
    </cs:fontRef>
    <cs:spPr bwMode="auto">
      <a:prstGeom prst="rect">
        <a:avLst/>
      </a:prstGeom>
      <a:ln w="9525" cap="rnd">
        <a:solidFill>
          <a:schemeClr val="phClr"/>
        </a:solidFill>
        <a:round/>
      </a:ln>
    </cs:spPr>
  </cs:dataPointWireframe>
  <cs:dataTable>
    <cs:lnRef idx="0"/>
    <cs:fillRef idx="0"/>
    <cs:effectRef idx="0"/>
    <cs:fontRef idx="minor">
      <a:schemeClr val="tx1">
        <a:lumMod val="65000"/>
        <a:lumOff val="35000"/>
      </a:schemeClr>
    </cs:fontRef>
    <cs:spPr bwMode="auto">
      <a:prstGeom prst="rect">
        <a:avLst/>
      </a:prstGeom>
      <a:noFill/>
      <a:ln w="9525" cap="flat" cmpd="sng" algn="ctr">
        <a:solidFill>
          <a:schemeClr val="tx1">
            <a:lumMod val="15000"/>
            <a:lumOff val="85000"/>
          </a:schemeClr>
        </a:solidFill>
        <a:round/>
      </a:ln>
    </cs:spPr>
    <cs:defRPr sz="900"/>
  </cs:dataTable>
  <cs:downBar>
    <cs:lnRef idx="0"/>
    <cs:fillRef idx="0"/>
    <cs:effectRef idx="0"/>
    <cs:fontRef idx="minor">
      <a:schemeClr val="tx1"/>
    </cs:fontRef>
    <cs:spPr bwMode="auto">
      <a:prstGeom prst="rect">
        <a:avLst/>
      </a:prstGeom>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dropLine>
  <cs:errorBar>
    <cs:lnRef idx="0"/>
    <cs:fillRef idx="0"/>
    <cs:effectRef idx="0"/>
    <cs:fontRef idx="minor">
      <a:schemeClr val="tx1"/>
    </cs:fontRef>
    <cs:spPr bwMode="auto">
      <a:prstGeom prst="rect">
        <a:avLst/>
      </a:prstGeom>
      <a:ln w="9525" cap="flat" cmpd="sng" algn="ctr">
        <a:solidFill>
          <a:schemeClr val="tx1">
            <a:lumMod val="65000"/>
            <a:lumOff val="35000"/>
          </a:schemeClr>
        </a:solidFill>
        <a:round/>
      </a:ln>
    </cs:spPr>
  </cs:errorBar>
  <cs:floor>
    <cs:lnRef idx="0"/>
    <cs:fillRef idx="0"/>
    <cs:effectRef idx="0"/>
    <cs:fontRef idx="minor">
      <a:schemeClr val="tx1"/>
    </cs:fontRef>
    <cs:spPr bwMode="auto">
      <a:prstGeom prst="rect">
        <a:avLst/>
      </a:prstGeom>
      <a:noFill/>
      <a:ln>
        <a:noFill/>
      </a:ln>
    </cs:spPr>
  </cs:floor>
  <cs:gridlineMajor>
    <cs:lnRef idx="0"/>
    <cs:fillRef idx="0"/>
    <cs:effectRef idx="0"/>
    <cs:fontRef idx="minor">
      <a:schemeClr val="tx1"/>
    </cs:fontRef>
    <cs:spPr bwMode="auto">
      <a:prstGeom prst="rect">
        <a:avLst/>
      </a:prstGeom>
      <a:ln w="9525" cap="flat" cmpd="sng" algn="ctr">
        <a:solidFill>
          <a:schemeClr val="tx1">
            <a:lumMod val="15000"/>
            <a:lumOff val="85000"/>
          </a:schemeClr>
        </a:solidFill>
        <a:round/>
      </a:ln>
    </cs:spPr>
  </cs:gridlineMajor>
  <cs:gridlineMinor>
    <cs:lnRef idx="0"/>
    <cs:fillRef idx="0"/>
    <cs:effectRef idx="0"/>
    <cs:fontRef idx="minor">
      <a:schemeClr val="tx1"/>
    </cs:fontRef>
    <cs:spPr bwMode="auto">
      <a:prstGeom prst="rect">
        <a:avLst/>
      </a:prstGeom>
      <a:ln w="9525" cap="flat" cmpd="sng" algn="ctr">
        <a:solidFill>
          <a:schemeClr val="tx1">
            <a:lumMod val="5000"/>
            <a:lumOff val="95000"/>
          </a:schemeClr>
        </a:solidFill>
        <a:round/>
      </a:ln>
    </cs:spPr>
  </cs:gridlineMinor>
  <cs:hiLoLine>
    <cs:lnRef idx="0"/>
    <cs:fillRef idx="0"/>
    <cs:effectRef idx="0"/>
    <cs:fontRef idx="minor">
      <a:schemeClr val="tx1"/>
    </cs:fontRef>
    <cs:spPr bwMode="auto">
      <a:prstGeom prst="rect">
        <a:avLst/>
      </a:prstGeom>
      <a:ln w="9525" cap="flat" cmpd="sng" algn="ctr">
        <a:solidFill>
          <a:schemeClr val="tx1">
            <a:lumMod val="50000"/>
            <a:lumOff val="50000"/>
          </a:schemeClr>
        </a:solidFill>
        <a:round/>
      </a:ln>
    </cs:spPr>
  </cs:hiLoLine>
  <cs:leader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bwMode="auto">
      <a:prstGeom prst="rect">
        <a:avLst/>
      </a:prstGeom>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spc="0"/>
  </cs:title>
  <cs:trendline>
    <cs:lnRef idx="0">
      <cs:styleClr val="auto"/>
    </cs:lnRef>
    <cs:fillRef idx="0"/>
    <cs:effectRef idx="0"/>
    <cs:fontRef idx="minor">
      <a:schemeClr val="tx1"/>
    </cs:fontRef>
    <cs:spPr bwMode="auto">
      <a:prstGeom prst="rect">
        <a:avLst/>
      </a:prstGeom>
      <a:ln w="19050" cap="rnd">
        <a:solidFill>
          <a:schemeClr val="phClr"/>
        </a:solidFill>
        <a:prstDash val="sysDot"/>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bwMode="auto">
      <a:prstGeom prst="rect">
        <a:avLst/>
      </a:prstGeom>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spPr bwMode="auto">
      <a:prstGeom prst="rect">
        <a:avLst/>
      </a:prstGeom>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hyperlink" Target="#'9'!A1"/><Relationship Id="rId1" Type="http://schemas.openxmlformats.org/officeDocument/2006/relationships/hyperlink" Target="#'Bilan global'!A1"/></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g"/><Relationship Id="rId2" Type="http://schemas.openxmlformats.org/officeDocument/2006/relationships/image" Target="../media/image23.jpg"/><Relationship Id="rId1" Type="http://schemas.openxmlformats.org/officeDocument/2006/relationships/image" Target="../media/image22.jp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image" Target="../media/image25.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hyperlink" Target="#'9'!A1"/><Relationship Id="rId1" Type="http://schemas.openxmlformats.org/officeDocument/2006/relationships/hyperlink" Target="#'Bilan global'!A1"/></Relationships>
</file>

<file path=xl/drawings/_rels/drawing1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3" Type="http://schemas.openxmlformats.org/officeDocument/2006/relationships/chart" Target="../charts/chart36.xml"/><Relationship Id="rId7" Type="http://schemas.openxmlformats.org/officeDocument/2006/relationships/chart" Target="../charts/chart40.xml"/><Relationship Id="rId12" Type="http://schemas.openxmlformats.org/officeDocument/2006/relationships/chart" Target="../charts/chart45.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5" Type="http://schemas.openxmlformats.org/officeDocument/2006/relationships/chart" Target="../charts/chart48.xml"/><Relationship Id="rId10" Type="http://schemas.openxmlformats.org/officeDocument/2006/relationships/chart" Target="../charts/chart43.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18" Type="http://schemas.openxmlformats.org/officeDocument/2006/relationships/image" Target="../media/image18.sv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 Type="http://schemas.openxmlformats.org/officeDocument/2006/relationships/image" Target="../media/image2.svg"/><Relationship Id="rId16" Type="http://schemas.openxmlformats.org/officeDocument/2006/relationships/image" Target="../media/image16.svg"/><Relationship Id="rId20" Type="http://schemas.openxmlformats.org/officeDocument/2006/relationships/image" Target="../media/image20.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19" Type="http://schemas.openxmlformats.org/officeDocument/2006/relationships/image" Target="../media/image19.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s>
</file>

<file path=xl/drawings/_rels/drawing2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22.xml.rels><?xml version="1.0" encoding="UTF-8" standalone="yes"?>
<Relationships xmlns="http://schemas.openxmlformats.org/package/2006/relationships"><Relationship Id="rId2" Type="http://schemas.openxmlformats.org/officeDocument/2006/relationships/hyperlink" Target="#'9'!A1"/><Relationship Id="rId1" Type="http://schemas.openxmlformats.org/officeDocument/2006/relationships/hyperlink" Target="#'Bilan global'!A1"/></Relationships>
</file>

<file path=xl/drawings/_rels/drawing23.xml.rels><?xml version="1.0" encoding="UTF-8" standalone="yes"?>
<Relationships xmlns="http://schemas.openxmlformats.org/package/2006/relationships"><Relationship Id="rId3" Type="http://schemas.openxmlformats.org/officeDocument/2006/relationships/image" Target="../media/image28.jpg"/><Relationship Id="rId2" Type="http://schemas.openxmlformats.org/officeDocument/2006/relationships/image" Target="../media/image27.jpg"/><Relationship Id="rId1" Type="http://schemas.openxmlformats.org/officeDocument/2006/relationships/image" Target="../media/image26.jpg"/></Relationships>
</file>

<file path=xl/drawings/_rels/drawing24.xml.rels><?xml version="1.0" encoding="UTF-8" standalone="yes"?>
<Relationships xmlns="http://schemas.openxmlformats.org/package/2006/relationships"><Relationship Id="rId2" Type="http://schemas.openxmlformats.org/officeDocument/2006/relationships/hyperlink" Target="#'9'!A1"/><Relationship Id="rId1" Type="http://schemas.openxmlformats.org/officeDocument/2006/relationships/hyperlink" Target="#'Bilan global'!A1"/></Relationships>
</file>

<file path=xl/drawings/_rels/drawing2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jpeg"/><Relationship Id="rId1" Type="http://schemas.openxmlformats.org/officeDocument/2006/relationships/image" Target="../media/image2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18" Type="http://schemas.openxmlformats.org/officeDocument/2006/relationships/image" Target="../media/image18.sv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 Type="http://schemas.openxmlformats.org/officeDocument/2006/relationships/image" Target="../media/image2.svg"/><Relationship Id="rId16" Type="http://schemas.openxmlformats.org/officeDocument/2006/relationships/image" Target="../media/image16.svg"/><Relationship Id="rId20" Type="http://schemas.openxmlformats.org/officeDocument/2006/relationships/image" Target="../media/image20.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19" Type="http://schemas.openxmlformats.org/officeDocument/2006/relationships/image" Target="../media/image19.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s>
</file>

<file path=xl/drawings/_rels/drawing4.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18" Type="http://schemas.openxmlformats.org/officeDocument/2006/relationships/image" Target="../media/image18.sv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 Type="http://schemas.openxmlformats.org/officeDocument/2006/relationships/image" Target="../media/image2.svg"/><Relationship Id="rId16" Type="http://schemas.openxmlformats.org/officeDocument/2006/relationships/image" Target="../media/image16.svg"/><Relationship Id="rId20" Type="http://schemas.openxmlformats.org/officeDocument/2006/relationships/image" Target="../media/image20.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19" Type="http://schemas.openxmlformats.org/officeDocument/2006/relationships/image" Target="../media/image19.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s>
</file>

<file path=xl/drawings/_rels/drawing9.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19.xml"/><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7</xdr:col>
      <xdr:colOff>307511</xdr:colOff>
      <xdr:row>184</xdr:row>
      <xdr:rowOff>7705</xdr:rowOff>
    </xdr:from>
    <xdr:to>
      <xdr:col>14</xdr:col>
      <xdr:colOff>194395</xdr:colOff>
      <xdr:row>212</xdr:row>
      <xdr:rowOff>186343</xdr:rowOff>
    </xdr:to>
    <xdr:graphicFrame macro="">
      <xdr:nvGraphicFramePr>
        <xdr:cNvPr id="7" name="Graphique 6">
          <a:extLst>
            <a:ext uri="{FF2B5EF4-FFF2-40B4-BE49-F238E27FC236}">
              <a16:creationId xmlns:a16="http://schemas.microsoft.com/office/drawing/2014/main" id="{C4E2EF90-AC60-934F-95A1-B9FB492E6A4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101599</xdr:colOff>
      <xdr:row>117</xdr:row>
      <xdr:rowOff>177800</xdr:rowOff>
    </xdr:from>
    <xdr:to>
      <xdr:col>14</xdr:col>
      <xdr:colOff>146957</xdr:colOff>
      <xdr:row>145</xdr:row>
      <xdr:rowOff>204038</xdr:rowOff>
    </xdr:to>
    <xdr:graphicFrame macro="">
      <xdr:nvGraphicFramePr>
        <xdr:cNvPr id="3" name="Graphique 2">
          <a:extLst>
            <a:ext uri="{FF2B5EF4-FFF2-40B4-BE49-F238E27FC236}">
              <a16:creationId xmlns:a16="http://schemas.microsoft.com/office/drawing/2014/main" id="{B9587727-0226-4D40-8E8C-64A1351F9DB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87869</xdr:colOff>
      <xdr:row>147</xdr:row>
      <xdr:rowOff>80319</xdr:rowOff>
    </xdr:from>
    <xdr:to>
      <xdr:col>14</xdr:col>
      <xdr:colOff>620633</xdr:colOff>
      <xdr:row>178</xdr:row>
      <xdr:rowOff>94887</xdr:rowOff>
    </xdr:to>
    <xdr:graphicFrame macro="">
      <xdr:nvGraphicFramePr>
        <xdr:cNvPr id="10" name="Graphique 9">
          <a:extLst>
            <a:ext uri="{FF2B5EF4-FFF2-40B4-BE49-F238E27FC236}">
              <a16:creationId xmlns:a16="http://schemas.microsoft.com/office/drawing/2014/main" id="{09392771-8E0A-0644-B016-454CA0CEE88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1991867</xdr:colOff>
      <xdr:row>96</xdr:row>
      <xdr:rowOff>49038</xdr:rowOff>
    </xdr:from>
    <xdr:to>
      <xdr:col>8</xdr:col>
      <xdr:colOff>43906</xdr:colOff>
      <xdr:row>105</xdr:row>
      <xdr:rowOff>113375</xdr:rowOff>
    </xdr:to>
    <xdr:graphicFrame macro="">
      <xdr:nvGraphicFramePr>
        <xdr:cNvPr id="9" name="Graphique 8">
          <a:extLst>
            <a:ext uri="{FF2B5EF4-FFF2-40B4-BE49-F238E27FC236}">
              <a16:creationId xmlns:a16="http://schemas.microsoft.com/office/drawing/2014/main" id="{A2D8ADE8-7E1D-6F1A-1F38-83A96BCDEB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76201</xdr:colOff>
      <xdr:row>236</xdr:row>
      <xdr:rowOff>12701</xdr:rowOff>
    </xdr:from>
    <xdr:to>
      <xdr:col>4</xdr:col>
      <xdr:colOff>373528</xdr:colOff>
      <xdr:row>258</xdr:row>
      <xdr:rowOff>168088</xdr:rowOff>
    </xdr:to>
    <xdr:graphicFrame macro="">
      <xdr:nvGraphicFramePr>
        <xdr:cNvPr id="18" name="Graphique 17">
          <a:extLst>
            <a:ext uri="{FF2B5EF4-FFF2-40B4-BE49-F238E27FC236}">
              <a16:creationId xmlns:a16="http://schemas.microsoft.com/office/drawing/2014/main" id="{2089F6DB-F126-4CE5-3455-8A64CF1E45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163601</xdr:colOff>
      <xdr:row>6</xdr:row>
      <xdr:rowOff>79198</xdr:rowOff>
    </xdr:from>
    <xdr:to>
      <xdr:col>19</xdr:col>
      <xdr:colOff>1122754</xdr:colOff>
      <xdr:row>18</xdr:row>
      <xdr:rowOff>276088</xdr:rowOff>
    </xdr:to>
    <xdr:graphicFrame macro="">
      <xdr:nvGraphicFramePr>
        <xdr:cNvPr id="19" name="Graphique 18">
          <a:extLst>
            <a:ext uri="{FF2B5EF4-FFF2-40B4-BE49-F238E27FC236}">
              <a16:creationId xmlns:a16="http://schemas.microsoft.com/office/drawing/2014/main" id="{C114B9B9-6B77-33D4-EC19-5B2A361F61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21</xdr:row>
      <xdr:rowOff>0</xdr:rowOff>
    </xdr:from>
    <xdr:to>
      <xdr:col>19</xdr:col>
      <xdr:colOff>186765</xdr:colOff>
      <xdr:row>33</xdr:row>
      <xdr:rowOff>112059</xdr:rowOff>
    </xdr:to>
    <xdr:graphicFrame macro="">
      <xdr:nvGraphicFramePr>
        <xdr:cNvPr id="20" name="Graphique 19">
          <a:extLst>
            <a:ext uri="{FF2B5EF4-FFF2-40B4-BE49-F238E27FC236}">
              <a16:creationId xmlns:a16="http://schemas.microsoft.com/office/drawing/2014/main" id="{E47C33A5-6DAA-5D45-9921-7C996E334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39</xdr:row>
      <xdr:rowOff>0</xdr:rowOff>
    </xdr:from>
    <xdr:to>
      <xdr:col>18</xdr:col>
      <xdr:colOff>1080326</xdr:colOff>
      <xdr:row>49</xdr:row>
      <xdr:rowOff>187117</xdr:rowOff>
    </xdr:to>
    <xdr:graphicFrame macro="">
      <xdr:nvGraphicFramePr>
        <xdr:cNvPr id="21" name="Graphique 20">
          <a:extLst>
            <a:ext uri="{FF2B5EF4-FFF2-40B4-BE49-F238E27FC236}">
              <a16:creationId xmlns:a16="http://schemas.microsoft.com/office/drawing/2014/main" id="{43572BAF-CB87-2D4C-A315-E805A4461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1737894</xdr:colOff>
      <xdr:row>79</xdr:row>
      <xdr:rowOff>66842</xdr:rowOff>
    </xdr:from>
    <xdr:to>
      <xdr:col>8</xdr:col>
      <xdr:colOff>167105</xdr:colOff>
      <xdr:row>89</xdr:row>
      <xdr:rowOff>8189</xdr:rowOff>
    </xdr:to>
    <xdr:graphicFrame macro="">
      <xdr:nvGraphicFramePr>
        <xdr:cNvPr id="5" name="Graphique 4">
          <a:extLst>
            <a:ext uri="{FF2B5EF4-FFF2-40B4-BE49-F238E27FC236}">
              <a16:creationId xmlns:a16="http://schemas.microsoft.com/office/drawing/2014/main" id="{B859C41B-24B4-3045-A4C8-B53680DB13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1804737</xdr:colOff>
      <xdr:row>60</xdr:row>
      <xdr:rowOff>300789</xdr:rowOff>
    </xdr:from>
    <xdr:to>
      <xdr:col>7</xdr:col>
      <xdr:colOff>3586566</xdr:colOff>
      <xdr:row>69</xdr:row>
      <xdr:rowOff>192674</xdr:rowOff>
    </xdr:to>
    <xdr:graphicFrame macro="">
      <xdr:nvGraphicFramePr>
        <xdr:cNvPr id="6" name="Graphique 5">
          <a:extLst>
            <a:ext uri="{FF2B5EF4-FFF2-40B4-BE49-F238E27FC236}">
              <a16:creationId xmlns:a16="http://schemas.microsoft.com/office/drawing/2014/main" id="{277D80B6-E934-3149-9298-26FE0ACF8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0</xdr:colOff>
      <xdr:row>236</xdr:row>
      <xdr:rowOff>0</xdr:rowOff>
    </xdr:from>
    <xdr:to>
      <xdr:col>9</xdr:col>
      <xdr:colOff>1117599</xdr:colOff>
      <xdr:row>263</xdr:row>
      <xdr:rowOff>139698</xdr:rowOff>
    </xdr:to>
    <xdr:graphicFrame macro="">
      <xdr:nvGraphicFramePr>
        <xdr:cNvPr id="2" name="Graphique 1">
          <a:extLst>
            <a:ext uri="{FF2B5EF4-FFF2-40B4-BE49-F238E27FC236}">
              <a16:creationId xmlns:a16="http://schemas.microsoft.com/office/drawing/2014/main" id="{02C3DAB4-B539-9740-9EDD-81EBA2BAC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292705</xdr:colOff>
      <xdr:row>44</xdr:row>
      <xdr:rowOff>533398</xdr:rowOff>
    </xdr:from>
    <xdr:to>
      <xdr:col>31</xdr:col>
      <xdr:colOff>1811864</xdr:colOff>
      <xdr:row>55</xdr:row>
      <xdr:rowOff>29029</xdr:rowOff>
    </xdr:to>
    <xdr:graphicFrame macro="">
      <xdr:nvGraphicFramePr>
        <xdr:cNvPr id="26" name="Graphique 25">
          <a:extLst>
            <a:ext uri="{FF2B5EF4-FFF2-40B4-BE49-F238E27FC236}">
              <a16:creationId xmlns:a16="http://schemas.microsoft.com/office/drawing/2014/main" id="{6E65F409-87E8-65A1-A532-386FB56BA3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90904</xdr:colOff>
      <xdr:row>284</xdr:row>
      <xdr:rowOff>31860</xdr:rowOff>
    </xdr:from>
    <xdr:to>
      <xdr:col>12</xdr:col>
      <xdr:colOff>1026557</xdr:colOff>
      <xdr:row>313</xdr:row>
      <xdr:rowOff>57827</xdr:rowOff>
    </xdr:to>
    <xdr:graphicFrame macro="">
      <xdr:nvGraphicFramePr>
        <xdr:cNvPr id="13" name="Graphique 12">
          <a:extLst>
            <a:ext uri="{FF2B5EF4-FFF2-40B4-BE49-F238E27FC236}">
              <a16:creationId xmlns:a16="http://schemas.microsoft.com/office/drawing/2014/main" id="{7AC92444-E6E0-B60D-6DA9-19EE03EDC0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2387600</xdr:colOff>
      <xdr:row>284</xdr:row>
      <xdr:rowOff>50801</xdr:rowOff>
    </xdr:from>
    <xdr:to>
      <xdr:col>32</xdr:col>
      <xdr:colOff>1340853</xdr:colOff>
      <xdr:row>317</xdr:row>
      <xdr:rowOff>16043</xdr:rowOff>
    </xdr:to>
    <xdr:graphicFrame macro="">
      <xdr:nvGraphicFramePr>
        <xdr:cNvPr id="16" name="Graphique 15">
          <a:extLst>
            <a:ext uri="{FF2B5EF4-FFF2-40B4-BE49-F238E27FC236}">
              <a16:creationId xmlns:a16="http://schemas.microsoft.com/office/drawing/2014/main" id="{274A0C99-CD33-5144-8539-BB800B48E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1016000</xdr:colOff>
      <xdr:row>283</xdr:row>
      <xdr:rowOff>152400</xdr:rowOff>
    </xdr:from>
    <xdr:to>
      <xdr:col>21</xdr:col>
      <xdr:colOff>1727200</xdr:colOff>
      <xdr:row>315</xdr:row>
      <xdr:rowOff>101600</xdr:rowOff>
    </xdr:to>
    <xdr:graphicFrame macro="">
      <xdr:nvGraphicFramePr>
        <xdr:cNvPr id="17" name="Graphique 16">
          <a:extLst>
            <a:ext uri="{FF2B5EF4-FFF2-40B4-BE49-F238E27FC236}">
              <a16:creationId xmlns:a16="http://schemas.microsoft.com/office/drawing/2014/main" id="{C6172FD9-8462-1F4C-A275-41072B3B4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30976</xdr:colOff>
      <xdr:row>18</xdr:row>
      <xdr:rowOff>43371</xdr:rowOff>
    </xdr:from>
    <xdr:to>
      <xdr:col>23</xdr:col>
      <xdr:colOff>787400</xdr:colOff>
      <xdr:row>29</xdr:row>
      <xdr:rowOff>127000</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820628</xdr:colOff>
      <xdr:row>18</xdr:row>
      <xdr:rowOff>174702</xdr:rowOff>
    </xdr:from>
    <xdr:to>
      <xdr:col>33</xdr:col>
      <xdr:colOff>562131</xdr:colOff>
      <xdr:row>30</xdr:row>
      <xdr:rowOff>270655</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0</xdr:colOff>
      <xdr:row>19</xdr:row>
      <xdr:rowOff>0</xdr:rowOff>
    </xdr:from>
    <xdr:to>
      <xdr:col>42</xdr:col>
      <xdr:colOff>706534</xdr:colOff>
      <xdr:row>29</xdr:row>
      <xdr:rowOff>220201</xdr:rowOff>
    </xdr:to>
    <xdr:graphicFrame macro="">
      <xdr:nvGraphicFramePr>
        <xdr:cNvPr id="2" name="Graphique 1">
          <a:extLst>
            <a:ext uri="{FF2B5EF4-FFF2-40B4-BE49-F238E27FC236}">
              <a16:creationId xmlns:a16="http://schemas.microsoft.com/office/drawing/2014/main" id="{5D0C7E67-46B0-6E4B-9154-F6CCBEA46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50799</xdr:colOff>
      <xdr:row>325</xdr:row>
      <xdr:rowOff>194734</xdr:rowOff>
    </xdr:from>
    <xdr:to>
      <xdr:col>3</xdr:col>
      <xdr:colOff>1113033</xdr:colOff>
      <xdr:row>343</xdr:row>
      <xdr:rowOff>143934</xdr:rowOff>
    </xdr:to>
    <xdr:graphicFrame macro="">
      <xdr:nvGraphicFramePr>
        <xdr:cNvPr id="4" name="Graphique 3">
          <a:extLst>
            <a:ext uri="{FF2B5EF4-FFF2-40B4-BE49-F238E27FC236}">
              <a16:creationId xmlns:a16="http://schemas.microsoft.com/office/drawing/2014/main" id="{9CE91ED1-A62B-3237-5139-F9446C54F4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1866515</xdr:colOff>
      <xdr:row>326</xdr:row>
      <xdr:rowOff>57728</xdr:rowOff>
    </xdr:from>
    <xdr:to>
      <xdr:col>5</xdr:col>
      <xdr:colOff>2409204</xdr:colOff>
      <xdr:row>344</xdr:row>
      <xdr:rowOff>6928</xdr:rowOff>
    </xdr:to>
    <xdr:graphicFrame macro="">
      <xdr:nvGraphicFramePr>
        <xdr:cNvPr id="2" name="Graphique 1">
          <a:extLst>
            <a:ext uri="{FF2B5EF4-FFF2-40B4-BE49-F238E27FC236}">
              <a16:creationId xmlns:a16="http://schemas.microsoft.com/office/drawing/2014/main" id="{4EF876C5-A161-AE43-9EDA-F1F9D21B9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60960</xdr:rowOff>
    </xdr:from>
    <xdr:to>
      <xdr:col>1</xdr:col>
      <xdr:colOff>0</xdr:colOff>
      <xdr:row>1</xdr:row>
      <xdr:rowOff>106680</xdr:rowOff>
    </xdr:to>
    <xdr:sp macro="" textlink="">
      <xdr:nvSpPr>
        <xdr:cNvPr id="2" name="Flèche gauch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 name="Flèche gauche 1">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 name="Flèche gauche 1">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 name="Flèche gauche 1">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 name="Flèche gauche 1">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 name="Flèche gauche 1">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 name="Flèche gauche 1">
          <a:hlinkClick xmlns:r="http://schemas.openxmlformats.org/officeDocument/2006/relationships" r:id="rId1"/>
          <a:extLst>
            <a:ext uri="{FF2B5EF4-FFF2-40B4-BE49-F238E27FC236}">
              <a16:creationId xmlns:a16="http://schemas.microsoft.com/office/drawing/2014/main" id="{00000000-0008-0000-0800-000008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 name="Flèche gauche 1">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 name="Flèche gauche 1">
          <a:hlinkClick xmlns:r="http://schemas.openxmlformats.org/officeDocument/2006/relationships" r:id="rId1"/>
          <a:extLst>
            <a:ext uri="{FF2B5EF4-FFF2-40B4-BE49-F238E27FC236}">
              <a16:creationId xmlns:a16="http://schemas.microsoft.com/office/drawing/2014/main" id="{00000000-0008-0000-0800-00000A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 name="Flèche gauche 1">
          <a:hlinkClick xmlns:r="http://schemas.openxmlformats.org/officeDocument/2006/relationships" r:id="rId1"/>
          <a:extLst>
            <a:ext uri="{FF2B5EF4-FFF2-40B4-BE49-F238E27FC236}">
              <a16:creationId xmlns:a16="http://schemas.microsoft.com/office/drawing/2014/main" id="{00000000-0008-0000-0800-00000B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 name="Flèche gauche 1">
          <a:hlinkClick xmlns:r="http://schemas.openxmlformats.org/officeDocument/2006/relationships" r:id="rId1"/>
          <a:extLst>
            <a:ext uri="{FF2B5EF4-FFF2-40B4-BE49-F238E27FC236}">
              <a16:creationId xmlns:a16="http://schemas.microsoft.com/office/drawing/2014/main" id="{00000000-0008-0000-0800-00000C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3" name="Flèche gauche 1">
          <a:hlinkClick xmlns:r="http://schemas.openxmlformats.org/officeDocument/2006/relationships" r:id="rId2"/>
          <a:extLst>
            <a:ext uri="{FF2B5EF4-FFF2-40B4-BE49-F238E27FC236}">
              <a16:creationId xmlns:a16="http://schemas.microsoft.com/office/drawing/2014/main" id="{00000000-0008-0000-0800-00000D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4" name="Flèche gauche 1">
          <a:hlinkClick xmlns:r="http://schemas.openxmlformats.org/officeDocument/2006/relationships" r:id="rId1"/>
          <a:extLst>
            <a:ext uri="{FF2B5EF4-FFF2-40B4-BE49-F238E27FC236}">
              <a16:creationId xmlns:a16="http://schemas.microsoft.com/office/drawing/2014/main" id="{00000000-0008-0000-0800-00000E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5" name="Flèche gauche 1">
          <a:hlinkClick xmlns:r="http://schemas.openxmlformats.org/officeDocument/2006/relationships" r:id="rId1"/>
          <a:extLst>
            <a:ext uri="{FF2B5EF4-FFF2-40B4-BE49-F238E27FC236}">
              <a16:creationId xmlns:a16="http://schemas.microsoft.com/office/drawing/2014/main" id="{00000000-0008-0000-0800-00000F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6" name="Flèche gauche 1">
          <a:hlinkClick xmlns:r="http://schemas.openxmlformats.org/officeDocument/2006/relationships" r:id="rId1"/>
          <a:extLst>
            <a:ext uri="{FF2B5EF4-FFF2-40B4-BE49-F238E27FC236}">
              <a16:creationId xmlns:a16="http://schemas.microsoft.com/office/drawing/2014/main" id="{00000000-0008-0000-0800-000010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7" name="Flèche gauche 1">
          <a:hlinkClick xmlns:r="http://schemas.openxmlformats.org/officeDocument/2006/relationships" r:id="rId2"/>
          <a:extLst>
            <a:ext uri="{FF2B5EF4-FFF2-40B4-BE49-F238E27FC236}">
              <a16:creationId xmlns:a16="http://schemas.microsoft.com/office/drawing/2014/main" id="{00000000-0008-0000-0800-000011000000}"/>
            </a:ext>
          </a:extLst>
        </xdr:cNvPr>
        <xdr:cNvSpPr/>
      </xdr:nvSpPr>
      <xdr:spPr bwMode="auto">
        <a:xfrm>
          <a:off x="876299" y="60960"/>
          <a:ext cx="0" cy="2489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8" name="Flèche gauche 1">
          <a:hlinkClick xmlns:r="http://schemas.openxmlformats.org/officeDocument/2006/relationships" r:id="rId1"/>
          <a:extLst>
            <a:ext uri="{FF2B5EF4-FFF2-40B4-BE49-F238E27FC236}">
              <a16:creationId xmlns:a16="http://schemas.microsoft.com/office/drawing/2014/main" id="{00000000-0008-0000-0800-000012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9" name="Flèche gauche 1">
          <a:hlinkClick xmlns:r="http://schemas.openxmlformats.org/officeDocument/2006/relationships" r:id="rId1"/>
          <a:extLst>
            <a:ext uri="{FF2B5EF4-FFF2-40B4-BE49-F238E27FC236}">
              <a16:creationId xmlns:a16="http://schemas.microsoft.com/office/drawing/2014/main" id="{00000000-0008-0000-0800-000013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0" name="Flèche gauche 1">
          <a:hlinkClick xmlns:r="http://schemas.openxmlformats.org/officeDocument/2006/relationships" r:id="rId1"/>
          <a:extLst>
            <a:ext uri="{FF2B5EF4-FFF2-40B4-BE49-F238E27FC236}">
              <a16:creationId xmlns:a16="http://schemas.microsoft.com/office/drawing/2014/main" id="{00000000-0008-0000-0800-000014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1" name="Flèche gauche 1">
          <a:hlinkClick xmlns:r="http://schemas.openxmlformats.org/officeDocument/2006/relationships" r:id="rId2"/>
          <a:extLst>
            <a:ext uri="{FF2B5EF4-FFF2-40B4-BE49-F238E27FC236}">
              <a16:creationId xmlns:a16="http://schemas.microsoft.com/office/drawing/2014/main" id="{00000000-0008-0000-0800-000015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2" name="Flèche gauche 1">
          <a:hlinkClick xmlns:r="http://schemas.openxmlformats.org/officeDocument/2006/relationships" r:id="rId1"/>
          <a:extLst>
            <a:ext uri="{FF2B5EF4-FFF2-40B4-BE49-F238E27FC236}">
              <a16:creationId xmlns:a16="http://schemas.microsoft.com/office/drawing/2014/main" id="{00000000-0008-0000-0800-000016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3" name="Flèche gauche 1">
          <a:hlinkClick xmlns:r="http://schemas.openxmlformats.org/officeDocument/2006/relationships" r:id="rId1"/>
          <a:extLst>
            <a:ext uri="{FF2B5EF4-FFF2-40B4-BE49-F238E27FC236}">
              <a16:creationId xmlns:a16="http://schemas.microsoft.com/office/drawing/2014/main" id="{00000000-0008-0000-0800-000017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4" name="Flèche gauche 1">
          <a:hlinkClick xmlns:r="http://schemas.openxmlformats.org/officeDocument/2006/relationships" r:id="rId1"/>
          <a:extLst>
            <a:ext uri="{FF2B5EF4-FFF2-40B4-BE49-F238E27FC236}">
              <a16:creationId xmlns:a16="http://schemas.microsoft.com/office/drawing/2014/main" id="{00000000-0008-0000-0800-000018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5" name="Flèche gauche 1">
          <a:hlinkClick xmlns:r="http://schemas.openxmlformats.org/officeDocument/2006/relationships" r:id="rId2"/>
          <a:extLst>
            <a:ext uri="{FF2B5EF4-FFF2-40B4-BE49-F238E27FC236}">
              <a16:creationId xmlns:a16="http://schemas.microsoft.com/office/drawing/2014/main" id="{00000000-0008-0000-0800-000019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6" name="Flèche gauche 1">
          <a:hlinkClick xmlns:r="http://schemas.openxmlformats.org/officeDocument/2006/relationships" r:id="rId1"/>
          <a:extLst>
            <a:ext uri="{FF2B5EF4-FFF2-40B4-BE49-F238E27FC236}">
              <a16:creationId xmlns:a16="http://schemas.microsoft.com/office/drawing/2014/main" id="{00000000-0008-0000-0800-00001A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7" name="Flèche gauche 1">
          <a:hlinkClick xmlns:r="http://schemas.openxmlformats.org/officeDocument/2006/relationships" r:id="rId1"/>
          <a:extLst>
            <a:ext uri="{FF2B5EF4-FFF2-40B4-BE49-F238E27FC236}">
              <a16:creationId xmlns:a16="http://schemas.microsoft.com/office/drawing/2014/main" id="{00000000-0008-0000-0800-00001B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8" name="Flèche gauche 1">
          <a:hlinkClick xmlns:r="http://schemas.openxmlformats.org/officeDocument/2006/relationships" r:id="rId1"/>
          <a:extLst>
            <a:ext uri="{FF2B5EF4-FFF2-40B4-BE49-F238E27FC236}">
              <a16:creationId xmlns:a16="http://schemas.microsoft.com/office/drawing/2014/main" id="{00000000-0008-0000-0800-00001C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9" name="Flèche gauche 1">
          <a:hlinkClick xmlns:r="http://schemas.openxmlformats.org/officeDocument/2006/relationships" r:id="rId2"/>
          <a:extLst>
            <a:ext uri="{FF2B5EF4-FFF2-40B4-BE49-F238E27FC236}">
              <a16:creationId xmlns:a16="http://schemas.microsoft.com/office/drawing/2014/main" id="{00000000-0008-0000-0800-00001D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0" name="Flèche gauche 1">
          <a:hlinkClick xmlns:r="http://schemas.openxmlformats.org/officeDocument/2006/relationships" r:id="rId1"/>
          <a:extLst>
            <a:ext uri="{FF2B5EF4-FFF2-40B4-BE49-F238E27FC236}">
              <a16:creationId xmlns:a16="http://schemas.microsoft.com/office/drawing/2014/main" id="{00000000-0008-0000-0800-00001E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1" name="Flèche gauche 1">
          <a:hlinkClick xmlns:r="http://schemas.openxmlformats.org/officeDocument/2006/relationships" r:id="rId1"/>
          <a:extLst>
            <a:ext uri="{FF2B5EF4-FFF2-40B4-BE49-F238E27FC236}">
              <a16:creationId xmlns:a16="http://schemas.microsoft.com/office/drawing/2014/main" id="{00000000-0008-0000-0800-00001F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2" name="Flèche gauche 1">
          <a:hlinkClick xmlns:r="http://schemas.openxmlformats.org/officeDocument/2006/relationships" r:id="rId1"/>
          <a:extLst>
            <a:ext uri="{FF2B5EF4-FFF2-40B4-BE49-F238E27FC236}">
              <a16:creationId xmlns:a16="http://schemas.microsoft.com/office/drawing/2014/main" id="{00000000-0008-0000-0800-000020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3" name="Flèche gauche 1">
          <a:hlinkClick xmlns:r="http://schemas.openxmlformats.org/officeDocument/2006/relationships" r:id="rId2"/>
          <a:extLst>
            <a:ext uri="{FF2B5EF4-FFF2-40B4-BE49-F238E27FC236}">
              <a16:creationId xmlns:a16="http://schemas.microsoft.com/office/drawing/2014/main" id="{00000000-0008-0000-0800-000021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7" name="Flèche gauche 1">
          <a:hlinkClick xmlns:r="http://schemas.openxmlformats.org/officeDocument/2006/relationships" r:id="rId1"/>
          <a:extLst>
            <a:ext uri="{FF2B5EF4-FFF2-40B4-BE49-F238E27FC236}">
              <a16:creationId xmlns:a16="http://schemas.microsoft.com/office/drawing/2014/main" id="{00000000-0008-0000-0800-000025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8" name="Flèche gauche 1">
          <a:hlinkClick xmlns:r="http://schemas.openxmlformats.org/officeDocument/2006/relationships" r:id="rId1"/>
          <a:extLst>
            <a:ext uri="{FF2B5EF4-FFF2-40B4-BE49-F238E27FC236}">
              <a16:creationId xmlns:a16="http://schemas.microsoft.com/office/drawing/2014/main" id="{00000000-0008-0000-0800-000026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9" name="Flèche gauche 1">
          <a:hlinkClick xmlns:r="http://schemas.openxmlformats.org/officeDocument/2006/relationships" r:id="rId1"/>
          <a:extLst>
            <a:ext uri="{FF2B5EF4-FFF2-40B4-BE49-F238E27FC236}">
              <a16:creationId xmlns:a16="http://schemas.microsoft.com/office/drawing/2014/main" id="{00000000-0008-0000-0800-000027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0" name="Flèche gauche 1">
          <a:hlinkClick xmlns:r="http://schemas.openxmlformats.org/officeDocument/2006/relationships" r:id="rId2"/>
          <a:extLst>
            <a:ext uri="{FF2B5EF4-FFF2-40B4-BE49-F238E27FC236}">
              <a16:creationId xmlns:a16="http://schemas.microsoft.com/office/drawing/2014/main" id="{00000000-0008-0000-0800-000028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1" name="Flèche gauche 1">
          <a:hlinkClick xmlns:r="http://schemas.openxmlformats.org/officeDocument/2006/relationships" r:id="rId1"/>
          <a:extLst>
            <a:ext uri="{FF2B5EF4-FFF2-40B4-BE49-F238E27FC236}">
              <a16:creationId xmlns:a16="http://schemas.microsoft.com/office/drawing/2014/main" id="{00000000-0008-0000-0800-000029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2" name="Flèche gauche 1">
          <a:hlinkClick xmlns:r="http://schemas.openxmlformats.org/officeDocument/2006/relationships" r:id="rId1"/>
          <a:extLst>
            <a:ext uri="{FF2B5EF4-FFF2-40B4-BE49-F238E27FC236}">
              <a16:creationId xmlns:a16="http://schemas.microsoft.com/office/drawing/2014/main" id="{00000000-0008-0000-0800-00002A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3" name="Flèche gauche 1">
          <a:hlinkClick xmlns:r="http://schemas.openxmlformats.org/officeDocument/2006/relationships" r:id="rId1"/>
          <a:extLst>
            <a:ext uri="{FF2B5EF4-FFF2-40B4-BE49-F238E27FC236}">
              <a16:creationId xmlns:a16="http://schemas.microsoft.com/office/drawing/2014/main" id="{00000000-0008-0000-0800-00002B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4" name="Flèche gauche 1">
          <a:hlinkClick xmlns:r="http://schemas.openxmlformats.org/officeDocument/2006/relationships" r:id="rId2"/>
          <a:extLst>
            <a:ext uri="{FF2B5EF4-FFF2-40B4-BE49-F238E27FC236}">
              <a16:creationId xmlns:a16="http://schemas.microsoft.com/office/drawing/2014/main" id="{00000000-0008-0000-0800-00002C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5" name="Flèche gauche 1">
          <a:hlinkClick xmlns:r="http://schemas.openxmlformats.org/officeDocument/2006/relationships" r:id="rId1"/>
          <a:extLst>
            <a:ext uri="{FF2B5EF4-FFF2-40B4-BE49-F238E27FC236}">
              <a16:creationId xmlns:a16="http://schemas.microsoft.com/office/drawing/2014/main" id="{00000000-0008-0000-0800-00002D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6" name="Flèche gauche 1">
          <a:hlinkClick xmlns:r="http://schemas.openxmlformats.org/officeDocument/2006/relationships" r:id="rId1"/>
          <a:extLst>
            <a:ext uri="{FF2B5EF4-FFF2-40B4-BE49-F238E27FC236}">
              <a16:creationId xmlns:a16="http://schemas.microsoft.com/office/drawing/2014/main" id="{00000000-0008-0000-0800-00002E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7" name="Flèche gauche 1">
          <a:hlinkClick xmlns:r="http://schemas.openxmlformats.org/officeDocument/2006/relationships" r:id="rId1"/>
          <a:extLst>
            <a:ext uri="{FF2B5EF4-FFF2-40B4-BE49-F238E27FC236}">
              <a16:creationId xmlns:a16="http://schemas.microsoft.com/office/drawing/2014/main" id="{00000000-0008-0000-0800-00002F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8" name="Flèche gauche 1">
          <a:hlinkClick xmlns:r="http://schemas.openxmlformats.org/officeDocument/2006/relationships" r:id="rId2"/>
          <a:extLst>
            <a:ext uri="{FF2B5EF4-FFF2-40B4-BE49-F238E27FC236}">
              <a16:creationId xmlns:a16="http://schemas.microsoft.com/office/drawing/2014/main" id="{00000000-0008-0000-0800-000030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9" name="Flèche gauche 1">
          <a:hlinkClick xmlns:r="http://schemas.openxmlformats.org/officeDocument/2006/relationships" r:id="rId1"/>
          <a:extLst>
            <a:ext uri="{FF2B5EF4-FFF2-40B4-BE49-F238E27FC236}">
              <a16:creationId xmlns:a16="http://schemas.microsoft.com/office/drawing/2014/main" id="{00000000-0008-0000-0800-000031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0" name="Flèche gauche 1">
          <a:hlinkClick xmlns:r="http://schemas.openxmlformats.org/officeDocument/2006/relationships" r:id="rId1"/>
          <a:extLst>
            <a:ext uri="{FF2B5EF4-FFF2-40B4-BE49-F238E27FC236}">
              <a16:creationId xmlns:a16="http://schemas.microsoft.com/office/drawing/2014/main" id="{00000000-0008-0000-0800-000032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1" name="Flèche gauche 1">
          <a:hlinkClick xmlns:r="http://schemas.openxmlformats.org/officeDocument/2006/relationships" r:id="rId1"/>
          <a:extLst>
            <a:ext uri="{FF2B5EF4-FFF2-40B4-BE49-F238E27FC236}">
              <a16:creationId xmlns:a16="http://schemas.microsoft.com/office/drawing/2014/main" id="{00000000-0008-0000-0800-000033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2" name="Flèche gauche 1">
          <a:hlinkClick xmlns:r="http://schemas.openxmlformats.org/officeDocument/2006/relationships" r:id="rId2"/>
          <a:extLst>
            <a:ext uri="{FF2B5EF4-FFF2-40B4-BE49-F238E27FC236}">
              <a16:creationId xmlns:a16="http://schemas.microsoft.com/office/drawing/2014/main" id="{00000000-0008-0000-0800-0000340000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6" name="Flèche gauche 1">
          <a:hlinkClick xmlns:r="http://schemas.openxmlformats.org/officeDocument/2006/relationships" r:id="rId1"/>
          <a:extLst>
            <a:ext uri="{FF2B5EF4-FFF2-40B4-BE49-F238E27FC236}">
              <a16:creationId xmlns:a16="http://schemas.microsoft.com/office/drawing/2014/main" id="{C5D3B99A-5A32-C64C-B31E-AAC1BF48A1B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6" name="Flèche gauche 1">
          <a:hlinkClick xmlns:r="http://schemas.openxmlformats.org/officeDocument/2006/relationships" r:id="rId1"/>
          <a:extLst>
            <a:ext uri="{FF2B5EF4-FFF2-40B4-BE49-F238E27FC236}">
              <a16:creationId xmlns:a16="http://schemas.microsoft.com/office/drawing/2014/main" id="{A2C0D90A-F15C-0645-9778-FE3E44E7752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7" name="Flèche gauche 1">
          <a:hlinkClick xmlns:r="http://schemas.openxmlformats.org/officeDocument/2006/relationships" r:id="rId1"/>
          <a:extLst>
            <a:ext uri="{FF2B5EF4-FFF2-40B4-BE49-F238E27FC236}">
              <a16:creationId xmlns:a16="http://schemas.microsoft.com/office/drawing/2014/main" id="{35668206-A935-E44F-A11A-2141A6695C8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8" name="Flèche gauche 1">
          <a:hlinkClick xmlns:r="http://schemas.openxmlformats.org/officeDocument/2006/relationships" r:id="rId2"/>
          <a:extLst>
            <a:ext uri="{FF2B5EF4-FFF2-40B4-BE49-F238E27FC236}">
              <a16:creationId xmlns:a16="http://schemas.microsoft.com/office/drawing/2014/main" id="{C6E8DDBE-C380-9F42-83C3-B6B9A1A53F5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9" name="Flèche gauche 1">
          <a:hlinkClick xmlns:r="http://schemas.openxmlformats.org/officeDocument/2006/relationships" r:id="rId1"/>
          <a:extLst>
            <a:ext uri="{FF2B5EF4-FFF2-40B4-BE49-F238E27FC236}">
              <a16:creationId xmlns:a16="http://schemas.microsoft.com/office/drawing/2014/main" id="{A5785C46-DD7D-F040-9E78-A0C5E94384F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0" name="Flèche gauche 1">
          <a:hlinkClick xmlns:r="http://schemas.openxmlformats.org/officeDocument/2006/relationships" r:id="rId1"/>
          <a:extLst>
            <a:ext uri="{FF2B5EF4-FFF2-40B4-BE49-F238E27FC236}">
              <a16:creationId xmlns:a16="http://schemas.microsoft.com/office/drawing/2014/main" id="{40AAF3FF-BA9B-D94F-B874-7A85E68A011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1" name="Flèche gauche 1">
          <a:hlinkClick xmlns:r="http://schemas.openxmlformats.org/officeDocument/2006/relationships" r:id="rId1"/>
          <a:extLst>
            <a:ext uri="{FF2B5EF4-FFF2-40B4-BE49-F238E27FC236}">
              <a16:creationId xmlns:a16="http://schemas.microsoft.com/office/drawing/2014/main" id="{517029BB-9F89-C648-9211-07396F72FC3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2" name="Flèche gauche 1">
          <a:hlinkClick xmlns:r="http://schemas.openxmlformats.org/officeDocument/2006/relationships" r:id="rId2"/>
          <a:extLst>
            <a:ext uri="{FF2B5EF4-FFF2-40B4-BE49-F238E27FC236}">
              <a16:creationId xmlns:a16="http://schemas.microsoft.com/office/drawing/2014/main" id="{4A0D576D-6652-684C-A57B-5071538520A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3" name="Flèche gauche 1">
          <a:hlinkClick xmlns:r="http://schemas.openxmlformats.org/officeDocument/2006/relationships" r:id="rId1"/>
          <a:extLst>
            <a:ext uri="{FF2B5EF4-FFF2-40B4-BE49-F238E27FC236}">
              <a16:creationId xmlns:a16="http://schemas.microsoft.com/office/drawing/2014/main" id="{8234FF04-332D-4345-B00C-67C157725CC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4" name="Flèche gauche 1">
          <a:hlinkClick xmlns:r="http://schemas.openxmlformats.org/officeDocument/2006/relationships" r:id="rId1"/>
          <a:extLst>
            <a:ext uri="{FF2B5EF4-FFF2-40B4-BE49-F238E27FC236}">
              <a16:creationId xmlns:a16="http://schemas.microsoft.com/office/drawing/2014/main" id="{E3C06D4C-E0F9-1F40-8175-4917770A85E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5" name="Flèche gauche 1">
          <a:hlinkClick xmlns:r="http://schemas.openxmlformats.org/officeDocument/2006/relationships" r:id="rId1"/>
          <a:extLst>
            <a:ext uri="{FF2B5EF4-FFF2-40B4-BE49-F238E27FC236}">
              <a16:creationId xmlns:a16="http://schemas.microsoft.com/office/drawing/2014/main" id="{6134A727-CBC2-8546-9162-6A1B92B39C3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6" name="Flèche gauche 1">
          <a:hlinkClick xmlns:r="http://schemas.openxmlformats.org/officeDocument/2006/relationships" r:id="rId2"/>
          <a:extLst>
            <a:ext uri="{FF2B5EF4-FFF2-40B4-BE49-F238E27FC236}">
              <a16:creationId xmlns:a16="http://schemas.microsoft.com/office/drawing/2014/main" id="{592B55EB-AE31-FE4B-B464-C0AEACDC9FA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7" name="Flèche gauche 1">
          <a:hlinkClick xmlns:r="http://schemas.openxmlformats.org/officeDocument/2006/relationships" r:id="rId1"/>
          <a:extLst>
            <a:ext uri="{FF2B5EF4-FFF2-40B4-BE49-F238E27FC236}">
              <a16:creationId xmlns:a16="http://schemas.microsoft.com/office/drawing/2014/main" id="{D21A0F89-B3E2-B246-B6A6-9D9985AC9BF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8" name="Flèche gauche 1">
          <a:hlinkClick xmlns:r="http://schemas.openxmlformats.org/officeDocument/2006/relationships" r:id="rId1"/>
          <a:extLst>
            <a:ext uri="{FF2B5EF4-FFF2-40B4-BE49-F238E27FC236}">
              <a16:creationId xmlns:a16="http://schemas.microsoft.com/office/drawing/2014/main" id="{4F9FE1DC-D055-9D46-A5E2-577643DB2EA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9" name="Flèche gauche 1">
          <a:hlinkClick xmlns:r="http://schemas.openxmlformats.org/officeDocument/2006/relationships" r:id="rId1"/>
          <a:extLst>
            <a:ext uri="{FF2B5EF4-FFF2-40B4-BE49-F238E27FC236}">
              <a16:creationId xmlns:a16="http://schemas.microsoft.com/office/drawing/2014/main" id="{99A04C99-51BA-884E-84D2-2EE6CC4896E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0" name="Flèche gauche 1">
          <a:hlinkClick xmlns:r="http://schemas.openxmlformats.org/officeDocument/2006/relationships" r:id="rId2"/>
          <a:extLst>
            <a:ext uri="{FF2B5EF4-FFF2-40B4-BE49-F238E27FC236}">
              <a16:creationId xmlns:a16="http://schemas.microsoft.com/office/drawing/2014/main" id="{83DE4C93-5208-424E-A919-979D7C2B37C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11</xdr:col>
      <xdr:colOff>1195272</xdr:colOff>
      <xdr:row>18</xdr:row>
      <xdr:rowOff>33070</xdr:rowOff>
    </xdr:from>
    <xdr:to>
      <xdr:col>15</xdr:col>
      <xdr:colOff>1151467</xdr:colOff>
      <xdr:row>26</xdr:row>
      <xdr:rowOff>118533</xdr:rowOff>
    </xdr:to>
    <xdr:graphicFrame macro="">
      <xdr:nvGraphicFramePr>
        <xdr:cNvPr id="72" name="Graphique 71">
          <a:extLst>
            <a:ext uri="{FF2B5EF4-FFF2-40B4-BE49-F238E27FC236}">
              <a16:creationId xmlns:a16="http://schemas.microsoft.com/office/drawing/2014/main" id="{8D7B2A77-ECDF-0F46-85DE-AFE905240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37</xdr:col>
      <xdr:colOff>888998</xdr:colOff>
      <xdr:row>1657</xdr:row>
      <xdr:rowOff>63498</xdr:rowOff>
    </xdr:from>
    <xdr:to>
      <xdr:col>46</xdr:col>
      <xdr:colOff>88898</xdr:colOff>
      <xdr:row>1684</xdr:row>
      <xdr:rowOff>142284</xdr:rowOff>
    </xdr:to>
    <xdr:pic>
      <xdr:nvPicPr>
        <xdr:cNvPr id="13" name="Image 12">
          <a:extLst>
            <a:ext uri="{FF2B5EF4-FFF2-40B4-BE49-F238E27FC236}">
              <a16:creationId xmlns:a16="http://schemas.microsoft.com/office/drawing/2014/main" id="{3D375BBB-EECA-4468-93C3-6EB2289B3209}"/>
            </a:ext>
          </a:extLst>
        </xdr:cNvPr>
        <xdr:cNvPicPr>
          <a:picLocks noChangeAspect="1"/>
        </xdr:cNvPicPr>
      </xdr:nvPicPr>
      <xdr:blipFill>
        <a:blip xmlns:r="http://schemas.openxmlformats.org/officeDocument/2006/relationships" r:embed="rId1"/>
        <a:stretch>
          <a:fillRect/>
        </a:stretch>
      </xdr:blipFill>
      <xdr:spPr>
        <a:xfrm>
          <a:off x="50059165" y="392006665"/>
          <a:ext cx="7772400" cy="5793786"/>
        </a:xfrm>
        <a:prstGeom prst="rect">
          <a:avLst/>
        </a:prstGeom>
      </xdr:spPr>
    </xdr:pic>
    <xdr:clientData/>
  </xdr:twoCellAnchor>
  <xdr:twoCellAnchor editAs="oneCell">
    <xdr:from>
      <xdr:col>27</xdr:col>
      <xdr:colOff>613832</xdr:colOff>
      <xdr:row>1286</xdr:row>
      <xdr:rowOff>190499</xdr:rowOff>
    </xdr:from>
    <xdr:to>
      <xdr:col>35</xdr:col>
      <xdr:colOff>554565</xdr:colOff>
      <xdr:row>1308</xdr:row>
      <xdr:rowOff>181746</xdr:rowOff>
    </xdr:to>
    <xdr:pic>
      <xdr:nvPicPr>
        <xdr:cNvPr id="14" name="Image 13">
          <a:extLst>
            <a:ext uri="{FF2B5EF4-FFF2-40B4-BE49-F238E27FC236}">
              <a16:creationId xmlns:a16="http://schemas.microsoft.com/office/drawing/2014/main" id="{1EE1B3B9-FB1D-D135-C3A1-01B5F83FAD6C}"/>
            </a:ext>
          </a:extLst>
        </xdr:cNvPr>
        <xdr:cNvPicPr>
          <a:picLocks noChangeAspect="1"/>
        </xdr:cNvPicPr>
      </xdr:nvPicPr>
      <xdr:blipFill>
        <a:blip xmlns:r="http://schemas.openxmlformats.org/officeDocument/2006/relationships" r:embed="rId2"/>
        <a:stretch>
          <a:fillRect/>
        </a:stretch>
      </xdr:blipFill>
      <xdr:spPr>
        <a:xfrm>
          <a:off x="40047332" y="313605332"/>
          <a:ext cx="7772400" cy="4647914"/>
        </a:xfrm>
        <a:prstGeom prst="rect">
          <a:avLst/>
        </a:prstGeom>
      </xdr:spPr>
    </xdr:pic>
    <xdr:clientData/>
  </xdr:twoCellAnchor>
  <xdr:twoCellAnchor editAs="oneCell">
    <xdr:from>
      <xdr:col>18</xdr:col>
      <xdr:colOff>402166</xdr:colOff>
      <xdr:row>916</xdr:row>
      <xdr:rowOff>105832</xdr:rowOff>
    </xdr:from>
    <xdr:to>
      <xdr:col>25</xdr:col>
      <xdr:colOff>279399</xdr:colOff>
      <xdr:row>937</xdr:row>
      <xdr:rowOff>148988</xdr:rowOff>
    </xdr:to>
    <xdr:pic>
      <xdr:nvPicPr>
        <xdr:cNvPr id="15" name="Image 14">
          <a:extLst>
            <a:ext uri="{FF2B5EF4-FFF2-40B4-BE49-F238E27FC236}">
              <a16:creationId xmlns:a16="http://schemas.microsoft.com/office/drawing/2014/main" id="{6A8B495F-1CC6-BAA3-ED69-F10B19604E5E}"/>
            </a:ext>
          </a:extLst>
        </xdr:cNvPr>
        <xdr:cNvPicPr>
          <a:picLocks noChangeAspect="1"/>
        </xdr:cNvPicPr>
      </xdr:nvPicPr>
      <xdr:blipFill>
        <a:blip xmlns:r="http://schemas.openxmlformats.org/officeDocument/2006/relationships" r:embed="rId3"/>
        <a:stretch>
          <a:fillRect/>
        </a:stretch>
      </xdr:blipFill>
      <xdr:spPr>
        <a:xfrm>
          <a:off x="30035499" y="235203999"/>
          <a:ext cx="7772400" cy="4488151"/>
        </a:xfrm>
        <a:prstGeom prst="rect">
          <a:avLst/>
        </a:prstGeom>
      </xdr:spPr>
    </xdr:pic>
    <xdr:clientData/>
  </xdr:twoCellAnchor>
  <xdr:twoCellAnchor editAs="oneCell">
    <xdr:from>
      <xdr:col>11</xdr:col>
      <xdr:colOff>465666</xdr:colOff>
      <xdr:row>546</xdr:row>
      <xdr:rowOff>21166</xdr:rowOff>
    </xdr:from>
    <xdr:to>
      <xdr:col>17</xdr:col>
      <xdr:colOff>745986</xdr:colOff>
      <xdr:row>569</xdr:row>
      <xdr:rowOff>135948</xdr:rowOff>
    </xdr:to>
    <xdr:pic>
      <xdr:nvPicPr>
        <xdr:cNvPr id="16" name="Image 15">
          <a:extLst>
            <a:ext uri="{FF2B5EF4-FFF2-40B4-BE49-F238E27FC236}">
              <a16:creationId xmlns:a16="http://schemas.microsoft.com/office/drawing/2014/main" id="{FC97B07D-168B-0522-5326-03ABF15FA418}"/>
            </a:ext>
          </a:extLst>
        </xdr:cNvPr>
        <xdr:cNvPicPr>
          <a:picLocks noChangeAspect="1"/>
        </xdr:cNvPicPr>
      </xdr:nvPicPr>
      <xdr:blipFill>
        <a:blip xmlns:r="http://schemas.openxmlformats.org/officeDocument/2006/relationships" r:embed="rId4"/>
        <a:stretch>
          <a:fillRect/>
        </a:stretch>
      </xdr:blipFill>
      <xdr:spPr>
        <a:xfrm>
          <a:off x="20023666" y="156802666"/>
          <a:ext cx="7772400" cy="4983111"/>
        </a:xfrm>
        <a:prstGeom prst="rect">
          <a:avLst/>
        </a:prstGeom>
      </xdr:spPr>
    </xdr:pic>
    <xdr:clientData/>
  </xdr:twoCellAnchor>
  <xdr:twoCellAnchor>
    <xdr:from>
      <xdr:col>4</xdr:col>
      <xdr:colOff>973666</xdr:colOff>
      <xdr:row>330</xdr:row>
      <xdr:rowOff>160866</xdr:rowOff>
    </xdr:from>
    <xdr:to>
      <xdr:col>8</xdr:col>
      <xdr:colOff>88348</xdr:colOff>
      <xdr:row>344</xdr:row>
      <xdr:rowOff>59266</xdr:rowOff>
    </xdr:to>
    <xdr:graphicFrame macro="">
      <xdr:nvGraphicFramePr>
        <xdr:cNvPr id="2" name="Graphique 1">
          <a:extLst>
            <a:ext uri="{FF2B5EF4-FFF2-40B4-BE49-F238E27FC236}">
              <a16:creationId xmlns:a16="http://schemas.microsoft.com/office/drawing/2014/main" id="{B28551C9-C7DD-F785-ADD2-5675444716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95662</xdr:colOff>
      <xdr:row>348</xdr:row>
      <xdr:rowOff>127694</xdr:rowOff>
    </xdr:from>
    <xdr:to>
      <xdr:col>11</xdr:col>
      <xdr:colOff>589013</xdr:colOff>
      <xdr:row>367</xdr:row>
      <xdr:rowOff>158259</xdr:rowOff>
    </xdr:to>
    <xdr:graphicFrame macro="">
      <xdr:nvGraphicFramePr>
        <xdr:cNvPr id="3" name="Graphique 2">
          <a:extLst>
            <a:ext uri="{FF2B5EF4-FFF2-40B4-BE49-F238E27FC236}">
              <a16:creationId xmlns:a16="http://schemas.microsoft.com/office/drawing/2014/main" id="{3F2B9A5C-4514-185C-533F-3BBD25E02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0.17677</cdr:x>
      <cdr:y>0.04</cdr:y>
    </cdr:from>
    <cdr:to>
      <cdr:x>0.25624</cdr:x>
      <cdr:y>0.08889</cdr:y>
    </cdr:to>
    <cdr:sp macro="" textlink="">
      <cdr:nvSpPr>
        <cdr:cNvPr id="2" name="ZoneTexte 1">
          <a:extLst xmlns:a="http://schemas.openxmlformats.org/drawingml/2006/main">
            <a:ext uri="{FF2B5EF4-FFF2-40B4-BE49-F238E27FC236}">
              <a16:creationId xmlns:a16="http://schemas.microsoft.com/office/drawing/2014/main" id="{43B5AD95-5F94-03F1-D1FC-CC6655825304}"/>
            </a:ext>
          </a:extLst>
        </cdr:cNvPr>
        <cdr:cNvSpPr txBox="1"/>
      </cdr:nvSpPr>
      <cdr:spPr>
        <a:xfrm xmlns:a="http://schemas.openxmlformats.org/drawingml/2006/main">
          <a:off x="1468967" y="152402"/>
          <a:ext cx="660400" cy="1862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kern="1200">
              <a:solidFill>
                <a:schemeClr val="tx2"/>
              </a:solidFill>
            </a:rPr>
            <a:t>82%</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0</xdr:row>
      <xdr:rowOff>60960</xdr:rowOff>
    </xdr:from>
    <xdr:to>
      <xdr:col>1</xdr:col>
      <xdr:colOff>0</xdr:colOff>
      <xdr:row>1</xdr:row>
      <xdr:rowOff>106680</xdr:rowOff>
    </xdr:to>
    <xdr:sp macro="" textlink="">
      <xdr:nvSpPr>
        <xdr:cNvPr id="2" name="Flèche gauche 1">
          <a:hlinkClick xmlns:r="http://schemas.openxmlformats.org/officeDocument/2006/relationships" r:id="rId1"/>
          <a:extLst>
            <a:ext uri="{FF2B5EF4-FFF2-40B4-BE49-F238E27FC236}">
              <a16:creationId xmlns:a16="http://schemas.microsoft.com/office/drawing/2014/main" id="{27A964F0-15A4-2544-8345-823DF2A1BEA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 name="Flèche gauche 1">
          <a:hlinkClick xmlns:r="http://schemas.openxmlformats.org/officeDocument/2006/relationships" r:id="rId1"/>
          <a:extLst>
            <a:ext uri="{FF2B5EF4-FFF2-40B4-BE49-F238E27FC236}">
              <a16:creationId xmlns:a16="http://schemas.microsoft.com/office/drawing/2014/main" id="{6DA640C3-8C3F-8E4F-9B97-18510A8F9D1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 name="Flèche gauche 1">
          <a:hlinkClick xmlns:r="http://schemas.openxmlformats.org/officeDocument/2006/relationships" r:id="rId1"/>
          <a:extLst>
            <a:ext uri="{FF2B5EF4-FFF2-40B4-BE49-F238E27FC236}">
              <a16:creationId xmlns:a16="http://schemas.microsoft.com/office/drawing/2014/main" id="{E2458077-8709-6A4B-B209-ABCBD78EBE9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 name="Flèche gauche 1">
          <a:hlinkClick xmlns:r="http://schemas.openxmlformats.org/officeDocument/2006/relationships" r:id="rId2"/>
          <a:extLst>
            <a:ext uri="{FF2B5EF4-FFF2-40B4-BE49-F238E27FC236}">
              <a16:creationId xmlns:a16="http://schemas.microsoft.com/office/drawing/2014/main" id="{34B962AE-6191-634F-9BEC-CD2E82DBE28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 name="Flèche gauche 1">
          <a:hlinkClick xmlns:r="http://schemas.openxmlformats.org/officeDocument/2006/relationships" r:id="rId1"/>
          <a:extLst>
            <a:ext uri="{FF2B5EF4-FFF2-40B4-BE49-F238E27FC236}">
              <a16:creationId xmlns:a16="http://schemas.microsoft.com/office/drawing/2014/main" id="{F6F5EF58-4FDE-AE42-A887-FA59A03D06F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 name="Flèche gauche 1">
          <a:hlinkClick xmlns:r="http://schemas.openxmlformats.org/officeDocument/2006/relationships" r:id="rId1"/>
          <a:extLst>
            <a:ext uri="{FF2B5EF4-FFF2-40B4-BE49-F238E27FC236}">
              <a16:creationId xmlns:a16="http://schemas.microsoft.com/office/drawing/2014/main" id="{B721DACA-51FD-E947-A526-019FEF6986F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 name="Flèche gauche 1">
          <a:hlinkClick xmlns:r="http://schemas.openxmlformats.org/officeDocument/2006/relationships" r:id="rId1"/>
          <a:extLst>
            <a:ext uri="{FF2B5EF4-FFF2-40B4-BE49-F238E27FC236}">
              <a16:creationId xmlns:a16="http://schemas.microsoft.com/office/drawing/2014/main" id="{D871E703-65AF-934B-B31E-8B422125EA2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 name="Flèche gauche 1">
          <a:hlinkClick xmlns:r="http://schemas.openxmlformats.org/officeDocument/2006/relationships" r:id="rId2"/>
          <a:extLst>
            <a:ext uri="{FF2B5EF4-FFF2-40B4-BE49-F238E27FC236}">
              <a16:creationId xmlns:a16="http://schemas.microsoft.com/office/drawing/2014/main" id="{9231389C-FDD0-F54A-9F9E-CEA77F23320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 name="Flèche gauche 1">
          <a:hlinkClick xmlns:r="http://schemas.openxmlformats.org/officeDocument/2006/relationships" r:id="rId1"/>
          <a:extLst>
            <a:ext uri="{FF2B5EF4-FFF2-40B4-BE49-F238E27FC236}">
              <a16:creationId xmlns:a16="http://schemas.microsoft.com/office/drawing/2014/main" id="{10FA2631-AED6-ED42-BE20-B4C9B127874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 name="Flèche gauche 1">
          <a:hlinkClick xmlns:r="http://schemas.openxmlformats.org/officeDocument/2006/relationships" r:id="rId1"/>
          <a:extLst>
            <a:ext uri="{FF2B5EF4-FFF2-40B4-BE49-F238E27FC236}">
              <a16:creationId xmlns:a16="http://schemas.microsoft.com/office/drawing/2014/main" id="{85CF4F64-3C6E-9249-8829-922A77443FA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 name="Flèche gauche 1">
          <a:hlinkClick xmlns:r="http://schemas.openxmlformats.org/officeDocument/2006/relationships" r:id="rId1"/>
          <a:extLst>
            <a:ext uri="{FF2B5EF4-FFF2-40B4-BE49-F238E27FC236}">
              <a16:creationId xmlns:a16="http://schemas.microsoft.com/office/drawing/2014/main" id="{D7E9D4CA-AC91-654C-8A88-77622A73FEA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3" name="Flèche gauche 1">
          <a:hlinkClick xmlns:r="http://schemas.openxmlformats.org/officeDocument/2006/relationships" r:id="rId2"/>
          <a:extLst>
            <a:ext uri="{FF2B5EF4-FFF2-40B4-BE49-F238E27FC236}">
              <a16:creationId xmlns:a16="http://schemas.microsoft.com/office/drawing/2014/main" id="{FAF48748-BD01-EC4F-849B-5412A5808CD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4" name="Flèche gauche 1">
          <a:hlinkClick xmlns:r="http://schemas.openxmlformats.org/officeDocument/2006/relationships" r:id="rId1"/>
          <a:extLst>
            <a:ext uri="{FF2B5EF4-FFF2-40B4-BE49-F238E27FC236}">
              <a16:creationId xmlns:a16="http://schemas.microsoft.com/office/drawing/2014/main" id="{A822E29D-43CC-834F-8299-B2CA1D5FFAC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5" name="Flèche gauche 1">
          <a:hlinkClick xmlns:r="http://schemas.openxmlformats.org/officeDocument/2006/relationships" r:id="rId1"/>
          <a:extLst>
            <a:ext uri="{FF2B5EF4-FFF2-40B4-BE49-F238E27FC236}">
              <a16:creationId xmlns:a16="http://schemas.microsoft.com/office/drawing/2014/main" id="{A9859522-A717-2B45-B580-74C78460E85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6" name="Flèche gauche 1">
          <a:hlinkClick xmlns:r="http://schemas.openxmlformats.org/officeDocument/2006/relationships" r:id="rId1"/>
          <a:extLst>
            <a:ext uri="{FF2B5EF4-FFF2-40B4-BE49-F238E27FC236}">
              <a16:creationId xmlns:a16="http://schemas.microsoft.com/office/drawing/2014/main" id="{D4F5E505-67E6-CD42-A7ED-EC600969409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7" name="Flèche gauche 1">
          <a:hlinkClick xmlns:r="http://schemas.openxmlformats.org/officeDocument/2006/relationships" r:id="rId2"/>
          <a:extLst>
            <a:ext uri="{FF2B5EF4-FFF2-40B4-BE49-F238E27FC236}">
              <a16:creationId xmlns:a16="http://schemas.microsoft.com/office/drawing/2014/main" id="{BB08FE65-B17A-F74C-B120-79978CE12F2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8" name="Flèche gauche 1">
          <a:hlinkClick xmlns:r="http://schemas.openxmlformats.org/officeDocument/2006/relationships" r:id="rId1"/>
          <a:extLst>
            <a:ext uri="{FF2B5EF4-FFF2-40B4-BE49-F238E27FC236}">
              <a16:creationId xmlns:a16="http://schemas.microsoft.com/office/drawing/2014/main" id="{FE768E0F-7778-1F4A-A801-86E59162DF5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9" name="Flèche gauche 1">
          <a:hlinkClick xmlns:r="http://schemas.openxmlformats.org/officeDocument/2006/relationships" r:id="rId1"/>
          <a:extLst>
            <a:ext uri="{FF2B5EF4-FFF2-40B4-BE49-F238E27FC236}">
              <a16:creationId xmlns:a16="http://schemas.microsoft.com/office/drawing/2014/main" id="{F57A3E72-6E94-394E-800B-BA1E710C3F7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0" name="Flèche gauche 1">
          <a:hlinkClick xmlns:r="http://schemas.openxmlformats.org/officeDocument/2006/relationships" r:id="rId1"/>
          <a:extLst>
            <a:ext uri="{FF2B5EF4-FFF2-40B4-BE49-F238E27FC236}">
              <a16:creationId xmlns:a16="http://schemas.microsoft.com/office/drawing/2014/main" id="{E739B9EA-1119-A342-98BA-D68B62CC35D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1" name="Flèche gauche 1">
          <a:hlinkClick xmlns:r="http://schemas.openxmlformats.org/officeDocument/2006/relationships" r:id="rId2"/>
          <a:extLst>
            <a:ext uri="{FF2B5EF4-FFF2-40B4-BE49-F238E27FC236}">
              <a16:creationId xmlns:a16="http://schemas.microsoft.com/office/drawing/2014/main" id="{A2CCDB17-8891-FA49-8BA4-515A937BD00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2" name="Flèche gauche 1">
          <a:hlinkClick xmlns:r="http://schemas.openxmlformats.org/officeDocument/2006/relationships" r:id="rId1"/>
          <a:extLst>
            <a:ext uri="{FF2B5EF4-FFF2-40B4-BE49-F238E27FC236}">
              <a16:creationId xmlns:a16="http://schemas.microsoft.com/office/drawing/2014/main" id="{E5482290-3602-2044-92EB-610E213E5B9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3" name="Flèche gauche 1">
          <a:hlinkClick xmlns:r="http://schemas.openxmlformats.org/officeDocument/2006/relationships" r:id="rId1"/>
          <a:extLst>
            <a:ext uri="{FF2B5EF4-FFF2-40B4-BE49-F238E27FC236}">
              <a16:creationId xmlns:a16="http://schemas.microsoft.com/office/drawing/2014/main" id="{5F056EDA-CA71-C348-9879-B35A4AE9102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4" name="Flèche gauche 1">
          <a:hlinkClick xmlns:r="http://schemas.openxmlformats.org/officeDocument/2006/relationships" r:id="rId1"/>
          <a:extLst>
            <a:ext uri="{FF2B5EF4-FFF2-40B4-BE49-F238E27FC236}">
              <a16:creationId xmlns:a16="http://schemas.microsoft.com/office/drawing/2014/main" id="{1C4592A1-A3ED-724A-B1FF-27CF4BD2FDC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5" name="Flèche gauche 1">
          <a:hlinkClick xmlns:r="http://schemas.openxmlformats.org/officeDocument/2006/relationships" r:id="rId2"/>
          <a:extLst>
            <a:ext uri="{FF2B5EF4-FFF2-40B4-BE49-F238E27FC236}">
              <a16:creationId xmlns:a16="http://schemas.microsoft.com/office/drawing/2014/main" id="{6E4B0F95-4DB5-104E-8049-9B25BB6A45F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6" name="Flèche gauche 1">
          <a:hlinkClick xmlns:r="http://schemas.openxmlformats.org/officeDocument/2006/relationships" r:id="rId1"/>
          <a:extLst>
            <a:ext uri="{FF2B5EF4-FFF2-40B4-BE49-F238E27FC236}">
              <a16:creationId xmlns:a16="http://schemas.microsoft.com/office/drawing/2014/main" id="{A81F2B7E-7F1F-CE41-B4CD-E311EEF4A9E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7" name="Flèche gauche 1">
          <a:hlinkClick xmlns:r="http://schemas.openxmlformats.org/officeDocument/2006/relationships" r:id="rId1"/>
          <a:extLst>
            <a:ext uri="{FF2B5EF4-FFF2-40B4-BE49-F238E27FC236}">
              <a16:creationId xmlns:a16="http://schemas.microsoft.com/office/drawing/2014/main" id="{60F065E2-D6EF-DE4E-95A0-10C995FFD57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8" name="Flèche gauche 1">
          <a:hlinkClick xmlns:r="http://schemas.openxmlformats.org/officeDocument/2006/relationships" r:id="rId1"/>
          <a:extLst>
            <a:ext uri="{FF2B5EF4-FFF2-40B4-BE49-F238E27FC236}">
              <a16:creationId xmlns:a16="http://schemas.microsoft.com/office/drawing/2014/main" id="{D97BDC25-F425-1046-A6DA-2BFE561D275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9" name="Flèche gauche 1">
          <a:hlinkClick xmlns:r="http://schemas.openxmlformats.org/officeDocument/2006/relationships" r:id="rId2"/>
          <a:extLst>
            <a:ext uri="{FF2B5EF4-FFF2-40B4-BE49-F238E27FC236}">
              <a16:creationId xmlns:a16="http://schemas.microsoft.com/office/drawing/2014/main" id="{CEA7330B-E910-6F4D-955C-FF099205F17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0" name="Flèche gauche 1">
          <a:hlinkClick xmlns:r="http://schemas.openxmlformats.org/officeDocument/2006/relationships" r:id="rId1"/>
          <a:extLst>
            <a:ext uri="{FF2B5EF4-FFF2-40B4-BE49-F238E27FC236}">
              <a16:creationId xmlns:a16="http://schemas.microsoft.com/office/drawing/2014/main" id="{70D46F77-7C34-BE4A-B0E4-63F783EF2EA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1" name="Flèche gauche 1">
          <a:hlinkClick xmlns:r="http://schemas.openxmlformats.org/officeDocument/2006/relationships" r:id="rId1"/>
          <a:extLst>
            <a:ext uri="{FF2B5EF4-FFF2-40B4-BE49-F238E27FC236}">
              <a16:creationId xmlns:a16="http://schemas.microsoft.com/office/drawing/2014/main" id="{8256CEC5-900A-9A47-B008-A4835B9C628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2" name="Flèche gauche 1">
          <a:hlinkClick xmlns:r="http://schemas.openxmlformats.org/officeDocument/2006/relationships" r:id="rId1"/>
          <a:extLst>
            <a:ext uri="{FF2B5EF4-FFF2-40B4-BE49-F238E27FC236}">
              <a16:creationId xmlns:a16="http://schemas.microsoft.com/office/drawing/2014/main" id="{62816F51-7F77-4A40-BC03-0B0BA4077A3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3" name="Flèche gauche 1">
          <a:hlinkClick xmlns:r="http://schemas.openxmlformats.org/officeDocument/2006/relationships" r:id="rId2"/>
          <a:extLst>
            <a:ext uri="{FF2B5EF4-FFF2-40B4-BE49-F238E27FC236}">
              <a16:creationId xmlns:a16="http://schemas.microsoft.com/office/drawing/2014/main" id="{5BDBF8F9-5B7B-DA4C-B581-C9CD57C1FF9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4" name="Flèche gauche 1">
          <a:hlinkClick xmlns:r="http://schemas.openxmlformats.org/officeDocument/2006/relationships" r:id="rId1"/>
          <a:extLst>
            <a:ext uri="{FF2B5EF4-FFF2-40B4-BE49-F238E27FC236}">
              <a16:creationId xmlns:a16="http://schemas.microsoft.com/office/drawing/2014/main" id="{7741E843-FC7B-7941-8A5B-5540B88ED7D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5" name="Flèche gauche 1">
          <a:hlinkClick xmlns:r="http://schemas.openxmlformats.org/officeDocument/2006/relationships" r:id="rId1"/>
          <a:extLst>
            <a:ext uri="{FF2B5EF4-FFF2-40B4-BE49-F238E27FC236}">
              <a16:creationId xmlns:a16="http://schemas.microsoft.com/office/drawing/2014/main" id="{B142A934-53D5-5747-89DA-65057498E8A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6" name="Flèche gauche 1">
          <a:hlinkClick xmlns:r="http://schemas.openxmlformats.org/officeDocument/2006/relationships" r:id="rId1"/>
          <a:extLst>
            <a:ext uri="{FF2B5EF4-FFF2-40B4-BE49-F238E27FC236}">
              <a16:creationId xmlns:a16="http://schemas.microsoft.com/office/drawing/2014/main" id="{1F4EAAE9-69CA-B94F-AED1-655C8F62E7F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7" name="Flèche gauche 1">
          <a:hlinkClick xmlns:r="http://schemas.openxmlformats.org/officeDocument/2006/relationships" r:id="rId2"/>
          <a:extLst>
            <a:ext uri="{FF2B5EF4-FFF2-40B4-BE49-F238E27FC236}">
              <a16:creationId xmlns:a16="http://schemas.microsoft.com/office/drawing/2014/main" id="{5749D60D-8B54-9743-854B-FE4F46A589F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8" name="Flèche gauche 1">
          <a:hlinkClick xmlns:r="http://schemas.openxmlformats.org/officeDocument/2006/relationships" r:id="rId1"/>
          <a:extLst>
            <a:ext uri="{FF2B5EF4-FFF2-40B4-BE49-F238E27FC236}">
              <a16:creationId xmlns:a16="http://schemas.microsoft.com/office/drawing/2014/main" id="{CCC66872-8FF1-1A4B-A34A-9D30667459F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9" name="Flèche gauche 1">
          <a:hlinkClick xmlns:r="http://schemas.openxmlformats.org/officeDocument/2006/relationships" r:id="rId1"/>
          <a:extLst>
            <a:ext uri="{FF2B5EF4-FFF2-40B4-BE49-F238E27FC236}">
              <a16:creationId xmlns:a16="http://schemas.microsoft.com/office/drawing/2014/main" id="{80C2A640-089D-C74B-98CC-5C687292E14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0" name="Flèche gauche 1">
          <a:hlinkClick xmlns:r="http://schemas.openxmlformats.org/officeDocument/2006/relationships" r:id="rId1"/>
          <a:extLst>
            <a:ext uri="{FF2B5EF4-FFF2-40B4-BE49-F238E27FC236}">
              <a16:creationId xmlns:a16="http://schemas.microsoft.com/office/drawing/2014/main" id="{B86AE85C-1D45-784B-91AF-19AFF277383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1" name="Flèche gauche 1">
          <a:hlinkClick xmlns:r="http://schemas.openxmlformats.org/officeDocument/2006/relationships" r:id="rId2"/>
          <a:extLst>
            <a:ext uri="{FF2B5EF4-FFF2-40B4-BE49-F238E27FC236}">
              <a16:creationId xmlns:a16="http://schemas.microsoft.com/office/drawing/2014/main" id="{F8159AC9-6CE0-244D-A113-88144259F49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2" name="Flèche gauche 1">
          <a:hlinkClick xmlns:r="http://schemas.openxmlformats.org/officeDocument/2006/relationships" r:id="rId1"/>
          <a:extLst>
            <a:ext uri="{FF2B5EF4-FFF2-40B4-BE49-F238E27FC236}">
              <a16:creationId xmlns:a16="http://schemas.microsoft.com/office/drawing/2014/main" id="{6B2E4EC7-B6CB-A944-94B0-FCCE7DF20AE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3" name="Flèche gauche 1">
          <a:hlinkClick xmlns:r="http://schemas.openxmlformats.org/officeDocument/2006/relationships" r:id="rId1"/>
          <a:extLst>
            <a:ext uri="{FF2B5EF4-FFF2-40B4-BE49-F238E27FC236}">
              <a16:creationId xmlns:a16="http://schemas.microsoft.com/office/drawing/2014/main" id="{21869112-6D64-494D-AEDE-684CEA3AFD9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4" name="Flèche gauche 1">
          <a:hlinkClick xmlns:r="http://schemas.openxmlformats.org/officeDocument/2006/relationships" r:id="rId1"/>
          <a:extLst>
            <a:ext uri="{FF2B5EF4-FFF2-40B4-BE49-F238E27FC236}">
              <a16:creationId xmlns:a16="http://schemas.microsoft.com/office/drawing/2014/main" id="{87D6B87A-AFD5-EA4C-8F75-F52E649D732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5" name="Flèche gauche 1">
          <a:hlinkClick xmlns:r="http://schemas.openxmlformats.org/officeDocument/2006/relationships" r:id="rId2"/>
          <a:extLst>
            <a:ext uri="{FF2B5EF4-FFF2-40B4-BE49-F238E27FC236}">
              <a16:creationId xmlns:a16="http://schemas.microsoft.com/office/drawing/2014/main" id="{645F37EB-4386-3848-B122-D4E1F9FA92E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6" name="Flèche gauche 1">
          <a:hlinkClick xmlns:r="http://schemas.openxmlformats.org/officeDocument/2006/relationships" r:id="rId1"/>
          <a:extLst>
            <a:ext uri="{FF2B5EF4-FFF2-40B4-BE49-F238E27FC236}">
              <a16:creationId xmlns:a16="http://schemas.microsoft.com/office/drawing/2014/main" id="{6AB88855-41EF-9B44-BE6C-327E2E79B36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7" name="Flèche gauche 1">
          <a:hlinkClick xmlns:r="http://schemas.openxmlformats.org/officeDocument/2006/relationships" r:id="rId1"/>
          <a:extLst>
            <a:ext uri="{FF2B5EF4-FFF2-40B4-BE49-F238E27FC236}">
              <a16:creationId xmlns:a16="http://schemas.microsoft.com/office/drawing/2014/main" id="{BE111BE0-8D0D-594E-8DA7-FC833CB6D79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8" name="Flèche gauche 1">
          <a:hlinkClick xmlns:r="http://schemas.openxmlformats.org/officeDocument/2006/relationships" r:id="rId1"/>
          <a:extLst>
            <a:ext uri="{FF2B5EF4-FFF2-40B4-BE49-F238E27FC236}">
              <a16:creationId xmlns:a16="http://schemas.microsoft.com/office/drawing/2014/main" id="{2F6F36E2-C05F-5242-A6FE-10B3FFAFC7E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9" name="Flèche gauche 1">
          <a:hlinkClick xmlns:r="http://schemas.openxmlformats.org/officeDocument/2006/relationships" r:id="rId2"/>
          <a:extLst>
            <a:ext uri="{FF2B5EF4-FFF2-40B4-BE49-F238E27FC236}">
              <a16:creationId xmlns:a16="http://schemas.microsoft.com/office/drawing/2014/main" id="{EAB97FE6-0EB4-7B49-8FA7-53F1810159B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0" name="Flèche gauche 1">
          <a:hlinkClick xmlns:r="http://schemas.openxmlformats.org/officeDocument/2006/relationships" r:id="rId1"/>
          <a:extLst>
            <a:ext uri="{FF2B5EF4-FFF2-40B4-BE49-F238E27FC236}">
              <a16:creationId xmlns:a16="http://schemas.microsoft.com/office/drawing/2014/main" id="{CEEEFFCB-293B-9E44-A11F-88B51352437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1" name="Flèche gauche 1">
          <a:hlinkClick xmlns:r="http://schemas.openxmlformats.org/officeDocument/2006/relationships" r:id="rId1"/>
          <a:extLst>
            <a:ext uri="{FF2B5EF4-FFF2-40B4-BE49-F238E27FC236}">
              <a16:creationId xmlns:a16="http://schemas.microsoft.com/office/drawing/2014/main" id="{2558C80A-9697-6A44-A00C-50E42B5A9E0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2" name="Flèche gauche 1">
          <a:hlinkClick xmlns:r="http://schemas.openxmlformats.org/officeDocument/2006/relationships" r:id="rId1"/>
          <a:extLst>
            <a:ext uri="{FF2B5EF4-FFF2-40B4-BE49-F238E27FC236}">
              <a16:creationId xmlns:a16="http://schemas.microsoft.com/office/drawing/2014/main" id="{CAFA6F52-C2A0-A146-9F72-93831564D95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3" name="Flèche gauche 1">
          <a:hlinkClick xmlns:r="http://schemas.openxmlformats.org/officeDocument/2006/relationships" r:id="rId2"/>
          <a:extLst>
            <a:ext uri="{FF2B5EF4-FFF2-40B4-BE49-F238E27FC236}">
              <a16:creationId xmlns:a16="http://schemas.microsoft.com/office/drawing/2014/main" id="{1E4D31AC-A482-DB42-8A42-AD25510F1CC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4" name="Flèche gauche 1">
          <a:hlinkClick xmlns:r="http://schemas.openxmlformats.org/officeDocument/2006/relationships" r:id="rId1"/>
          <a:extLst>
            <a:ext uri="{FF2B5EF4-FFF2-40B4-BE49-F238E27FC236}">
              <a16:creationId xmlns:a16="http://schemas.microsoft.com/office/drawing/2014/main" id="{18FBA85E-CD03-8243-B6C8-39B67FC70D4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5" name="Flèche gauche 1">
          <a:hlinkClick xmlns:r="http://schemas.openxmlformats.org/officeDocument/2006/relationships" r:id="rId1"/>
          <a:extLst>
            <a:ext uri="{FF2B5EF4-FFF2-40B4-BE49-F238E27FC236}">
              <a16:creationId xmlns:a16="http://schemas.microsoft.com/office/drawing/2014/main" id="{8D4A245F-8336-6E4A-AB6F-46404119B28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6" name="Flèche gauche 1">
          <a:hlinkClick xmlns:r="http://schemas.openxmlformats.org/officeDocument/2006/relationships" r:id="rId1"/>
          <a:extLst>
            <a:ext uri="{FF2B5EF4-FFF2-40B4-BE49-F238E27FC236}">
              <a16:creationId xmlns:a16="http://schemas.microsoft.com/office/drawing/2014/main" id="{6E2F380B-3EC5-0243-AEEC-7108A96E58E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7" name="Flèche gauche 1">
          <a:hlinkClick xmlns:r="http://schemas.openxmlformats.org/officeDocument/2006/relationships" r:id="rId2"/>
          <a:extLst>
            <a:ext uri="{FF2B5EF4-FFF2-40B4-BE49-F238E27FC236}">
              <a16:creationId xmlns:a16="http://schemas.microsoft.com/office/drawing/2014/main" id="{E89A4B88-61FF-544B-AA62-0368617EC49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8" name="Flèche gauche 1">
          <a:hlinkClick xmlns:r="http://schemas.openxmlformats.org/officeDocument/2006/relationships" r:id="rId1"/>
          <a:extLst>
            <a:ext uri="{FF2B5EF4-FFF2-40B4-BE49-F238E27FC236}">
              <a16:creationId xmlns:a16="http://schemas.microsoft.com/office/drawing/2014/main" id="{6193A507-46B1-6448-9DD2-6674ECE6829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9" name="Flèche gauche 1">
          <a:hlinkClick xmlns:r="http://schemas.openxmlformats.org/officeDocument/2006/relationships" r:id="rId1"/>
          <a:extLst>
            <a:ext uri="{FF2B5EF4-FFF2-40B4-BE49-F238E27FC236}">
              <a16:creationId xmlns:a16="http://schemas.microsoft.com/office/drawing/2014/main" id="{43BE52AD-43D9-C641-8806-4D6328B0E5A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0" name="Flèche gauche 1">
          <a:hlinkClick xmlns:r="http://schemas.openxmlformats.org/officeDocument/2006/relationships" r:id="rId1"/>
          <a:extLst>
            <a:ext uri="{FF2B5EF4-FFF2-40B4-BE49-F238E27FC236}">
              <a16:creationId xmlns:a16="http://schemas.microsoft.com/office/drawing/2014/main" id="{11A52212-F81C-8646-BCEE-C5AA9B09804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1" name="Flèche gauche 1">
          <a:hlinkClick xmlns:r="http://schemas.openxmlformats.org/officeDocument/2006/relationships" r:id="rId2"/>
          <a:extLst>
            <a:ext uri="{FF2B5EF4-FFF2-40B4-BE49-F238E27FC236}">
              <a16:creationId xmlns:a16="http://schemas.microsoft.com/office/drawing/2014/main" id="{46CD8567-FDF1-8448-8DCA-34C5683B7EB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2" name="Flèche gauche 1">
          <a:hlinkClick xmlns:r="http://schemas.openxmlformats.org/officeDocument/2006/relationships" r:id="rId1"/>
          <a:extLst>
            <a:ext uri="{FF2B5EF4-FFF2-40B4-BE49-F238E27FC236}">
              <a16:creationId xmlns:a16="http://schemas.microsoft.com/office/drawing/2014/main" id="{1FA87FBC-C57C-A443-8179-C0DA05CA991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3" name="Flèche gauche 1">
          <a:hlinkClick xmlns:r="http://schemas.openxmlformats.org/officeDocument/2006/relationships" r:id="rId1"/>
          <a:extLst>
            <a:ext uri="{FF2B5EF4-FFF2-40B4-BE49-F238E27FC236}">
              <a16:creationId xmlns:a16="http://schemas.microsoft.com/office/drawing/2014/main" id="{0EE8657F-7BBF-674E-8570-9F023F79525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4" name="Flèche gauche 1">
          <a:hlinkClick xmlns:r="http://schemas.openxmlformats.org/officeDocument/2006/relationships" r:id="rId1"/>
          <a:extLst>
            <a:ext uri="{FF2B5EF4-FFF2-40B4-BE49-F238E27FC236}">
              <a16:creationId xmlns:a16="http://schemas.microsoft.com/office/drawing/2014/main" id="{87E6F139-2441-964B-B0FA-FC85D57F28D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5" name="Flèche gauche 1">
          <a:hlinkClick xmlns:r="http://schemas.openxmlformats.org/officeDocument/2006/relationships" r:id="rId2"/>
          <a:extLst>
            <a:ext uri="{FF2B5EF4-FFF2-40B4-BE49-F238E27FC236}">
              <a16:creationId xmlns:a16="http://schemas.microsoft.com/office/drawing/2014/main" id="{9EAD3368-D6BC-AF4A-8CCA-A5BF5415915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editAs="oneCell">
    <xdr:from>
      <xdr:col>1</xdr:col>
      <xdr:colOff>6724</xdr:colOff>
      <xdr:row>187</xdr:row>
      <xdr:rowOff>127000</xdr:rowOff>
    </xdr:from>
    <xdr:to>
      <xdr:col>3</xdr:col>
      <xdr:colOff>1091837</xdr:colOff>
      <xdr:row>211</xdr:row>
      <xdr:rowOff>13144</xdr:rowOff>
    </xdr:to>
    <xdr:pic>
      <xdr:nvPicPr>
        <xdr:cNvPr id="66" name="Image 65">
          <a:extLst>
            <a:ext uri="{FF2B5EF4-FFF2-40B4-BE49-F238E27FC236}">
              <a16:creationId xmlns:a16="http://schemas.microsoft.com/office/drawing/2014/main" id="{CEE13ED5-BC33-D945-9FE3-638825168D83}"/>
            </a:ext>
          </a:extLst>
        </xdr:cNvPr>
        <xdr:cNvPicPr>
          <a:picLocks noChangeAspect="1"/>
        </xdr:cNvPicPr>
      </xdr:nvPicPr>
      <xdr:blipFill>
        <a:blip xmlns:r="http://schemas.openxmlformats.org/officeDocument/2006/relationships" r:embed="rId3"/>
        <a:stretch>
          <a:fillRect/>
        </a:stretch>
      </xdr:blipFill>
      <xdr:spPr>
        <a:xfrm>
          <a:off x="895724" y="9880600"/>
          <a:ext cx="7790713" cy="41533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60503</xdr:colOff>
      <xdr:row>269</xdr:row>
      <xdr:rowOff>88753</xdr:rowOff>
    </xdr:from>
    <xdr:to>
      <xdr:col>4</xdr:col>
      <xdr:colOff>1851186</xdr:colOff>
      <xdr:row>288</xdr:row>
      <xdr:rowOff>65690</xdr:rowOff>
    </xdr:to>
    <xdr:graphicFrame macro="">
      <xdr:nvGraphicFramePr>
        <xdr:cNvPr id="4" name="Graphique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366295</xdr:colOff>
      <xdr:row>366</xdr:row>
      <xdr:rowOff>356</xdr:rowOff>
    </xdr:from>
    <xdr:to>
      <xdr:col>6</xdr:col>
      <xdr:colOff>862922</xdr:colOff>
      <xdr:row>379</xdr:row>
      <xdr:rowOff>32959</xdr:rowOff>
    </xdr:to>
    <xdr:graphicFrame macro="">
      <xdr:nvGraphicFramePr>
        <xdr:cNvPr id="12" name="Graphique 11">
          <a:extLst>
            <a:ext uri="{FF2B5EF4-FFF2-40B4-BE49-F238E27FC236}">
              <a16:creationId xmlns:a16="http://schemas.microsoft.com/office/drawing/2014/main" id="{C0EA39A7-205E-4360-E582-535B1EDB06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2214033</xdr:colOff>
      <xdr:row>382</xdr:row>
      <xdr:rowOff>84667</xdr:rowOff>
    </xdr:from>
    <xdr:to>
      <xdr:col>6</xdr:col>
      <xdr:colOff>762001</xdr:colOff>
      <xdr:row>395</xdr:row>
      <xdr:rowOff>186266</xdr:rowOff>
    </xdr:to>
    <xdr:graphicFrame macro="">
      <xdr:nvGraphicFramePr>
        <xdr:cNvPr id="2" name="Graphique 1">
          <a:extLst>
            <a:ext uri="{FF2B5EF4-FFF2-40B4-BE49-F238E27FC236}">
              <a16:creationId xmlns:a16="http://schemas.microsoft.com/office/drawing/2014/main" id="{E19CE097-F717-EA3A-D8E8-5559266424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809625</xdr:colOff>
      <xdr:row>189</xdr:row>
      <xdr:rowOff>226578</xdr:rowOff>
    </xdr:from>
    <xdr:to>
      <xdr:col>3</xdr:col>
      <xdr:colOff>603250</xdr:colOff>
      <xdr:row>203</xdr:row>
      <xdr:rowOff>323273</xdr:rowOff>
    </xdr:to>
    <xdr:graphicFrame macro="">
      <xdr:nvGraphicFramePr>
        <xdr:cNvPr id="2" name="Graphique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21165</xdr:colOff>
      <xdr:row>222</xdr:row>
      <xdr:rowOff>317500</xdr:rowOff>
    </xdr:from>
    <xdr:to>
      <xdr:col>2</xdr:col>
      <xdr:colOff>1981200</xdr:colOff>
      <xdr:row>237</xdr:row>
      <xdr:rowOff>67733</xdr:rowOff>
    </xdr:to>
    <xdr:graphicFrame macro="">
      <xdr:nvGraphicFramePr>
        <xdr:cNvPr id="10" name="Graphique 9">
          <a:extLst>
            <a:ext uri="{FF2B5EF4-FFF2-40B4-BE49-F238E27FC236}">
              <a16:creationId xmlns:a16="http://schemas.microsoft.com/office/drawing/2014/main" id="{C93847F6-9116-D1C9-3BB0-6E5ED269CA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223</xdr:row>
      <xdr:rowOff>0</xdr:rowOff>
    </xdr:from>
    <xdr:to>
      <xdr:col>4</xdr:col>
      <xdr:colOff>2890146</xdr:colOff>
      <xdr:row>242</xdr:row>
      <xdr:rowOff>65438</xdr:rowOff>
    </xdr:to>
    <xdr:graphicFrame macro="">
      <xdr:nvGraphicFramePr>
        <xdr:cNvPr id="3" name="Graphique 2">
          <a:extLst>
            <a:ext uri="{FF2B5EF4-FFF2-40B4-BE49-F238E27FC236}">
              <a16:creationId xmlns:a16="http://schemas.microsoft.com/office/drawing/2014/main" id="{9AB1D709-C025-FC48-BE6B-CF4ACC8FE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101600</xdr:colOff>
      <xdr:row>336</xdr:row>
      <xdr:rowOff>177800</xdr:rowOff>
    </xdr:from>
    <xdr:to>
      <xdr:col>9</xdr:col>
      <xdr:colOff>406399</xdr:colOff>
      <xdr:row>349</xdr:row>
      <xdr:rowOff>152400</xdr:rowOff>
    </xdr:to>
    <xdr:graphicFrame macro="">
      <xdr:nvGraphicFramePr>
        <xdr:cNvPr id="2" name="Graphique 1">
          <a:extLst>
            <a:ext uri="{FF2B5EF4-FFF2-40B4-BE49-F238E27FC236}">
              <a16:creationId xmlns:a16="http://schemas.microsoft.com/office/drawing/2014/main" id="{32119231-6E11-0CDB-3BE7-C1424CBDAB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1414518</xdr:colOff>
      <xdr:row>401</xdr:row>
      <xdr:rowOff>51676</xdr:rowOff>
    </xdr:from>
    <xdr:to>
      <xdr:col>4</xdr:col>
      <xdr:colOff>1804277</xdr:colOff>
      <xdr:row>415</xdr:row>
      <xdr:rowOff>35910</xdr:rowOff>
    </xdr:to>
    <xdr:graphicFrame macro="">
      <xdr:nvGraphicFramePr>
        <xdr:cNvPr id="4" name="Graphique 3">
          <a:extLst>
            <a:ext uri="{FF2B5EF4-FFF2-40B4-BE49-F238E27FC236}">
              <a16:creationId xmlns:a16="http://schemas.microsoft.com/office/drawing/2014/main" id="{20FF785D-A820-0569-1182-56E4916056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56931</xdr:colOff>
      <xdr:row>401</xdr:row>
      <xdr:rowOff>29779</xdr:rowOff>
    </xdr:from>
    <xdr:to>
      <xdr:col>2</xdr:col>
      <xdr:colOff>1191172</xdr:colOff>
      <xdr:row>415</xdr:row>
      <xdr:rowOff>14013</xdr:rowOff>
    </xdr:to>
    <xdr:graphicFrame macro="">
      <xdr:nvGraphicFramePr>
        <xdr:cNvPr id="5" name="Graphique 4">
          <a:extLst>
            <a:ext uri="{FF2B5EF4-FFF2-40B4-BE49-F238E27FC236}">
              <a16:creationId xmlns:a16="http://schemas.microsoft.com/office/drawing/2014/main" id="{85F27CB0-3A55-861E-606F-CAE7523E2B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120316</xdr:colOff>
      <xdr:row>426</xdr:row>
      <xdr:rowOff>50799</xdr:rowOff>
    </xdr:from>
    <xdr:to>
      <xdr:col>3</xdr:col>
      <xdr:colOff>625927</xdr:colOff>
      <xdr:row>439</xdr:row>
      <xdr:rowOff>3626</xdr:rowOff>
    </xdr:to>
    <xdr:graphicFrame macro="">
      <xdr:nvGraphicFramePr>
        <xdr:cNvPr id="3" name="Graphique 2">
          <a:extLst>
            <a:ext uri="{FF2B5EF4-FFF2-40B4-BE49-F238E27FC236}">
              <a16:creationId xmlns:a16="http://schemas.microsoft.com/office/drawing/2014/main" id="{1086799F-3A09-FE09-3F39-FD8E2FAB49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534736</xdr:colOff>
      <xdr:row>424</xdr:row>
      <xdr:rowOff>111403</xdr:rowOff>
    </xdr:from>
    <xdr:to>
      <xdr:col>7</xdr:col>
      <xdr:colOff>704069</xdr:colOff>
      <xdr:row>439</xdr:row>
      <xdr:rowOff>45897</xdr:rowOff>
    </xdr:to>
    <xdr:graphicFrame macro="">
      <xdr:nvGraphicFramePr>
        <xdr:cNvPr id="6" name="Graphique 5">
          <a:extLst>
            <a:ext uri="{FF2B5EF4-FFF2-40B4-BE49-F238E27FC236}">
              <a16:creationId xmlns:a16="http://schemas.microsoft.com/office/drawing/2014/main" id="{7A684156-E2C9-AB42-BEE7-82C82F4EE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846667</xdr:colOff>
      <xdr:row>449</xdr:row>
      <xdr:rowOff>84667</xdr:rowOff>
    </xdr:from>
    <xdr:to>
      <xdr:col>2</xdr:col>
      <xdr:colOff>1004122</xdr:colOff>
      <xdr:row>463</xdr:row>
      <xdr:rowOff>66227</xdr:rowOff>
    </xdr:to>
    <xdr:graphicFrame macro="">
      <xdr:nvGraphicFramePr>
        <xdr:cNvPr id="9" name="Graphique 8">
          <a:extLst>
            <a:ext uri="{FF2B5EF4-FFF2-40B4-BE49-F238E27FC236}">
              <a16:creationId xmlns:a16="http://schemas.microsoft.com/office/drawing/2014/main" id="{6BCF24C3-273B-8646-A68A-A22F3F3CE7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1224235</xdr:colOff>
      <xdr:row>449</xdr:row>
      <xdr:rowOff>45766</xdr:rowOff>
    </xdr:from>
    <xdr:to>
      <xdr:col>4</xdr:col>
      <xdr:colOff>1587636</xdr:colOff>
      <xdr:row>463</xdr:row>
      <xdr:rowOff>27326</xdr:rowOff>
    </xdr:to>
    <xdr:graphicFrame macro="">
      <xdr:nvGraphicFramePr>
        <xdr:cNvPr id="10" name="Graphique 9">
          <a:extLst>
            <a:ext uri="{FF2B5EF4-FFF2-40B4-BE49-F238E27FC236}">
              <a16:creationId xmlns:a16="http://schemas.microsoft.com/office/drawing/2014/main" id="{454A2A8A-7BE8-3342-9286-29AF334D1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12661</xdr:colOff>
      <xdr:row>475</xdr:row>
      <xdr:rowOff>89725</xdr:rowOff>
    </xdr:from>
    <xdr:to>
      <xdr:col>4</xdr:col>
      <xdr:colOff>403411</xdr:colOff>
      <xdr:row>489</xdr:row>
      <xdr:rowOff>209176</xdr:rowOff>
    </xdr:to>
    <xdr:graphicFrame macro="">
      <xdr:nvGraphicFramePr>
        <xdr:cNvPr id="12" name="Graphique 11">
          <a:extLst>
            <a:ext uri="{FF2B5EF4-FFF2-40B4-BE49-F238E27FC236}">
              <a16:creationId xmlns:a16="http://schemas.microsoft.com/office/drawing/2014/main" id="{0E4FAB08-0838-2732-7D83-E7CF5A3401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1490134</xdr:colOff>
      <xdr:row>483</xdr:row>
      <xdr:rowOff>8466</xdr:rowOff>
    </xdr:from>
    <xdr:to>
      <xdr:col>8</xdr:col>
      <xdr:colOff>982133</xdr:colOff>
      <xdr:row>501</xdr:row>
      <xdr:rowOff>186267</xdr:rowOff>
    </xdr:to>
    <xdr:graphicFrame macro="">
      <xdr:nvGraphicFramePr>
        <xdr:cNvPr id="11" name="Graphique 10">
          <a:extLst>
            <a:ext uri="{FF2B5EF4-FFF2-40B4-BE49-F238E27FC236}">
              <a16:creationId xmlns:a16="http://schemas.microsoft.com/office/drawing/2014/main" id="{EF7FDA67-29E5-3E0B-9D19-42C5BE18B6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399665</xdr:colOff>
      <xdr:row>489</xdr:row>
      <xdr:rowOff>33740</xdr:rowOff>
    </xdr:from>
    <xdr:to>
      <xdr:col>5</xdr:col>
      <xdr:colOff>1787771</xdr:colOff>
      <xdr:row>489</xdr:row>
      <xdr:rowOff>178543</xdr:rowOff>
    </xdr:to>
    <xdr:sp macro="" textlink="">
      <xdr:nvSpPr>
        <xdr:cNvPr id="13" name="Rectangle 12">
          <a:extLst>
            <a:ext uri="{FF2B5EF4-FFF2-40B4-BE49-F238E27FC236}">
              <a16:creationId xmlns:a16="http://schemas.microsoft.com/office/drawing/2014/main" id="{B727CBC2-B0AA-75DD-5A5C-0F23046F4D91}"/>
            </a:ext>
          </a:extLst>
        </xdr:cNvPr>
        <xdr:cNvSpPr/>
      </xdr:nvSpPr>
      <xdr:spPr>
        <a:xfrm rot="20043254">
          <a:off x="10899316" y="120265329"/>
          <a:ext cx="1388106" cy="14480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kern="1200"/>
        </a:p>
      </xdr:txBody>
    </xdr:sp>
    <xdr:clientData/>
  </xdr:twoCellAnchor>
  <xdr:twoCellAnchor>
    <xdr:from>
      <xdr:col>4</xdr:col>
      <xdr:colOff>1531973</xdr:colOff>
      <xdr:row>483</xdr:row>
      <xdr:rowOff>83003</xdr:rowOff>
    </xdr:from>
    <xdr:to>
      <xdr:col>5</xdr:col>
      <xdr:colOff>600075</xdr:colOff>
      <xdr:row>484</xdr:row>
      <xdr:rowOff>74356</xdr:rowOff>
    </xdr:to>
    <xdr:sp macro="" textlink="">
      <xdr:nvSpPr>
        <xdr:cNvPr id="14" name="Rectangle 13">
          <a:extLst>
            <a:ext uri="{FF2B5EF4-FFF2-40B4-BE49-F238E27FC236}">
              <a16:creationId xmlns:a16="http://schemas.microsoft.com/office/drawing/2014/main" id="{3C3ACE49-5458-E44E-AA24-50CE4E0F2435}"/>
            </a:ext>
          </a:extLst>
        </xdr:cNvPr>
        <xdr:cNvSpPr/>
      </xdr:nvSpPr>
      <xdr:spPr>
        <a:xfrm>
          <a:off x="10129873" y="119209003"/>
          <a:ext cx="973102" cy="19455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kern="1200"/>
        </a:p>
      </xdr:txBody>
    </xdr:sp>
    <xdr:clientData/>
  </xdr:twoCellAnchor>
  <xdr:twoCellAnchor>
    <xdr:from>
      <xdr:col>5</xdr:col>
      <xdr:colOff>1492250</xdr:colOff>
      <xdr:row>483</xdr:row>
      <xdr:rowOff>115807</xdr:rowOff>
    </xdr:from>
    <xdr:to>
      <xdr:col>8</xdr:col>
      <xdr:colOff>833120</xdr:colOff>
      <xdr:row>484</xdr:row>
      <xdr:rowOff>91440</xdr:rowOff>
    </xdr:to>
    <xdr:sp macro="" textlink="">
      <xdr:nvSpPr>
        <xdr:cNvPr id="15" name="Rectangle 14">
          <a:extLst>
            <a:ext uri="{FF2B5EF4-FFF2-40B4-BE49-F238E27FC236}">
              <a16:creationId xmlns:a16="http://schemas.microsoft.com/office/drawing/2014/main" id="{77D8AC74-6D84-3A4F-9E98-76B7A5EE825B}"/>
            </a:ext>
          </a:extLst>
        </xdr:cNvPr>
        <xdr:cNvSpPr/>
      </xdr:nvSpPr>
      <xdr:spPr>
        <a:xfrm>
          <a:off x="11995150" y="119241807"/>
          <a:ext cx="5055870" cy="17883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kern="1200"/>
        </a:p>
      </xdr:txBody>
    </xdr:sp>
    <xdr:clientData/>
  </xdr:twoCellAnchor>
  <xdr:twoCellAnchor>
    <xdr:from>
      <xdr:col>5</xdr:col>
      <xdr:colOff>528320</xdr:colOff>
      <xdr:row>488</xdr:row>
      <xdr:rowOff>162434</xdr:rowOff>
    </xdr:from>
    <xdr:to>
      <xdr:col>5</xdr:col>
      <xdr:colOff>1573161</xdr:colOff>
      <xdr:row>491</xdr:row>
      <xdr:rowOff>45612</xdr:rowOff>
    </xdr:to>
    <xdr:cxnSp macro="">
      <xdr:nvCxnSpPr>
        <xdr:cNvPr id="17" name="Connecteur droit 16">
          <a:extLst>
            <a:ext uri="{FF2B5EF4-FFF2-40B4-BE49-F238E27FC236}">
              <a16:creationId xmlns:a16="http://schemas.microsoft.com/office/drawing/2014/main" id="{EF0AEE5D-779B-0641-9B71-02EFC033AD90}"/>
            </a:ext>
          </a:extLst>
        </xdr:cNvPr>
        <xdr:cNvCxnSpPr>
          <a:cxnSpLocks/>
        </xdr:cNvCxnSpPr>
      </xdr:nvCxnSpPr>
      <xdr:spPr bwMode="auto">
        <a:xfrm flipV="1">
          <a:off x="11027971" y="120192201"/>
          <a:ext cx="1044841" cy="488644"/>
        </a:xfrm>
        <a:prstGeom prst="line">
          <a:avLst/>
        </a:prstGeom>
        <a:ln w="28575"/>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502541</xdr:colOff>
      <xdr:row>487</xdr:row>
      <xdr:rowOff>198150</xdr:rowOff>
    </xdr:from>
    <xdr:to>
      <xdr:col>5</xdr:col>
      <xdr:colOff>1564968</xdr:colOff>
      <xdr:row>490</xdr:row>
      <xdr:rowOff>95483</xdr:rowOff>
    </xdr:to>
    <xdr:cxnSp macro="">
      <xdr:nvCxnSpPr>
        <xdr:cNvPr id="20" name="Connecteur droit 19">
          <a:extLst>
            <a:ext uri="{FF2B5EF4-FFF2-40B4-BE49-F238E27FC236}">
              <a16:creationId xmlns:a16="http://schemas.microsoft.com/office/drawing/2014/main" id="{A0B917E4-CA28-9445-91B9-EBB251C6F69B}"/>
            </a:ext>
          </a:extLst>
        </xdr:cNvPr>
        <xdr:cNvCxnSpPr>
          <a:cxnSpLocks/>
        </xdr:cNvCxnSpPr>
      </xdr:nvCxnSpPr>
      <xdr:spPr bwMode="auto">
        <a:xfrm flipV="1">
          <a:off x="11002192" y="120026096"/>
          <a:ext cx="1062427" cy="502798"/>
        </a:xfrm>
        <a:prstGeom prst="line">
          <a:avLst/>
        </a:prstGeom>
        <a:ln w="28575"/>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2613522</xdr:colOff>
      <xdr:row>435</xdr:row>
      <xdr:rowOff>45366</xdr:rowOff>
    </xdr:from>
    <xdr:to>
      <xdr:col>1</xdr:col>
      <xdr:colOff>3087402</xdr:colOff>
      <xdr:row>436</xdr:row>
      <xdr:rowOff>114603</xdr:rowOff>
    </xdr:to>
    <xdr:sp macro="" textlink="">
      <xdr:nvSpPr>
        <xdr:cNvPr id="25" name="ZoneTexte 24">
          <a:extLst>
            <a:ext uri="{FF2B5EF4-FFF2-40B4-BE49-F238E27FC236}">
              <a16:creationId xmlns:a16="http://schemas.microsoft.com/office/drawing/2014/main" id="{912859CD-40C1-A25F-D9FF-286E84D5E141}"/>
            </a:ext>
          </a:extLst>
        </xdr:cNvPr>
        <xdr:cNvSpPr txBox="1"/>
      </xdr:nvSpPr>
      <xdr:spPr>
        <a:xfrm>
          <a:off x="3580635" y="109515115"/>
          <a:ext cx="473880" cy="271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kern="1200">
              <a:solidFill>
                <a:schemeClr val="accent2"/>
              </a:solidFill>
            </a:rPr>
            <a:t>x 2 </a:t>
          </a:r>
        </a:p>
      </xdr:txBody>
    </xdr:sp>
    <xdr:clientData/>
  </xdr:twoCellAnchor>
  <xdr:twoCellAnchor>
    <xdr:from>
      <xdr:col>1</xdr:col>
      <xdr:colOff>856712</xdr:colOff>
      <xdr:row>562</xdr:row>
      <xdr:rowOff>135180</xdr:rowOff>
    </xdr:from>
    <xdr:to>
      <xdr:col>2</xdr:col>
      <xdr:colOff>1984644</xdr:colOff>
      <xdr:row>576</xdr:row>
      <xdr:rowOff>166177</xdr:rowOff>
    </xdr:to>
    <xdr:graphicFrame macro="">
      <xdr:nvGraphicFramePr>
        <xdr:cNvPr id="7" name="Graphique 6">
          <a:extLst>
            <a:ext uri="{FF2B5EF4-FFF2-40B4-BE49-F238E27FC236}">
              <a16:creationId xmlns:a16="http://schemas.microsoft.com/office/drawing/2014/main" id="{0AE9EFF4-FE79-69C0-D86F-2570651FDC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2236069</xdr:colOff>
      <xdr:row>562</xdr:row>
      <xdr:rowOff>97692</xdr:rowOff>
    </xdr:from>
    <xdr:to>
      <xdr:col>5</xdr:col>
      <xdr:colOff>697739</xdr:colOff>
      <xdr:row>576</xdr:row>
      <xdr:rowOff>128690</xdr:rowOff>
    </xdr:to>
    <xdr:graphicFrame macro="">
      <xdr:nvGraphicFramePr>
        <xdr:cNvPr id="16" name="Graphique 15">
          <a:extLst>
            <a:ext uri="{FF2B5EF4-FFF2-40B4-BE49-F238E27FC236}">
              <a16:creationId xmlns:a16="http://schemas.microsoft.com/office/drawing/2014/main" id="{E306B923-AFF8-3C4E-BA99-1071794A5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2074333</xdr:colOff>
      <xdr:row>538</xdr:row>
      <xdr:rowOff>169334</xdr:rowOff>
    </xdr:from>
    <xdr:to>
      <xdr:col>19</xdr:col>
      <xdr:colOff>457200</xdr:colOff>
      <xdr:row>551</xdr:row>
      <xdr:rowOff>152400</xdr:rowOff>
    </xdr:to>
    <xdr:graphicFrame macro="">
      <xdr:nvGraphicFramePr>
        <xdr:cNvPr id="19" name="Graphique 18">
          <a:extLst>
            <a:ext uri="{FF2B5EF4-FFF2-40B4-BE49-F238E27FC236}">
              <a16:creationId xmlns:a16="http://schemas.microsoft.com/office/drawing/2014/main" id="{5EBE36E2-F7E2-55D5-9F02-1E82E7CA9B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1117600</xdr:colOff>
      <xdr:row>537</xdr:row>
      <xdr:rowOff>101600</xdr:rowOff>
    </xdr:from>
    <xdr:to>
      <xdr:col>22</xdr:col>
      <xdr:colOff>245534</xdr:colOff>
      <xdr:row>550</xdr:row>
      <xdr:rowOff>101600</xdr:rowOff>
    </xdr:to>
    <xdr:graphicFrame macro="">
      <xdr:nvGraphicFramePr>
        <xdr:cNvPr id="21" name="Graphique 20">
          <a:extLst>
            <a:ext uri="{FF2B5EF4-FFF2-40B4-BE49-F238E27FC236}">
              <a16:creationId xmlns:a16="http://schemas.microsoft.com/office/drawing/2014/main" id="{D830DFDC-1DC4-1149-B844-C59BAAA84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719666</xdr:colOff>
      <xdr:row>554</xdr:row>
      <xdr:rowOff>101600</xdr:rowOff>
    </xdr:from>
    <xdr:to>
      <xdr:col>11</xdr:col>
      <xdr:colOff>2031999</xdr:colOff>
      <xdr:row>568</xdr:row>
      <xdr:rowOff>0</xdr:rowOff>
    </xdr:to>
    <xdr:graphicFrame macro="">
      <xdr:nvGraphicFramePr>
        <xdr:cNvPr id="23" name="Graphique 22">
          <a:extLst>
            <a:ext uri="{FF2B5EF4-FFF2-40B4-BE49-F238E27FC236}">
              <a16:creationId xmlns:a16="http://schemas.microsoft.com/office/drawing/2014/main" id="{940EBFFC-D68F-D3AE-DD2F-95C51B62AC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2006600</xdr:colOff>
      <xdr:row>554</xdr:row>
      <xdr:rowOff>76200</xdr:rowOff>
    </xdr:from>
    <xdr:to>
      <xdr:col>14</xdr:col>
      <xdr:colOff>397933</xdr:colOff>
      <xdr:row>567</xdr:row>
      <xdr:rowOff>177800</xdr:rowOff>
    </xdr:to>
    <xdr:graphicFrame macro="">
      <xdr:nvGraphicFramePr>
        <xdr:cNvPr id="8" name="Graphique 7">
          <a:extLst>
            <a:ext uri="{FF2B5EF4-FFF2-40B4-BE49-F238E27FC236}">
              <a16:creationId xmlns:a16="http://schemas.microsoft.com/office/drawing/2014/main" id="{59FDE026-FF18-ED4E-BC4B-6BFA9F294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0.40009</cdr:x>
      <cdr:y>0.79613</cdr:y>
    </cdr:from>
    <cdr:to>
      <cdr:x>0.47906</cdr:x>
      <cdr:y>0.84842</cdr:y>
    </cdr:to>
    <cdr:sp macro="" textlink="">
      <cdr:nvSpPr>
        <cdr:cNvPr id="3" name="Flèche vers la droite 2">
          <a:extLst xmlns:a="http://schemas.openxmlformats.org/drawingml/2006/main">
            <a:ext uri="{FF2B5EF4-FFF2-40B4-BE49-F238E27FC236}">
              <a16:creationId xmlns:a16="http://schemas.microsoft.com/office/drawing/2014/main" id="{FC9D029B-32D3-B542-B988-4A9CF4EAD1B8}"/>
            </a:ext>
          </a:extLst>
        </cdr:cNvPr>
        <cdr:cNvSpPr/>
      </cdr:nvSpPr>
      <cdr:spPr>
        <a:xfrm xmlns:a="http://schemas.openxmlformats.org/drawingml/2006/main" rot="21379139">
          <a:off x="2494786" y="2050030"/>
          <a:ext cx="492428" cy="134656"/>
        </a:xfrm>
        <a:prstGeom xmlns:a="http://schemas.openxmlformats.org/drawingml/2006/main" prst="rightArrow">
          <a:avLst/>
        </a:prstGeom>
        <a:solidFill xmlns:a="http://schemas.openxmlformats.org/drawingml/2006/main">
          <a:schemeClr val="accent2"/>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kern="1200"/>
        </a:p>
      </cdr:txBody>
    </cdr:sp>
  </cdr:relSizeAnchor>
  <cdr:relSizeAnchor xmlns:cdr="http://schemas.openxmlformats.org/drawingml/2006/chartDrawing">
    <cdr:from>
      <cdr:x>0.69612</cdr:x>
      <cdr:y>0.23616</cdr:y>
    </cdr:from>
    <cdr:to>
      <cdr:x>0.71779</cdr:x>
      <cdr:y>0.79845</cdr:y>
    </cdr:to>
    <cdr:sp macro="" textlink="">
      <cdr:nvSpPr>
        <cdr:cNvPr id="4" name="Flèche vers la droite 3">
          <a:extLst xmlns:a="http://schemas.openxmlformats.org/drawingml/2006/main">
            <a:ext uri="{FF2B5EF4-FFF2-40B4-BE49-F238E27FC236}">
              <a16:creationId xmlns:a16="http://schemas.microsoft.com/office/drawing/2014/main" id="{A578AEE2-1165-CD5E-9613-89A0B31A6605}"/>
            </a:ext>
          </a:extLst>
        </cdr:cNvPr>
        <cdr:cNvSpPr/>
      </cdr:nvSpPr>
      <cdr:spPr>
        <a:xfrm xmlns:a="http://schemas.openxmlformats.org/drawingml/2006/main" rot="18089799">
          <a:off x="3685928" y="1256586"/>
          <a:ext cx="1439272" cy="135080"/>
        </a:xfrm>
        <a:prstGeom xmlns:a="http://schemas.openxmlformats.org/drawingml/2006/main" prst="rightArrow">
          <a:avLst/>
        </a:prstGeom>
        <a:solidFill xmlns:a="http://schemas.openxmlformats.org/drawingml/2006/main">
          <a:schemeClr val="accent2"/>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kern="1200"/>
        </a:p>
      </cdr:txBody>
    </cdr:sp>
  </cdr:relSizeAnchor>
  <cdr:relSizeAnchor xmlns:cdr="http://schemas.openxmlformats.org/drawingml/2006/chartDrawing">
    <cdr:from>
      <cdr:x>0.63367</cdr:x>
      <cdr:y>0.41923</cdr:y>
    </cdr:from>
    <cdr:to>
      <cdr:x>0.70975</cdr:x>
      <cdr:y>0.5245</cdr:y>
    </cdr:to>
    <cdr:sp macro="" textlink="">
      <cdr:nvSpPr>
        <cdr:cNvPr id="5" name="ZoneTexte 24">
          <a:extLst xmlns:a="http://schemas.openxmlformats.org/drawingml/2006/main">
            <a:ext uri="{FF2B5EF4-FFF2-40B4-BE49-F238E27FC236}">
              <a16:creationId xmlns:a16="http://schemas.microsoft.com/office/drawing/2014/main" id="{912859CD-40C1-A25F-D9FF-286E84D5E141}"/>
            </a:ext>
          </a:extLst>
        </cdr:cNvPr>
        <cdr:cNvSpPr txBox="1"/>
      </cdr:nvSpPr>
      <cdr:spPr>
        <a:xfrm xmlns:a="http://schemas.openxmlformats.org/drawingml/2006/main">
          <a:off x="3952515" y="1087649"/>
          <a:ext cx="474579" cy="27312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100" b="1" kern="1200">
              <a:solidFill>
                <a:schemeClr val="accent2"/>
              </a:solidFill>
            </a:rPr>
            <a:t>x 10 </a:t>
          </a:r>
        </a:p>
      </cdr:txBody>
    </cdr:sp>
  </cdr:relSizeAnchor>
</c:userShapes>
</file>

<file path=xl/drawings/drawing2.xml><?xml version="1.0" encoding="utf-8"?>
<c:userShapes xmlns:c="http://schemas.openxmlformats.org/drawingml/2006/chart">
  <cdr:relSizeAnchor xmlns:cdr="http://schemas.openxmlformats.org/drawingml/2006/chartDrawing">
    <cdr:from>
      <cdr:x>0.08122</cdr:x>
      <cdr:y>0.91918</cdr:y>
    </cdr:from>
    <cdr:to>
      <cdr:x>0.14035</cdr:x>
      <cdr:y>1</cdr:y>
    </cdr:to>
    <cdr:sp macro="" textlink="">
      <cdr:nvSpPr>
        <cdr:cNvPr id="5" name="ZoneTexte 4">
          <a:extLst xmlns:a="http://schemas.openxmlformats.org/drawingml/2006/main">
            <a:ext uri="{FF2B5EF4-FFF2-40B4-BE49-F238E27FC236}">
              <a16:creationId xmlns:a16="http://schemas.microsoft.com/office/drawing/2014/main" id="{338AE679-1516-2028-F5F9-A57F89D527DD}"/>
            </a:ext>
          </a:extLst>
        </cdr:cNvPr>
        <cdr:cNvSpPr txBox="1"/>
      </cdr:nvSpPr>
      <cdr:spPr bwMode="auto">
        <a:xfrm xmlns:a="http://schemas.openxmlformats.org/drawingml/2006/main">
          <a:off x="976166" y="6747316"/>
          <a:ext cx="710721" cy="59325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baseline="0"/>
            <a:t> </a:t>
          </a:r>
          <a:r>
            <a:rPr lang="fr-FR" sz="2000" b="1"/>
            <a:t>2022</a:t>
          </a:r>
        </a:p>
      </cdr:txBody>
    </cdr:sp>
  </cdr:relSizeAnchor>
  <cdr:relSizeAnchor xmlns:cdr="http://schemas.openxmlformats.org/drawingml/2006/chartDrawing">
    <cdr:from>
      <cdr:x>0.91475</cdr:x>
      <cdr:y>0.91918</cdr:y>
    </cdr:from>
    <cdr:to>
      <cdr:x>0.97389</cdr:x>
      <cdr:y>1</cdr:y>
    </cdr:to>
    <cdr:sp macro="" textlink="">
      <cdr:nvSpPr>
        <cdr:cNvPr id="7" name="ZoneTexte 1">
          <a:extLst xmlns:a="http://schemas.openxmlformats.org/drawingml/2006/main">
            <a:ext uri="{FF2B5EF4-FFF2-40B4-BE49-F238E27FC236}">
              <a16:creationId xmlns:a16="http://schemas.microsoft.com/office/drawing/2014/main" id="{B2B334AD-F97F-681A-8683-A1239901765C}"/>
            </a:ext>
          </a:extLst>
        </cdr:cNvPr>
        <cdr:cNvSpPr txBox="1"/>
      </cdr:nvSpPr>
      <cdr:spPr bwMode="auto">
        <a:xfrm xmlns:a="http://schemas.openxmlformats.org/drawingml/2006/main">
          <a:off x="10994751" y="6747316"/>
          <a:ext cx="710721" cy="59325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baseline="0"/>
            <a:t> </a:t>
          </a:r>
          <a:r>
            <a:rPr lang="fr-FR" sz="2000" b="1"/>
            <a:t>2050</a:t>
          </a:r>
        </a:p>
      </cdr:txBody>
    </cdr:sp>
  </cdr:relSizeAnchor>
  <cdr:relSizeAnchor xmlns:cdr="http://schemas.openxmlformats.org/drawingml/2006/chartDrawing">
    <cdr:from>
      <cdr:x>0.26512</cdr:x>
      <cdr:y>0</cdr:y>
    </cdr:from>
    <cdr:to>
      <cdr:x>0.26512</cdr:x>
      <cdr:y>0</cdr:y>
    </cdr:to>
    <cdr:grpSp>
      <cdr:nvGrpSpPr>
        <cdr:cNvPr id="9" name="Groupe 8">
          <a:extLst xmlns:a="http://schemas.openxmlformats.org/drawingml/2006/main">
            <a:ext uri="{FF2B5EF4-FFF2-40B4-BE49-F238E27FC236}">
              <a16:creationId xmlns:a16="http://schemas.microsoft.com/office/drawing/2014/main" id="{015AE65A-0A99-205A-5F9F-1915A4A7FC30}"/>
            </a:ext>
          </a:extLst>
        </cdr:cNvPr>
        <cdr:cNvGrpSpPr>
          <a:grpSpLocks xmlns:a="http://schemas.openxmlformats.org/drawingml/2006/main" noChangeAspect="1"/>
        </cdr:cNvGrpSpPr>
      </cdr:nvGrpSpPr>
      <cdr:grpSpPr>
        <a:xfrm xmlns:a="http://schemas.openxmlformats.org/drawingml/2006/main">
          <a:off x="4055940" y="0"/>
          <a:ext cx="0" cy="0"/>
          <a:chOff x="4055940" y="0"/>
          <a:chExt cx="0" cy="0"/>
        </a:xfrm>
      </cdr:grpSpPr>
    </cdr:grpSp>
  </cdr:relSizeAnchor>
  <cdr:relSizeAnchor xmlns:cdr="http://schemas.openxmlformats.org/drawingml/2006/chartDrawing">
    <cdr:from>
      <cdr:x>0.49498</cdr:x>
      <cdr:y>0.3141</cdr:y>
    </cdr:from>
    <cdr:to>
      <cdr:x>0.55483</cdr:x>
      <cdr:y>0.41199</cdr:y>
    </cdr:to>
    <cdr:pic>
      <cdr:nvPicPr>
        <cdr:cNvPr id="13" name="Graphique 54" descr="Couverts de table">
          <a:extLst xmlns:a="http://schemas.openxmlformats.org/drawingml/2006/main">
            <a:ext uri="{FF2B5EF4-FFF2-40B4-BE49-F238E27FC236}">
              <a16:creationId xmlns:a16="http://schemas.microsoft.com/office/drawing/2014/main" id="{CA488B62-0618-930B-2F13-94E154C95F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6847675" y="2549864"/>
          <a:ext cx="827980" cy="794682"/>
        </a:xfrm>
        <a:prstGeom xmlns:a="http://schemas.openxmlformats.org/drawingml/2006/main" prst="rect">
          <a:avLst/>
        </a:prstGeom>
      </cdr:spPr>
    </cdr:pic>
  </cdr:relSizeAnchor>
  <cdr:relSizeAnchor xmlns:cdr="http://schemas.openxmlformats.org/drawingml/2006/chartDrawing">
    <cdr:from>
      <cdr:x>0.75321</cdr:x>
      <cdr:y>0.52903</cdr:y>
    </cdr:from>
    <cdr:to>
      <cdr:x>0.80604</cdr:x>
      <cdr:y>0.61736</cdr:y>
    </cdr:to>
    <cdr:pic>
      <cdr:nvPicPr>
        <cdr:cNvPr id="14" name="Graphique 85" descr="Ordures">
          <a:extLst xmlns:a="http://schemas.openxmlformats.org/drawingml/2006/main">
            <a:ext uri="{FF2B5EF4-FFF2-40B4-BE49-F238E27FC236}">
              <a16:creationId xmlns:a16="http://schemas.microsoft.com/office/drawing/2014/main" id="{79573B22-E4F1-6CC4-3BBE-8E3FA180F6F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10424391" y="4303738"/>
          <a:ext cx="731164" cy="718581"/>
        </a:xfrm>
        <a:prstGeom xmlns:a="http://schemas.openxmlformats.org/drawingml/2006/main" prst="rect">
          <a:avLst/>
        </a:prstGeom>
      </cdr:spPr>
    </cdr:pic>
  </cdr:relSizeAnchor>
  <cdr:relSizeAnchor xmlns:cdr="http://schemas.openxmlformats.org/drawingml/2006/chartDrawing">
    <cdr:from>
      <cdr:x>0.66887</cdr:x>
      <cdr:y>0.46484</cdr:y>
    </cdr:from>
    <cdr:to>
      <cdr:x>0.72282</cdr:x>
      <cdr:y>0.55317</cdr:y>
    </cdr:to>
    <cdr:pic>
      <cdr:nvPicPr>
        <cdr:cNvPr id="16" name="Graphique 15" descr="Télévision avec un remplissage uni">
          <a:extLst xmlns:a="http://schemas.openxmlformats.org/drawingml/2006/main">
            <a:ext uri="{FF2B5EF4-FFF2-40B4-BE49-F238E27FC236}">
              <a16:creationId xmlns:a16="http://schemas.microsoft.com/office/drawing/2014/main" id="{416D201D-A49D-8B6B-460E-04B78444765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xmlns:a="http://schemas.openxmlformats.org/drawingml/2006/main">
          <a:fillRect/>
        </a:stretch>
      </cdr:blipFill>
      <cdr:spPr>
        <a:xfrm xmlns:a="http://schemas.openxmlformats.org/drawingml/2006/main">
          <a:off x="9257148" y="3781589"/>
          <a:ext cx="746666" cy="718582"/>
        </a:xfrm>
        <a:prstGeom xmlns:a="http://schemas.openxmlformats.org/drawingml/2006/main" prst="rect">
          <a:avLst/>
        </a:prstGeom>
      </cdr:spPr>
    </cdr:pic>
  </cdr:relSizeAnchor>
  <cdr:relSizeAnchor xmlns:cdr="http://schemas.openxmlformats.org/drawingml/2006/chartDrawing">
    <cdr:from>
      <cdr:x>0.83769</cdr:x>
      <cdr:y>0.58367</cdr:y>
    </cdr:from>
    <cdr:to>
      <cdr:x>0.89164</cdr:x>
      <cdr:y>0.67201</cdr:y>
    </cdr:to>
    <cdr:pic>
      <cdr:nvPicPr>
        <cdr:cNvPr id="18" name="Graphique 17" descr="Divers avec un remplissage uni">
          <a:extLst xmlns:a="http://schemas.openxmlformats.org/drawingml/2006/main">
            <a:ext uri="{FF2B5EF4-FFF2-40B4-BE49-F238E27FC236}">
              <a16:creationId xmlns:a16="http://schemas.microsoft.com/office/drawing/2014/main" id="{7B815406-DFBE-14E7-1E45-3FB967B026F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xmlns:a="http://schemas.openxmlformats.org/drawingml/2006/main">
          <a:fillRect/>
        </a:stretch>
      </cdr:blipFill>
      <cdr:spPr>
        <a:xfrm xmlns:a="http://schemas.openxmlformats.org/drawingml/2006/main">
          <a:off x="11593561" y="4748274"/>
          <a:ext cx="746666" cy="718663"/>
        </a:xfrm>
        <a:prstGeom xmlns:a="http://schemas.openxmlformats.org/drawingml/2006/main" prst="rect">
          <a:avLst/>
        </a:prstGeom>
      </cdr:spPr>
    </cdr:pic>
  </cdr:relSizeAnchor>
  <cdr:relSizeAnchor xmlns:cdr="http://schemas.openxmlformats.org/drawingml/2006/chartDrawing">
    <cdr:from>
      <cdr:x>0.24742</cdr:x>
      <cdr:y>0.11063</cdr:y>
    </cdr:from>
    <cdr:to>
      <cdr:x>0.30137</cdr:x>
      <cdr:y>0.19896</cdr:y>
    </cdr:to>
    <cdr:pic>
      <cdr:nvPicPr>
        <cdr:cNvPr id="20" name="Graphique 19" descr="Bus avec un remplissage uni">
          <a:extLst xmlns:a="http://schemas.openxmlformats.org/drawingml/2006/main">
            <a:ext uri="{FF2B5EF4-FFF2-40B4-BE49-F238E27FC236}">
              <a16:creationId xmlns:a16="http://schemas.microsoft.com/office/drawing/2014/main" id="{928DCD31-C675-8BD5-9BD0-571D255A7BA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xmlns:a="http://schemas.openxmlformats.org/drawingml/2006/main">
          <a:fillRect/>
        </a:stretch>
      </cdr:blipFill>
      <cdr:spPr>
        <a:xfrm xmlns:a="http://schemas.openxmlformats.org/drawingml/2006/main">
          <a:off x="3422841" y="898111"/>
          <a:ext cx="746359" cy="717073"/>
        </a:xfrm>
        <a:prstGeom xmlns:a="http://schemas.openxmlformats.org/drawingml/2006/main" prst="rect">
          <a:avLst/>
        </a:prstGeom>
      </cdr:spPr>
    </cdr:pic>
  </cdr:relSizeAnchor>
  <cdr:relSizeAnchor xmlns:cdr="http://schemas.openxmlformats.org/drawingml/2006/chartDrawing">
    <cdr:from>
      <cdr:x>0.15983</cdr:x>
      <cdr:y>0.02613</cdr:y>
    </cdr:from>
    <cdr:to>
      <cdr:x>0.21378</cdr:x>
      <cdr:y>0.11446</cdr:y>
    </cdr:to>
    <cdr:pic>
      <cdr:nvPicPr>
        <cdr:cNvPr id="22" name="Graphique 21" descr="Train avec un remplissage uni">
          <a:extLst xmlns:a="http://schemas.openxmlformats.org/drawingml/2006/main">
            <a:ext uri="{FF2B5EF4-FFF2-40B4-BE49-F238E27FC236}">
              <a16:creationId xmlns:a16="http://schemas.microsoft.com/office/drawing/2014/main" id="{917A01FA-AB05-85A6-0A63-61E541FB14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xmlns:a="http://schemas.openxmlformats.org/drawingml/2006/main">
          <a:fillRect/>
        </a:stretch>
      </cdr:blipFill>
      <cdr:spPr>
        <a:xfrm xmlns:a="http://schemas.openxmlformats.org/drawingml/2006/main">
          <a:off x="2215384" y="208970"/>
          <a:ext cx="747795" cy="706481"/>
        </a:xfrm>
        <a:prstGeom xmlns:a="http://schemas.openxmlformats.org/drawingml/2006/main" prst="rect">
          <a:avLst/>
        </a:prstGeom>
      </cdr:spPr>
    </cdr:pic>
  </cdr:relSizeAnchor>
  <cdr:relSizeAnchor xmlns:cdr="http://schemas.openxmlformats.org/drawingml/2006/chartDrawing">
    <cdr:from>
      <cdr:x>0.32816</cdr:x>
      <cdr:y>0.19896</cdr:y>
    </cdr:from>
    <cdr:to>
      <cdr:x>0.38211</cdr:x>
      <cdr:y>0.2873</cdr:y>
    </cdr:to>
    <cdr:pic>
      <cdr:nvPicPr>
        <cdr:cNvPr id="24" name="Graphique 23" descr="Cyclisme avec un remplissage uni">
          <a:extLst xmlns:a="http://schemas.openxmlformats.org/drawingml/2006/main">
            <a:ext uri="{FF2B5EF4-FFF2-40B4-BE49-F238E27FC236}">
              <a16:creationId xmlns:a16="http://schemas.microsoft.com/office/drawing/2014/main" id="{60109FE7-4E7D-54CB-E04C-14B4C16C13C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xmlns:a="http://schemas.openxmlformats.org/drawingml/2006/main">
          <a:fillRect/>
        </a:stretch>
      </cdr:blipFill>
      <cdr:spPr>
        <a:xfrm xmlns:a="http://schemas.openxmlformats.org/drawingml/2006/main">
          <a:off x="4541787" y="1618609"/>
          <a:ext cx="746665" cy="718662"/>
        </a:xfrm>
        <a:prstGeom xmlns:a="http://schemas.openxmlformats.org/drawingml/2006/main" prst="rect">
          <a:avLst/>
        </a:prstGeom>
      </cdr:spPr>
    </cdr:pic>
  </cdr:relSizeAnchor>
  <cdr:relSizeAnchor xmlns:cdr="http://schemas.openxmlformats.org/drawingml/2006/chartDrawing">
    <cdr:from>
      <cdr:x>0.58009</cdr:x>
      <cdr:y>0.3706</cdr:y>
    </cdr:from>
    <cdr:to>
      <cdr:x>0.65095</cdr:x>
      <cdr:y>0.44206</cdr:y>
    </cdr:to>
    <cdr:grpSp>
      <cdr:nvGrpSpPr>
        <cdr:cNvPr id="29" name="Groupe 28">
          <a:extLst xmlns:a="http://schemas.openxmlformats.org/drawingml/2006/main">
            <a:ext uri="{FF2B5EF4-FFF2-40B4-BE49-F238E27FC236}">
              <a16:creationId xmlns:a16="http://schemas.microsoft.com/office/drawing/2014/main" id="{B41FFF08-3153-E8F5-4F23-F461AD42CD3E}"/>
            </a:ext>
          </a:extLst>
        </cdr:cNvPr>
        <cdr:cNvGrpSpPr>
          <a:grpSpLocks xmlns:a="http://schemas.openxmlformats.org/drawingml/2006/main" noChangeAspect="1"/>
        </cdr:cNvGrpSpPr>
      </cdr:nvGrpSpPr>
      <cdr:grpSpPr>
        <a:xfrm xmlns:a="http://schemas.openxmlformats.org/drawingml/2006/main">
          <a:off x="8874510" y="3246352"/>
          <a:ext cx="1084052" cy="625969"/>
          <a:chOff x="0" y="0"/>
          <a:chExt cx="1510202" cy="930079"/>
        </a:xfrm>
      </cdr:grpSpPr>
      <cdr:pic>
        <cdr:nvPicPr>
          <cdr:cNvPr id="26" name="Graphique 25" descr="Thermomètre avec un remplissage uni">
            <a:extLst xmlns:a="http://schemas.openxmlformats.org/drawingml/2006/main">
              <a:ext uri="{FF2B5EF4-FFF2-40B4-BE49-F238E27FC236}">
                <a16:creationId xmlns:a16="http://schemas.microsoft.com/office/drawing/2014/main" id="{D8F67C54-93B3-CFAA-DAB7-BEB8525017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xmlns:a="http://schemas.openxmlformats.org/drawingml/2006/main">
            <a:fillRect/>
          </a:stretch>
        </cdr:blipFill>
        <cdr:spPr>
          <a:xfrm xmlns:a="http://schemas.openxmlformats.org/drawingml/2006/main">
            <a:off x="0" y="0"/>
            <a:ext cx="914400" cy="914400"/>
          </a:xfrm>
          <a:prstGeom xmlns:a="http://schemas.openxmlformats.org/drawingml/2006/main" prst="rect">
            <a:avLst/>
          </a:prstGeom>
        </cdr:spPr>
      </cdr:pic>
      <cdr:pic>
        <cdr:nvPicPr>
          <cdr:cNvPr id="28" name="Graphique 27" descr="Éclair avec un remplissage uni">
            <a:extLst xmlns:a="http://schemas.openxmlformats.org/drawingml/2006/main">
              <a:ext uri="{FF2B5EF4-FFF2-40B4-BE49-F238E27FC236}">
                <a16:creationId xmlns:a16="http://schemas.microsoft.com/office/drawing/2014/main" id="{6283C657-970B-D68C-2913-3AED2C13B4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xmlns:a="http://schemas.openxmlformats.org/drawingml/2006/main">
            <a:fillRect/>
          </a:stretch>
        </cdr:blipFill>
        <cdr:spPr>
          <a:xfrm xmlns:a="http://schemas.openxmlformats.org/drawingml/2006/main">
            <a:off x="595802" y="15679"/>
            <a:ext cx="914400" cy="914400"/>
          </a:xfrm>
          <a:prstGeom xmlns:a="http://schemas.openxmlformats.org/drawingml/2006/main" prst="rect">
            <a:avLst/>
          </a:prstGeom>
        </cdr:spPr>
      </cdr:pic>
    </cdr:grpSp>
  </cdr:relSizeAnchor>
  <cdr:relSizeAnchor xmlns:cdr="http://schemas.openxmlformats.org/drawingml/2006/chartDrawing">
    <cdr:from>
      <cdr:x>0.16287</cdr:x>
      <cdr:y>0.89092</cdr:y>
    </cdr:from>
    <cdr:to>
      <cdr:x>0.89249</cdr:x>
      <cdr:y>0.89092</cdr:y>
    </cdr:to>
    <cdr:cxnSp macro="">
      <cdr:nvCxnSpPr>
        <cdr:cNvPr id="31" name="Connecteur droit avec flèche 30">
          <a:extLst xmlns:a="http://schemas.openxmlformats.org/drawingml/2006/main">
            <a:ext uri="{FF2B5EF4-FFF2-40B4-BE49-F238E27FC236}">
              <a16:creationId xmlns:a16="http://schemas.microsoft.com/office/drawing/2014/main" id="{214B0AB5-1936-F2DD-A8B4-B6A010DFB50F}"/>
            </a:ext>
          </a:extLst>
        </cdr:cNvPr>
        <cdr:cNvCxnSpPr/>
      </cdr:nvCxnSpPr>
      <cdr:spPr>
        <a:xfrm xmlns:a="http://schemas.openxmlformats.org/drawingml/2006/main">
          <a:off x="2253545" y="7091665"/>
          <a:ext cx="10095552" cy="0"/>
        </a:xfrm>
        <a:prstGeom xmlns:a="http://schemas.openxmlformats.org/drawingml/2006/main" prst="straightConnector1">
          <a:avLst/>
        </a:prstGeom>
        <a:ln xmlns:a="http://schemas.openxmlformats.org/drawingml/2006/main" w="28575">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0.60962</cdr:x>
      <cdr:y>0.50479</cdr:y>
    </cdr:from>
    <cdr:to>
      <cdr:x>0.61056</cdr:x>
      <cdr:y>0.72491</cdr:y>
    </cdr:to>
    <cdr:cxnSp macro="">
      <cdr:nvCxnSpPr>
        <cdr:cNvPr id="33" name="Connecteur droit avec flèche 32">
          <a:extLst xmlns:a="http://schemas.openxmlformats.org/drawingml/2006/main">
            <a:ext uri="{FF2B5EF4-FFF2-40B4-BE49-F238E27FC236}">
              <a16:creationId xmlns:a16="http://schemas.microsoft.com/office/drawing/2014/main" id="{0C3C8342-6E7F-8941-EB1D-C8AAD4CA199C}"/>
            </a:ext>
          </a:extLst>
        </cdr:cNvPr>
        <cdr:cNvCxnSpPr/>
      </cdr:nvCxnSpPr>
      <cdr:spPr>
        <a:xfrm xmlns:a="http://schemas.openxmlformats.org/drawingml/2006/main">
          <a:off x="8456530" y="4207446"/>
          <a:ext cx="13069" cy="183473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0.27173</cdr:x>
      <cdr:y>0.25191</cdr:y>
    </cdr:from>
    <cdr:to>
      <cdr:x>0.27192</cdr:x>
      <cdr:y>0.5765</cdr:y>
    </cdr:to>
    <cdr:cxnSp macro="">
      <cdr:nvCxnSpPr>
        <cdr:cNvPr id="36" name="Connecteur droit avec flèche 35">
          <a:extLst xmlns:a="http://schemas.openxmlformats.org/drawingml/2006/main">
            <a:ext uri="{FF2B5EF4-FFF2-40B4-BE49-F238E27FC236}">
              <a16:creationId xmlns:a16="http://schemas.microsoft.com/office/drawing/2014/main" id="{A16ED8E5-16FB-F42F-E07E-E29C1A38A789}"/>
            </a:ext>
          </a:extLst>
        </cdr:cNvPr>
        <cdr:cNvCxnSpPr/>
      </cdr:nvCxnSpPr>
      <cdr:spPr>
        <a:xfrm xmlns:a="http://schemas.openxmlformats.org/drawingml/2006/main">
          <a:off x="3759157" y="2044999"/>
          <a:ext cx="2655" cy="2635093"/>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0.58352</cdr:x>
      <cdr:y>0.43105</cdr:y>
    </cdr:from>
    <cdr:to>
      <cdr:x>0.64265</cdr:x>
      <cdr:y>0.51187</cdr:y>
    </cdr:to>
    <cdr:sp macro="" textlink="">
      <cdr:nvSpPr>
        <cdr:cNvPr id="37" name="ZoneTexte 1">
          <a:extLst xmlns:a="http://schemas.openxmlformats.org/drawingml/2006/main">
            <a:ext uri="{FF2B5EF4-FFF2-40B4-BE49-F238E27FC236}">
              <a16:creationId xmlns:a16="http://schemas.microsoft.com/office/drawing/2014/main" id="{9EDC49C0-905E-8015-D176-FE5D1903A4A8}"/>
            </a:ext>
          </a:extLst>
        </cdr:cNvPr>
        <cdr:cNvSpPr txBox="1"/>
      </cdr:nvSpPr>
      <cdr:spPr bwMode="auto">
        <a:xfrm xmlns:a="http://schemas.openxmlformats.org/drawingml/2006/main">
          <a:off x="8094509" y="3592785"/>
          <a:ext cx="820243" cy="673639"/>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Consommation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d'énergie</a:t>
          </a:r>
          <a:endParaRPr lang="fr-FR" sz="1800" b="1"/>
        </a:p>
      </cdr:txBody>
    </cdr:sp>
  </cdr:relSizeAnchor>
  <cdr:relSizeAnchor xmlns:cdr="http://schemas.openxmlformats.org/drawingml/2006/chartDrawing">
    <cdr:from>
      <cdr:x>0.49816</cdr:x>
      <cdr:y>0.38627</cdr:y>
    </cdr:from>
    <cdr:to>
      <cdr:x>0.5573</cdr:x>
      <cdr:y>0.46709</cdr:y>
    </cdr:to>
    <cdr:sp macro="" textlink="">
      <cdr:nvSpPr>
        <cdr:cNvPr id="38" name="ZoneTexte 1">
          <a:extLst xmlns:a="http://schemas.openxmlformats.org/drawingml/2006/main">
            <a:ext uri="{FF2B5EF4-FFF2-40B4-BE49-F238E27FC236}">
              <a16:creationId xmlns:a16="http://schemas.microsoft.com/office/drawing/2014/main" id="{F0325A4F-FD76-A203-25AC-67F152A48231}"/>
            </a:ext>
          </a:extLst>
        </cdr:cNvPr>
        <cdr:cNvSpPr txBox="1"/>
      </cdr:nvSpPr>
      <cdr:spPr bwMode="auto">
        <a:xfrm xmlns:a="http://schemas.openxmlformats.org/drawingml/2006/main">
          <a:off x="6891668" y="3135748"/>
          <a:ext cx="818158" cy="65610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Alimentation &amp;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boissons</a:t>
          </a:r>
          <a:endParaRPr lang="fr-FR" sz="1800" b="1"/>
        </a:p>
      </cdr:txBody>
    </cdr:sp>
  </cdr:relSizeAnchor>
  <cdr:relSizeAnchor xmlns:cdr="http://schemas.openxmlformats.org/drawingml/2006/chartDrawing">
    <cdr:from>
      <cdr:x>0.24787</cdr:x>
      <cdr:y>0.17796</cdr:y>
    </cdr:from>
    <cdr:to>
      <cdr:x>0.30701</cdr:x>
      <cdr:y>0.25878</cdr:y>
    </cdr:to>
    <cdr:sp macro="" textlink="">
      <cdr:nvSpPr>
        <cdr:cNvPr id="39" name="ZoneTexte 1">
          <a:extLst xmlns:a="http://schemas.openxmlformats.org/drawingml/2006/main">
            <a:ext uri="{FF2B5EF4-FFF2-40B4-BE49-F238E27FC236}">
              <a16:creationId xmlns:a16="http://schemas.microsoft.com/office/drawing/2014/main" id="{BBDD83AD-8ACF-E741-ACD4-54AC6A7E33C9}"/>
            </a:ext>
          </a:extLst>
        </cdr:cNvPr>
        <cdr:cNvSpPr txBox="1"/>
      </cdr:nvSpPr>
      <cdr:spPr bwMode="auto">
        <a:xfrm xmlns:a="http://schemas.openxmlformats.org/drawingml/2006/main">
          <a:off x="3429066" y="1444703"/>
          <a:ext cx="818159" cy="65610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Transport des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équipes</a:t>
          </a:r>
          <a:endParaRPr lang="fr-FR" sz="1800" b="1"/>
        </a:p>
      </cdr:txBody>
    </cdr:sp>
  </cdr:relSizeAnchor>
  <cdr:relSizeAnchor xmlns:cdr="http://schemas.openxmlformats.org/drawingml/2006/chartDrawing">
    <cdr:from>
      <cdr:x>0.15866</cdr:x>
      <cdr:y>0.10204</cdr:y>
    </cdr:from>
    <cdr:to>
      <cdr:x>0.21779</cdr:x>
      <cdr:y>0.18285</cdr:y>
    </cdr:to>
    <cdr:sp macro="" textlink="">
      <cdr:nvSpPr>
        <cdr:cNvPr id="40" name="ZoneTexte 1">
          <a:extLst xmlns:a="http://schemas.openxmlformats.org/drawingml/2006/main">
            <a:ext uri="{FF2B5EF4-FFF2-40B4-BE49-F238E27FC236}">
              <a16:creationId xmlns:a16="http://schemas.microsoft.com/office/drawing/2014/main" id="{899874F7-DFB8-EC15-2227-66EE1E443C8B}"/>
            </a:ext>
          </a:extLst>
        </cdr:cNvPr>
        <cdr:cNvSpPr txBox="1"/>
      </cdr:nvSpPr>
      <cdr:spPr bwMode="auto">
        <a:xfrm xmlns:a="http://schemas.openxmlformats.org/drawingml/2006/main">
          <a:off x="2199167" y="816160"/>
          <a:ext cx="819594" cy="64633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Transport des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spectateurs</a:t>
          </a:r>
          <a:endParaRPr lang="fr-FR" sz="1800" b="1"/>
        </a:p>
      </cdr:txBody>
    </cdr:sp>
  </cdr:relSizeAnchor>
  <cdr:relSizeAnchor xmlns:cdr="http://schemas.openxmlformats.org/drawingml/2006/chartDrawing">
    <cdr:from>
      <cdr:x>0.33029</cdr:x>
      <cdr:y>0.27456</cdr:y>
    </cdr:from>
    <cdr:to>
      <cdr:x>0.38942</cdr:x>
      <cdr:y>0.35537</cdr:y>
    </cdr:to>
    <cdr:sp macro="" textlink="">
      <cdr:nvSpPr>
        <cdr:cNvPr id="41" name="ZoneTexte 1">
          <a:extLst xmlns:a="http://schemas.openxmlformats.org/drawingml/2006/main">
            <a:ext uri="{FF2B5EF4-FFF2-40B4-BE49-F238E27FC236}">
              <a16:creationId xmlns:a16="http://schemas.microsoft.com/office/drawing/2014/main" id="{D921A652-E151-6364-A99E-EEE611410B81}"/>
            </a:ext>
          </a:extLst>
        </cdr:cNvPr>
        <cdr:cNvSpPr txBox="1"/>
      </cdr:nvSpPr>
      <cdr:spPr bwMode="auto">
        <a:xfrm xmlns:a="http://schemas.openxmlformats.org/drawingml/2006/main">
          <a:off x="4571266" y="2233629"/>
          <a:ext cx="818356" cy="65740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Transport des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salariés</a:t>
          </a:r>
          <a:endParaRPr lang="fr-FR" sz="1800" b="1"/>
        </a:p>
      </cdr:txBody>
    </cdr:sp>
  </cdr:relSizeAnchor>
  <cdr:relSizeAnchor xmlns:cdr="http://schemas.openxmlformats.org/drawingml/2006/chartDrawing">
    <cdr:from>
      <cdr:x>0.74764</cdr:x>
      <cdr:y>0.59506</cdr:y>
    </cdr:from>
    <cdr:to>
      <cdr:x>0.80677</cdr:x>
      <cdr:y>0.67588</cdr:y>
    </cdr:to>
    <cdr:sp macro="" textlink="">
      <cdr:nvSpPr>
        <cdr:cNvPr id="42" name="ZoneTexte 1">
          <a:extLst xmlns:a="http://schemas.openxmlformats.org/drawingml/2006/main">
            <a:ext uri="{FF2B5EF4-FFF2-40B4-BE49-F238E27FC236}">
              <a16:creationId xmlns:a16="http://schemas.microsoft.com/office/drawing/2014/main" id="{211D8751-AB56-994D-0728-7FB21ABE9440}"/>
            </a:ext>
          </a:extLst>
        </cdr:cNvPr>
        <cdr:cNvSpPr txBox="1"/>
      </cdr:nvSpPr>
      <cdr:spPr bwMode="auto">
        <a:xfrm xmlns:a="http://schemas.openxmlformats.org/drawingml/2006/main">
          <a:off x="10347343" y="4840893"/>
          <a:ext cx="818356" cy="65748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Déchets</a:t>
          </a:r>
          <a:endParaRPr lang="fr-FR" sz="1800" b="1"/>
        </a:p>
      </cdr:txBody>
    </cdr:sp>
  </cdr:relSizeAnchor>
  <cdr:relSizeAnchor xmlns:cdr="http://schemas.openxmlformats.org/drawingml/2006/chartDrawing">
    <cdr:from>
      <cdr:x>0.66152</cdr:x>
      <cdr:y>0.52728</cdr:y>
    </cdr:from>
    <cdr:to>
      <cdr:x>0.72065</cdr:x>
      <cdr:y>0.6081</cdr:y>
    </cdr:to>
    <cdr:sp macro="" textlink="">
      <cdr:nvSpPr>
        <cdr:cNvPr id="43" name="ZoneTexte 1">
          <a:extLst xmlns:a="http://schemas.openxmlformats.org/drawingml/2006/main">
            <a:ext uri="{FF2B5EF4-FFF2-40B4-BE49-F238E27FC236}">
              <a16:creationId xmlns:a16="http://schemas.microsoft.com/office/drawing/2014/main" id="{77F7BA87-A2AC-75FC-3B07-311E886BB6BF}"/>
            </a:ext>
          </a:extLst>
        </cdr:cNvPr>
        <cdr:cNvSpPr txBox="1"/>
      </cdr:nvSpPr>
      <cdr:spPr bwMode="auto">
        <a:xfrm xmlns:a="http://schemas.openxmlformats.org/drawingml/2006/main">
          <a:off x="9155410" y="4289513"/>
          <a:ext cx="818356" cy="65748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Retransmission</a:t>
          </a:r>
          <a:endParaRPr lang="fr-FR" sz="1800" b="1"/>
        </a:p>
      </cdr:txBody>
    </cdr:sp>
  </cdr:relSizeAnchor>
  <cdr:relSizeAnchor xmlns:cdr="http://schemas.openxmlformats.org/drawingml/2006/chartDrawing">
    <cdr:from>
      <cdr:x>0.83573</cdr:x>
      <cdr:y>0.62536</cdr:y>
    </cdr:from>
    <cdr:to>
      <cdr:x>0.89486</cdr:x>
      <cdr:y>0.70618</cdr:y>
    </cdr:to>
    <cdr:sp macro="" textlink="">
      <cdr:nvSpPr>
        <cdr:cNvPr id="44" name="ZoneTexte 1">
          <a:extLst xmlns:a="http://schemas.openxmlformats.org/drawingml/2006/main">
            <a:ext uri="{FF2B5EF4-FFF2-40B4-BE49-F238E27FC236}">
              <a16:creationId xmlns:a16="http://schemas.microsoft.com/office/drawing/2014/main" id="{D919BAAC-C76C-F5C9-F4FD-952654D77033}"/>
            </a:ext>
          </a:extLst>
        </cdr:cNvPr>
        <cdr:cNvSpPr txBox="1"/>
      </cdr:nvSpPr>
      <cdr:spPr bwMode="auto">
        <a:xfrm xmlns:a="http://schemas.openxmlformats.org/drawingml/2006/main">
          <a:off x="11566484" y="5087429"/>
          <a:ext cx="818357" cy="65748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Autres</a:t>
          </a:r>
          <a:endParaRPr lang="fr-FR" sz="1800" b="1"/>
        </a:p>
      </cdr:txBody>
    </cdr:sp>
  </cdr:relSizeAnchor>
  <cdr:relSizeAnchor xmlns:cdr="http://schemas.openxmlformats.org/drawingml/2006/chartDrawing">
    <cdr:from>
      <cdr:x>0.35808</cdr:x>
      <cdr:y>0.35093</cdr:y>
    </cdr:from>
    <cdr:to>
      <cdr:x>0.35929</cdr:x>
      <cdr:y>0.62622</cdr:y>
    </cdr:to>
    <cdr:cxnSp macro="">
      <cdr:nvCxnSpPr>
        <cdr:cNvPr id="46" name="Connecteur droit avec flèche 45">
          <a:extLst xmlns:a="http://schemas.openxmlformats.org/drawingml/2006/main">
            <a:ext uri="{FF2B5EF4-FFF2-40B4-BE49-F238E27FC236}">
              <a16:creationId xmlns:a16="http://schemas.microsoft.com/office/drawing/2014/main" id="{72A38E4D-6C26-11D8-23F4-A05DEF029FB1}"/>
            </a:ext>
          </a:extLst>
        </cdr:cNvPr>
        <cdr:cNvCxnSpPr/>
      </cdr:nvCxnSpPr>
      <cdr:spPr>
        <a:xfrm xmlns:a="http://schemas.openxmlformats.org/drawingml/2006/main">
          <a:off x="4963304" y="2806808"/>
          <a:ext cx="16808" cy="2201844"/>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0.52813</cdr:x>
      <cdr:y>0.45495</cdr:y>
    </cdr:from>
    <cdr:to>
      <cdr:x>0.52843</cdr:x>
      <cdr:y>0.69784</cdr:y>
    </cdr:to>
    <cdr:cxnSp macro="">
      <cdr:nvCxnSpPr>
        <cdr:cNvPr id="49" name="Connecteur droit avec flèche 48">
          <a:extLst xmlns:a="http://schemas.openxmlformats.org/drawingml/2006/main">
            <a:ext uri="{FF2B5EF4-FFF2-40B4-BE49-F238E27FC236}">
              <a16:creationId xmlns:a16="http://schemas.microsoft.com/office/drawing/2014/main" id="{BDAD0456-83E5-DC5F-C2BF-98CA760B9608}"/>
            </a:ext>
          </a:extLst>
        </cdr:cNvPr>
        <cdr:cNvCxnSpPr/>
      </cdr:nvCxnSpPr>
      <cdr:spPr>
        <a:xfrm xmlns:a="http://schemas.openxmlformats.org/drawingml/2006/main">
          <a:off x="7320337" y="3638764"/>
          <a:ext cx="4207" cy="1942712"/>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0.69833</cdr:x>
      <cdr:y>0.59954</cdr:y>
    </cdr:from>
    <cdr:to>
      <cdr:x>0.69833</cdr:x>
      <cdr:y>0.73073</cdr:y>
    </cdr:to>
    <cdr:cxnSp macro="">
      <cdr:nvCxnSpPr>
        <cdr:cNvPr id="51" name="Connecteur droit avec flèche 50">
          <a:extLst xmlns:a="http://schemas.openxmlformats.org/drawingml/2006/main">
            <a:ext uri="{FF2B5EF4-FFF2-40B4-BE49-F238E27FC236}">
              <a16:creationId xmlns:a16="http://schemas.microsoft.com/office/drawing/2014/main" id="{8A6E099D-DF29-B33B-272D-4BA98296449F}"/>
            </a:ext>
          </a:extLst>
        </cdr:cNvPr>
        <cdr:cNvCxnSpPr/>
      </cdr:nvCxnSpPr>
      <cdr:spPr>
        <a:xfrm xmlns:a="http://schemas.openxmlformats.org/drawingml/2006/main">
          <a:off x="9664829" y="4877344"/>
          <a:ext cx="0" cy="106725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0.77796</cdr:x>
      <cdr:y>0.65993</cdr:y>
    </cdr:from>
    <cdr:to>
      <cdr:x>0.77826</cdr:x>
      <cdr:y>0.78296</cdr:y>
    </cdr:to>
    <cdr:cxnSp macro="">
      <cdr:nvCxnSpPr>
        <cdr:cNvPr id="53" name="Connecteur droit avec flèche 52">
          <a:extLst xmlns:a="http://schemas.openxmlformats.org/drawingml/2006/main">
            <a:ext uri="{FF2B5EF4-FFF2-40B4-BE49-F238E27FC236}">
              <a16:creationId xmlns:a16="http://schemas.microsoft.com/office/drawing/2014/main" id="{F794731E-6E6A-2487-3FFC-C0A77368CC6C}"/>
            </a:ext>
          </a:extLst>
        </cdr:cNvPr>
        <cdr:cNvCxnSpPr/>
      </cdr:nvCxnSpPr>
      <cdr:spPr>
        <a:xfrm xmlns:a="http://schemas.openxmlformats.org/drawingml/2006/main" flipH="1">
          <a:off x="10766980" y="5368628"/>
          <a:ext cx="4142" cy="1000863"/>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0.86511</cdr:x>
      <cdr:y>0.68907</cdr:y>
    </cdr:from>
    <cdr:to>
      <cdr:x>0.86513</cdr:x>
      <cdr:y>0.7828</cdr:y>
    </cdr:to>
    <cdr:cxnSp macro="">
      <cdr:nvCxnSpPr>
        <cdr:cNvPr id="55" name="Connecteur droit avec flèche 54">
          <a:extLst xmlns:a="http://schemas.openxmlformats.org/drawingml/2006/main">
            <a:ext uri="{FF2B5EF4-FFF2-40B4-BE49-F238E27FC236}">
              <a16:creationId xmlns:a16="http://schemas.microsoft.com/office/drawing/2014/main" id="{14D4D5C2-2E86-069F-5B1F-3F1DF7244771}"/>
            </a:ext>
          </a:extLst>
        </cdr:cNvPr>
        <cdr:cNvCxnSpPr/>
      </cdr:nvCxnSpPr>
      <cdr:spPr>
        <a:xfrm xmlns:a="http://schemas.openxmlformats.org/drawingml/2006/main" flipH="1">
          <a:off x="11973012" y="5605695"/>
          <a:ext cx="377" cy="762524"/>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0.50165</cdr:x>
      <cdr:y>0.88958</cdr:y>
    </cdr:from>
    <cdr:to>
      <cdr:x>0.56909</cdr:x>
      <cdr:y>1</cdr:y>
    </cdr:to>
    <cdr:sp macro="" textlink="Récapitulatif!$F$211">
      <cdr:nvSpPr>
        <cdr:cNvPr id="58" name="ZoneTexte 57">
          <a:extLst xmlns:a="http://schemas.openxmlformats.org/drawingml/2006/main">
            <a:ext uri="{FF2B5EF4-FFF2-40B4-BE49-F238E27FC236}">
              <a16:creationId xmlns:a16="http://schemas.microsoft.com/office/drawing/2014/main" id="{3807C7A6-D42D-6022-8D9B-73BA1D35A82C}"/>
            </a:ext>
          </a:extLst>
        </cdr:cNvPr>
        <cdr:cNvSpPr txBox="1"/>
      </cdr:nvSpPr>
      <cdr:spPr bwMode="auto">
        <a:xfrm xmlns:a="http://schemas.openxmlformats.org/drawingml/2006/main">
          <a:off x="6941203" y="7080975"/>
          <a:ext cx="933149" cy="878933"/>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lstStyle xmlns:a="http://schemas.openxmlformats.org/drawingml/2006/main"/>
        <a:p xmlns:a="http://schemas.openxmlformats.org/drawingml/2006/main">
          <a:fld id="{739736DC-DB72-F244-867F-3D0ECD652CDB}" type="TxLink">
            <a:rPr lang="en-US" sz="2400" b="1" i="0" u="none" strike="noStrike">
              <a:solidFill>
                <a:srgbClr val="000000"/>
              </a:solidFill>
              <a:latin typeface="Arial"/>
              <a:cs typeface="Arial"/>
            </a:rPr>
            <a:pPr/>
            <a:t>-82%</a:t>
          </a:fld>
          <a:endParaRPr lang="fr-FR" sz="3600" b="1">
            <a:solidFill>
              <a:schemeClr val="tx2"/>
            </a:solidFill>
          </a:endParaRPr>
        </a:p>
      </cdr:txBody>
    </cdr:sp>
  </cdr:relSizeAnchor>
  <cdr:relSizeAnchor xmlns:cdr="http://schemas.openxmlformats.org/drawingml/2006/chartDrawing">
    <cdr:from>
      <cdr:x>0.18841</cdr:x>
      <cdr:y>0.17086</cdr:y>
    </cdr:from>
    <cdr:to>
      <cdr:x>0.18841</cdr:x>
      <cdr:y>0.2267</cdr:y>
    </cdr:to>
    <cdr:cxnSp macro="">
      <cdr:nvCxnSpPr>
        <cdr:cNvPr id="6" name="Connecteur droit avec flèche 5">
          <a:extLst xmlns:a="http://schemas.openxmlformats.org/drawingml/2006/main">
            <a:ext uri="{FF2B5EF4-FFF2-40B4-BE49-F238E27FC236}">
              <a16:creationId xmlns:a16="http://schemas.microsoft.com/office/drawing/2014/main" id="{FC6B51E4-7151-D68F-DDF2-9A94D7D9D34F}"/>
            </a:ext>
          </a:extLst>
        </cdr:cNvPr>
        <cdr:cNvCxnSpPr/>
      </cdr:nvCxnSpPr>
      <cdr:spPr>
        <a:xfrm xmlns:a="http://schemas.openxmlformats.org/drawingml/2006/main" flipH="1">
          <a:off x="2611528" y="1366546"/>
          <a:ext cx="0" cy="446619"/>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0.41684</cdr:x>
      <cdr:y>0.27081</cdr:y>
    </cdr:from>
    <cdr:to>
      <cdr:x>0.46317</cdr:x>
      <cdr:y>0.34882</cdr:y>
    </cdr:to>
    <cdr:pic>
      <cdr:nvPicPr>
        <cdr:cNvPr id="8" name="Graphique 10" descr="Accueil">
          <a:extLst xmlns:a="http://schemas.openxmlformats.org/drawingml/2006/main">
            <a:ext uri="{FF2B5EF4-FFF2-40B4-BE49-F238E27FC236}">
              <a16:creationId xmlns:a16="http://schemas.microsoft.com/office/drawing/2014/main" id="{78EF65EE-8397-6DCD-AF96-CB3A67C0C7F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9">
          <a:extLst>
            <a:ext uri="{96DAC541-7B7A-43D3-8B79-37D633B846F1}">
              <asvg:svgBlip xmlns:asvg="http://schemas.microsoft.com/office/drawing/2016/SVG/main" r:embed="rId20"/>
            </a:ext>
          </a:extLst>
        </a:blip>
        <a:stretch xmlns:a="http://schemas.openxmlformats.org/drawingml/2006/main">
          <a:fillRect/>
        </a:stretch>
      </cdr:blipFill>
      <cdr:spPr>
        <a:xfrm xmlns:a="http://schemas.openxmlformats.org/drawingml/2006/main">
          <a:off x="5772759" y="2174146"/>
          <a:ext cx="641617" cy="626283"/>
        </a:xfrm>
        <a:prstGeom xmlns:a="http://schemas.openxmlformats.org/drawingml/2006/main" prst="rect">
          <a:avLst/>
        </a:prstGeom>
      </cdr:spPr>
    </cdr:pic>
  </cdr:relSizeAnchor>
  <cdr:relSizeAnchor xmlns:cdr="http://schemas.openxmlformats.org/drawingml/2006/chartDrawing">
    <cdr:from>
      <cdr:x>0.41498</cdr:x>
      <cdr:y>0.32001</cdr:y>
    </cdr:from>
    <cdr:to>
      <cdr:x>0.47412</cdr:x>
      <cdr:y>0.40083</cdr:y>
    </cdr:to>
    <cdr:sp macro="" textlink="">
      <cdr:nvSpPr>
        <cdr:cNvPr id="15" name="ZoneTexte 1">
          <a:extLst xmlns:a="http://schemas.openxmlformats.org/drawingml/2006/main">
            <a:ext uri="{FF2B5EF4-FFF2-40B4-BE49-F238E27FC236}">
              <a16:creationId xmlns:a16="http://schemas.microsoft.com/office/drawing/2014/main" id="{65C4B176-7ECE-2C46-96DE-FBCFD5176EA8}"/>
            </a:ext>
          </a:extLst>
        </cdr:cNvPr>
        <cdr:cNvSpPr txBox="1"/>
      </cdr:nvSpPr>
      <cdr:spPr bwMode="auto">
        <a:xfrm xmlns:a="http://schemas.openxmlformats.org/drawingml/2006/main">
          <a:off x="5746999" y="2569136"/>
          <a:ext cx="819022" cy="648842"/>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Immobilisation</a:t>
          </a:r>
          <a:endParaRPr lang="fr-FR" sz="1800" b="1"/>
        </a:p>
      </cdr:txBody>
    </cdr:sp>
  </cdr:relSizeAnchor>
  <cdr:relSizeAnchor xmlns:cdr="http://schemas.openxmlformats.org/drawingml/2006/chartDrawing">
    <cdr:from>
      <cdr:x>0.44353</cdr:x>
      <cdr:y>0.37931</cdr:y>
    </cdr:from>
    <cdr:to>
      <cdr:x>0.44371</cdr:x>
      <cdr:y>0.66012</cdr:y>
    </cdr:to>
    <cdr:cxnSp macro="">
      <cdr:nvCxnSpPr>
        <cdr:cNvPr id="12" name="Connecteur droit avec flèche 11">
          <a:extLst xmlns:a="http://schemas.openxmlformats.org/drawingml/2006/main">
            <a:ext uri="{FF2B5EF4-FFF2-40B4-BE49-F238E27FC236}">
              <a16:creationId xmlns:a16="http://schemas.microsoft.com/office/drawing/2014/main" id="{A23B2A71-2681-66A2-90D0-4296E09F3046}"/>
            </a:ext>
          </a:extLst>
        </cdr:cNvPr>
        <cdr:cNvCxnSpPr/>
      </cdr:nvCxnSpPr>
      <cdr:spPr>
        <a:xfrm xmlns:a="http://schemas.openxmlformats.org/drawingml/2006/main">
          <a:off x="6142381" y="3045197"/>
          <a:ext cx="2498" cy="2254405"/>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4</xdr:col>
      <xdr:colOff>1031875</xdr:colOff>
      <xdr:row>152</xdr:row>
      <xdr:rowOff>161924</xdr:rowOff>
    </xdr:from>
    <xdr:to>
      <xdr:col>7</xdr:col>
      <xdr:colOff>1526854</xdr:colOff>
      <xdr:row>169</xdr:row>
      <xdr:rowOff>0</xdr:rowOff>
    </xdr:to>
    <xdr:graphicFrame macro="">
      <xdr:nvGraphicFramePr>
        <xdr:cNvPr id="4" name="Graphique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238125</xdr:colOff>
      <xdr:row>30</xdr:row>
      <xdr:rowOff>238125</xdr:rowOff>
    </xdr:from>
    <xdr:to>
      <xdr:col>41</xdr:col>
      <xdr:colOff>238125</xdr:colOff>
      <xdr:row>40</xdr:row>
      <xdr:rowOff>152929</xdr:rowOff>
    </xdr:to>
    <xdr:graphicFrame macro="">
      <xdr:nvGraphicFramePr>
        <xdr:cNvPr id="2" name="Graphique 1">
          <a:extLst>
            <a:ext uri="{FF2B5EF4-FFF2-40B4-BE49-F238E27FC236}">
              <a16:creationId xmlns:a16="http://schemas.microsoft.com/office/drawing/2014/main" id="{C9A44D2C-E467-AC44-A790-C95ACF5E9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746124</xdr:colOff>
      <xdr:row>108</xdr:row>
      <xdr:rowOff>158747</xdr:rowOff>
    </xdr:from>
    <xdr:to>
      <xdr:col>7</xdr:col>
      <xdr:colOff>1111248</xdr:colOff>
      <xdr:row>121</xdr:row>
      <xdr:rowOff>256887</xdr:rowOff>
    </xdr:to>
    <xdr:graphicFrame macro="">
      <xdr:nvGraphicFramePr>
        <xdr:cNvPr id="2" name="Graphique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0</xdr:row>
      <xdr:rowOff>60960</xdr:rowOff>
    </xdr:from>
    <xdr:to>
      <xdr:col>1</xdr:col>
      <xdr:colOff>0</xdr:colOff>
      <xdr:row>1</xdr:row>
      <xdr:rowOff>106680</xdr:rowOff>
    </xdr:to>
    <xdr:sp macro="" textlink="">
      <xdr:nvSpPr>
        <xdr:cNvPr id="2" name="Flèche gauche 1">
          <a:hlinkClick xmlns:r="http://schemas.openxmlformats.org/officeDocument/2006/relationships" r:id="rId1"/>
          <a:extLst>
            <a:ext uri="{FF2B5EF4-FFF2-40B4-BE49-F238E27FC236}">
              <a16:creationId xmlns:a16="http://schemas.microsoft.com/office/drawing/2014/main" id="{49AB4998-859C-F841-98F0-276DA195809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 name="Flèche gauche 1">
          <a:hlinkClick xmlns:r="http://schemas.openxmlformats.org/officeDocument/2006/relationships" r:id="rId1"/>
          <a:extLst>
            <a:ext uri="{FF2B5EF4-FFF2-40B4-BE49-F238E27FC236}">
              <a16:creationId xmlns:a16="http://schemas.microsoft.com/office/drawing/2014/main" id="{AF1C2C94-DA41-EE41-9C1F-486C98B3985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 name="Flèche gauche 1">
          <a:hlinkClick xmlns:r="http://schemas.openxmlformats.org/officeDocument/2006/relationships" r:id="rId1"/>
          <a:extLst>
            <a:ext uri="{FF2B5EF4-FFF2-40B4-BE49-F238E27FC236}">
              <a16:creationId xmlns:a16="http://schemas.microsoft.com/office/drawing/2014/main" id="{5DCC98D7-4608-B346-BC84-17BB74E5C68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 name="Flèche gauche 1">
          <a:hlinkClick xmlns:r="http://schemas.openxmlformats.org/officeDocument/2006/relationships" r:id="rId2"/>
          <a:extLst>
            <a:ext uri="{FF2B5EF4-FFF2-40B4-BE49-F238E27FC236}">
              <a16:creationId xmlns:a16="http://schemas.microsoft.com/office/drawing/2014/main" id="{8ACB265F-4518-0A4D-BA35-A94A0866A0A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 name="Flèche gauche 1">
          <a:hlinkClick xmlns:r="http://schemas.openxmlformats.org/officeDocument/2006/relationships" r:id="rId1"/>
          <a:extLst>
            <a:ext uri="{FF2B5EF4-FFF2-40B4-BE49-F238E27FC236}">
              <a16:creationId xmlns:a16="http://schemas.microsoft.com/office/drawing/2014/main" id="{8AD118F3-187F-EE40-AC17-5788DE2E094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 name="Flèche gauche 1">
          <a:hlinkClick xmlns:r="http://schemas.openxmlformats.org/officeDocument/2006/relationships" r:id="rId1"/>
          <a:extLst>
            <a:ext uri="{FF2B5EF4-FFF2-40B4-BE49-F238E27FC236}">
              <a16:creationId xmlns:a16="http://schemas.microsoft.com/office/drawing/2014/main" id="{DF571907-BBCA-C14A-AF97-B396B1937F7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 name="Flèche gauche 1">
          <a:hlinkClick xmlns:r="http://schemas.openxmlformats.org/officeDocument/2006/relationships" r:id="rId1"/>
          <a:extLst>
            <a:ext uri="{FF2B5EF4-FFF2-40B4-BE49-F238E27FC236}">
              <a16:creationId xmlns:a16="http://schemas.microsoft.com/office/drawing/2014/main" id="{ACB34D1F-B31D-AC44-99C5-C57CCD3BEDC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 name="Flèche gauche 1">
          <a:hlinkClick xmlns:r="http://schemas.openxmlformats.org/officeDocument/2006/relationships" r:id="rId2"/>
          <a:extLst>
            <a:ext uri="{FF2B5EF4-FFF2-40B4-BE49-F238E27FC236}">
              <a16:creationId xmlns:a16="http://schemas.microsoft.com/office/drawing/2014/main" id="{EBF29F1B-68E1-2D46-BC9D-F68129A203B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 name="Flèche gauche 1">
          <a:hlinkClick xmlns:r="http://schemas.openxmlformats.org/officeDocument/2006/relationships" r:id="rId1"/>
          <a:extLst>
            <a:ext uri="{FF2B5EF4-FFF2-40B4-BE49-F238E27FC236}">
              <a16:creationId xmlns:a16="http://schemas.microsoft.com/office/drawing/2014/main" id="{C17A2C0D-B8D2-F44C-9FC4-A7DAC44E911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 name="Flèche gauche 1">
          <a:hlinkClick xmlns:r="http://schemas.openxmlformats.org/officeDocument/2006/relationships" r:id="rId1"/>
          <a:extLst>
            <a:ext uri="{FF2B5EF4-FFF2-40B4-BE49-F238E27FC236}">
              <a16:creationId xmlns:a16="http://schemas.microsoft.com/office/drawing/2014/main" id="{5C814550-AD7D-9E40-B9E0-59C2BF759A7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 name="Flèche gauche 1">
          <a:hlinkClick xmlns:r="http://schemas.openxmlformats.org/officeDocument/2006/relationships" r:id="rId1"/>
          <a:extLst>
            <a:ext uri="{FF2B5EF4-FFF2-40B4-BE49-F238E27FC236}">
              <a16:creationId xmlns:a16="http://schemas.microsoft.com/office/drawing/2014/main" id="{4E7022BA-7E30-2C48-B42B-99362ECD834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3" name="Flèche gauche 1">
          <a:hlinkClick xmlns:r="http://schemas.openxmlformats.org/officeDocument/2006/relationships" r:id="rId2"/>
          <a:extLst>
            <a:ext uri="{FF2B5EF4-FFF2-40B4-BE49-F238E27FC236}">
              <a16:creationId xmlns:a16="http://schemas.microsoft.com/office/drawing/2014/main" id="{FA7AE5AC-5663-224E-B4BC-CC916D40AD2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4" name="Flèche gauche 1">
          <a:hlinkClick xmlns:r="http://schemas.openxmlformats.org/officeDocument/2006/relationships" r:id="rId1"/>
          <a:extLst>
            <a:ext uri="{FF2B5EF4-FFF2-40B4-BE49-F238E27FC236}">
              <a16:creationId xmlns:a16="http://schemas.microsoft.com/office/drawing/2014/main" id="{F65831CC-659F-C845-B74D-620A83A3B41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5" name="Flèche gauche 1">
          <a:hlinkClick xmlns:r="http://schemas.openxmlformats.org/officeDocument/2006/relationships" r:id="rId1"/>
          <a:extLst>
            <a:ext uri="{FF2B5EF4-FFF2-40B4-BE49-F238E27FC236}">
              <a16:creationId xmlns:a16="http://schemas.microsoft.com/office/drawing/2014/main" id="{14F8E93A-5A93-1F41-AE43-009D6ADD224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6" name="Flèche gauche 1">
          <a:hlinkClick xmlns:r="http://schemas.openxmlformats.org/officeDocument/2006/relationships" r:id="rId1"/>
          <a:extLst>
            <a:ext uri="{FF2B5EF4-FFF2-40B4-BE49-F238E27FC236}">
              <a16:creationId xmlns:a16="http://schemas.microsoft.com/office/drawing/2014/main" id="{09D08574-CED1-B347-AED7-9FDBB0CCCF5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7" name="Flèche gauche 1">
          <a:hlinkClick xmlns:r="http://schemas.openxmlformats.org/officeDocument/2006/relationships" r:id="rId2"/>
          <a:extLst>
            <a:ext uri="{FF2B5EF4-FFF2-40B4-BE49-F238E27FC236}">
              <a16:creationId xmlns:a16="http://schemas.microsoft.com/office/drawing/2014/main" id="{EB8DC328-DDE7-ED46-857D-F7880C964E8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8" name="Flèche gauche 1">
          <a:hlinkClick xmlns:r="http://schemas.openxmlformats.org/officeDocument/2006/relationships" r:id="rId1"/>
          <a:extLst>
            <a:ext uri="{FF2B5EF4-FFF2-40B4-BE49-F238E27FC236}">
              <a16:creationId xmlns:a16="http://schemas.microsoft.com/office/drawing/2014/main" id="{C9B5D55C-949C-CF4C-B1A1-363A934C571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9" name="Flèche gauche 1">
          <a:hlinkClick xmlns:r="http://schemas.openxmlformats.org/officeDocument/2006/relationships" r:id="rId1"/>
          <a:extLst>
            <a:ext uri="{FF2B5EF4-FFF2-40B4-BE49-F238E27FC236}">
              <a16:creationId xmlns:a16="http://schemas.microsoft.com/office/drawing/2014/main" id="{09824472-6688-5A43-9004-11533EBDD81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0" name="Flèche gauche 1">
          <a:hlinkClick xmlns:r="http://schemas.openxmlformats.org/officeDocument/2006/relationships" r:id="rId1"/>
          <a:extLst>
            <a:ext uri="{FF2B5EF4-FFF2-40B4-BE49-F238E27FC236}">
              <a16:creationId xmlns:a16="http://schemas.microsoft.com/office/drawing/2014/main" id="{A4E43298-E365-8E43-B925-0699BB4FA60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1" name="Flèche gauche 1">
          <a:hlinkClick xmlns:r="http://schemas.openxmlformats.org/officeDocument/2006/relationships" r:id="rId2"/>
          <a:extLst>
            <a:ext uri="{FF2B5EF4-FFF2-40B4-BE49-F238E27FC236}">
              <a16:creationId xmlns:a16="http://schemas.microsoft.com/office/drawing/2014/main" id="{F2FC1331-FEDC-AA41-A1BF-A25D7A0CB16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2" name="Flèche gauche 1">
          <a:hlinkClick xmlns:r="http://schemas.openxmlformats.org/officeDocument/2006/relationships" r:id="rId1"/>
          <a:extLst>
            <a:ext uri="{FF2B5EF4-FFF2-40B4-BE49-F238E27FC236}">
              <a16:creationId xmlns:a16="http://schemas.microsoft.com/office/drawing/2014/main" id="{6EDD7C56-FFE8-9C4A-8F9E-D110E324340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3" name="Flèche gauche 1">
          <a:hlinkClick xmlns:r="http://schemas.openxmlformats.org/officeDocument/2006/relationships" r:id="rId1"/>
          <a:extLst>
            <a:ext uri="{FF2B5EF4-FFF2-40B4-BE49-F238E27FC236}">
              <a16:creationId xmlns:a16="http://schemas.microsoft.com/office/drawing/2014/main" id="{89E0D43E-9220-F64B-AA4E-5E1D8E6052E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4" name="Flèche gauche 1">
          <a:hlinkClick xmlns:r="http://schemas.openxmlformats.org/officeDocument/2006/relationships" r:id="rId1"/>
          <a:extLst>
            <a:ext uri="{FF2B5EF4-FFF2-40B4-BE49-F238E27FC236}">
              <a16:creationId xmlns:a16="http://schemas.microsoft.com/office/drawing/2014/main" id="{FB362C13-8735-404F-B854-B4694037294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5" name="Flèche gauche 1">
          <a:hlinkClick xmlns:r="http://schemas.openxmlformats.org/officeDocument/2006/relationships" r:id="rId2"/>
          <a:extLst>
            <a:ext uri="{FF2B5EF4-FFF2-40B4-BE49-F238E27FC236}">
              <a16:creationId xmlns:a16="http://schemas.microsoft.com/office/drawing/2014/main" id="{8C106BA2-8753-2A47-9BF3-1D71A05A7B2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6" name="Flèche gauche 1">
          <a:hlinkClick xmlns:r="http://schemas.openxmlformats.org/officeDocument/2006/relationships" r:id="rId1"/>
          <a:extLst>
            <a:ext uri="{FF2B5EF4-FFF2-40B4-BE49-F238E27FC236}">
              <a16:creationId xmlns:a16="http://schemas.microsoft.com/office/drawing/2014/main" id="{9AAD650A-A632-6043-AA05-92594DA346D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7" name="Flèche gauche 1">
          <a:hlinkClick xmlns:r="http://schemas.openxmlformats.org/officeDocument/2006/relationships" r:id="rId1"/>
          <a:extLst>
            <a:ext uri="{FF2B5EF4-FFF2-40B4-BE49-F238E27FC236}">
              <a16:creationId xmlns:a16="http://schemas.microsoft.com/office/drawing/2014/main" id="{EB32594B-1601-C540-A3D8-02F3C4BB5EA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8" name="Flèche gauche 1">
          <a:hlinkClick xmlns:r="http://schemas.openxmlformats.org/officeDocument/2006/relationships" r:id="rId1"/>
          <a:extLst>
            <a:ext uri="{FF2B5EF4-FFF2-40B4-BE49-F238E27FC236}">
              <a16:creationId xmlns:a16="http://schemas.microsoft.com/office/drawing/2014/main" id="{FD36EC65-96AB-5349-B8F3-21C7AE04EDE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9" name="Flèche gauche 1">
          <a:hlinkClick xmlns:r="http://schemas.openxmlformats.org/officeDocument/2006/relationships" r:id="rId2"/>
          <a:extLst>
            <a:ext uri="{FF2B5EF4-FFF2-40B4-BE49-F238E27FC236}">
              <a16:creationId xmlns:a16="http://schemas.microsoft.com/office/drawing/2014/main" id="{CE08C4FE-199E-B948-B145-800722B4199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0" name="Flèche gauche 1">
          <a:hlinkClick xmlns:r="http://schemas.openxmlformats.org/officeDocument/2006/relationships" r:id="rId1"/>
          <a:extLst>
            <a:ext uri="{FF2B5EF4-FFF2-40B4-BE49-F238E27FC236}">
              <a16:creationId xmlns:a16="http://schemas.microsoft.com/office/drawing/2014/main" id="{AF067694-034B-6F40-BEFF-4A59607BBAB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1" name="Flèche gauche 1">
          <a:hlinkClick xmlns:r="http://schemas.openxmlformats.org/officeDocument/2006/relationships" r:id="rId1"/>
          <a:extLst>
            <a:ext uri="{FF2B5EF4-FFF2-40B4-BE49-F238E27FC236}">
              <a16:creationId xmlns:a16="http://schemas.microsoft.com/office/drawing/2014/main" id="{890A1BA9-2300-DF4D-8A9A-7AA6D8CAF3C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2" name="Flèche gauche 1">
          <a:hlinkClick xmlns:r="http://schemas.openxmlformats.org/officeDocument/2006/relationships" r:id="rId1"/>
          <a:extLst>
            <a:ext uri="{FF2B5EF4-FFF2-40B4-BE49-F238E27FC236}">
              <a16:creationId xmlns:a16="http://schemas.microsoft.com/office/drawing/2014/main" id="{97031728-0AFB-984E-BA9E-595030AAC87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3" name="Flèche gauche 1">
          <a:hlinkClick xmlns:r="http://schemas.openxmlformats.org/officeDocument/2006/relationships" r:id="rId2"/>
          <a:extLst>
            <a:ext uri="{FF2B5EF4-FFF2-40B4-BE49-F238E27FC236}">
              <a16:creationId xmlns:a16="http://schemas.microsoft.com/office/drawing/2014/main" id="{4FC58B51-2A43-C349-9521-0A57ED10D23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4" name="Flèche gauche 1">
          <a:hlinkClick xmlns:r="http://schemas.openxmlformats.org/officeDocument/2006/relationships" r:id="rId1"/>
          <a:extLst>
            <a:ext uri="{FF2B5EF4-FFF2-40B4-BE49-F238E27FC236}">
              <a16:creationId xmlns:a16="http://schemas.microsoft.com/office/drawing/2014/main" id="{10C44596-41FD-7247-942A-0FD876F96EE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5" name="Flèche gauche 1">
          <a:hlinkClick xmlns:r="http://schemas.openxmlformats.org/officeDocument/2006/relationships" r:id="rId1"/>
          <a:extLst>
            <a:ext uri="{FF2B5EF4-FFF2-40B4-BE49-F238E27FC236}">
              <a16:creationId xmlns:a16="http://schemas.microsoft.com/office/drawing/2014/main" id="{92C36AB4-2D4E-FC45-BA14-7B637F512E4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6" name="Flèche gauche 1">
          <a:hlinkClick xmlns:r="http://schemas.openxmlformats.org/officeDocument/2006/relationships" r:id="rId1"/>
          <a:extLst>
            <a:ext uri="{FF2B5EF4-FFF2-40B4-BE49-F238E27FC236}">
              <a16:creationId xmlns:a16="http://schemas.microsoft.com/office/drawing/2014/main" id="{0442E442-F8A1-CB46-A750-811C695E4BB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7" name="Flèche gauche 1">
          <a:hlinkClick xmlns:r="http://schemas.openxmlformats.org/officeDocument/2006/relationships" r:id="rId2"/>
          <a:extLst>
            <a:ext uri="{FF2B5EF4-FFF2-40B4-BE49-F238E27FC236}">
              <a16:creationId xmlns:a16="http://schemas.microsoft.com/office/drawing/2014/main" id="{DEE7F376-375D-EC4B-B342-2B91A747AD6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8" name="Flèche gauche 1">
          <a:hlinkClick xmlns:r="http://schemas.openxmlformats.org/officeDocument/2006/relationships" r:id="rId1"/>
          <a:extLst>
            <a:ext uri="{FF2B5EF4-FFF2-40B4-BE49-F238E27FC236}">
              <a16:creationId xmlns:a16="http://schemas.microsoft.com/office/drawing/2014/main" id="{7DDAC9D7-BFF8-1E4E-8CCF-63E18287D35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9" name="Flèche gauche 1">
          <a:hlinkClick xmlns:r="http://schemas.openxmlformats.org/officeDocument/2006/relationships" r:id="rId1"/>
          <a:extLst>
            <a:ext uri="{FF2B5EF4-FFF2-40B4-BE49-F238E27FC236}">
              <a16:creationId xmlns:a16="http://schemas.microsoft.com/office/drawing/2014/main" id="{B5982E60-EBD8-CA4E-81E7-6A699EB15A8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0" name="Flèche gauche 1">
          <a:hlinkClick xmlns:r="http://schemas.openxmlformats.org/officeDocument/2006/relationships" r:id="rId1"/>
          <a:extLst>
            <a:ext uri="{FF2B5EF4-FFF2-40B4-BE49-F238E27FC236}">
              <a16:creationId xmlns:a16="http://schemas.microsoft.com/office/drawing/2014/main" id="{E4B52874-7A1A-934C-BB34-DC0BB19DD22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1" name="Flèche gauche 1">
          <a:hlinkClick xmlns:r="http://schemas.openxmlformats.org/officeDocument/2006/relationships" r:id="rId2"/>
          <a:extLst>
            <a:ext uri="{FF2B5EF4-FFF2-40B4-BE49-F238E27FC236}">
              <a16:creationId xmlns:a16="http://schemas.microsoft.com/office/drawing/2014/main" id="{4716564D-C476-B642-AC57-ED09B4728A3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2" name="Flèche gauche 1">
          <a:hlinkClick xmlns:r="http://schemas.openxmlformats.org/officeDocument/2006/relationships" r:id="rId1"/>
          <a:extLst>
            <a:ext uri="{FF2B5EF4-FFF2-40B4-BE49-F238E27FC236}">
              <a16:creationId xmlns:a16="http://schemas.microsoft.com/office/drawing/2014/main" id="{FF719A92-B6C0-A042-B3B4-69EB9D9200D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3" name="Flèche gauche 1">
          <a:hlinkClick xmlns:r="http://schemas.openxmlformats.org/officeDocument/2006/relationships" r:id="rId1"/>
          <a:extLst>
            <a:ext uri="{FF2B5EF4-FFF2-40B4-BE49-F238E27FC236}">
              <a16:creationId xmlns:a16="http://schemas.microsoft.com/office/drawing/2014/main" id="{2E6A420A-07E5-0C49-9CA1-CF8CB713E39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4" name="Flèche gauche 1">
          <a:hlinkClick xmlns:r="http://schemas.openxmlformats.org/officeDocument/2006/relationships" r:id="rId1"/>
          <a:extLst>
            <a:ext uri="{FF2B5EF4-FFF2-40B4-BE49-F238E27FC236}">
              <a16:creationId xmlns:a16="http://schemas.microsoft.com/office/drawing/2014/main" id="{7C4C216A-4B83-2A45-9079-A0FEA9369CF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5" name="Flèche gauche 1">
          <a:hlinkClick xmlns:r="http://schemas.openxmlformats.org/officeDocument/2006/relationships" r:id="rId2"/>
          <a:extLst>
            <a:ext uri="{FF2B5EF4-FFF2-40B4-BE49-F238E27FC236}">
              <a16:creationId xmlns:a16="http://schemas.microsoft.com/office/drawing/2014/main" id="{96B86D9E-A35F-A94D-B00F-3CCD04D2C0F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6" name="Flèche gauche 1">
          <a:hlinkClick xmlns:r="http://schemas.openxmlformats.org/officeDocument/2006/relationships" r:id="rId1"/>
          <a:extLst>
            <a:ext uri="{FF2B5EF4-FFF2-40B4-BE49-F238E27FC236}">
              <a16:creationId xmlns:a16="http://schemas.microsoft.com/office/drawing/2014/main" id="{396EC62F-D978-F949-87B0-3527D34D0E4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7" name="Flèche gauche 1">
          <a:hlinkClick xmlns:r="http://schemas.openxmlformats.org/officeDocument/2006/relationships" r:id="rId1"/>
          <a:extLst>
            <a:ext uri="{FF2B5EF4-FFF2-40B4-BE49-F238E27FC236}">
              <a16:creationId xmlns:a16="http://schemas.microsoft.com/office/drawing/2014/main" id="{BD028E05-22B8-AB4E-A699-592623F0E1F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8" name="Flèche gauche 1">
          <a:hlinkClick xmlns:r="http://schemas.openxmlformats.org/officeDocument/2006/relationships" r:id="rId1"/>
          <a:extLst>
            <a:ext uri="{FF2B5EF4-FFF2-40B4-BE49-F238E27FC236}">
              <a16:creationId xmlns:a16="http://schemas.microsoft.com/office/drawing/2014/main" id="{1AA8F353-F68E-E34A-9EBE-668FB49C239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9" name="Flèche gauche 1">
          <a:hlinkClick xmlns:r="http://schemas.openxmlformats.org/officeDocument/2006/relationships" r:id="rId2"/>
          <a:extLst>
            <a:ext uri="{FF2B5EF4-FFF2-40B4-BE49-F238E27FC236}">
              <a16:creationId xmlns:a16="http://schemas.microsoft.com/office/drawing/2014/main" id="{A918B4BC-CA4D-6849-8BE8-F67DEED5A59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0" name="Flèche gauche 1">
          <a:hlinkClick xmlns:r="http://schemas.openxmlformats.org/officeDocument/2006/relationships" r:id="rId1"/>
          <a:extLst>
            <a:ext uri="{FF2B5EF4-FFF2-40B4-BE49-F238E27FC236}">
              <a16:creationId xmlns:a16="http://schemas.microsoft.com/office/drawing/2014/main" id="{6A9260F8-17BD-8649-AD07-53D9E295A6D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1" name="Flèche gauche 1">
          <a:hlinkClick xmlns:r="http://schemas.openxmlformats.org/officeDocument/2006/relationships" r:id="rId1"/>
          <a:extLst>
            <a:ext uri="{FF2B5EF4-FFF2-40B4-BE49-F238E27FC236}">
              <a16:creationId xmlns:a16="http://schemas.microsoft.com/office/drawing/2014/main" id="{7D1D704C-D0DE-0142-9E9E-981C8CC8A85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2" name="Flèche gauche 1">
          <a:hlinkClick xmlns:r="http://schemas.openxmlformats.org/officeDocument/2006/relationships" r:id="rId1"/>
          <a:extLst>
            <a:ext uri="{FF2B5EF4-FFF2-40B4-BE49-F238E27FC236}">
              <a16:creationId xmlns:a16="http://schemas.microsoft.com/office/drawing/2014/main" id="{B0A9861C-52E9-2F4D-AAE6-DB925A1BD08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3" name="Flèche gauche 1">
          <a:hlinkClick xmlns:r="http://schemas.openxmlformats.org/officeDocument/2006/relationships" r:id="rId2"/>
          <a:extLst>
            <a:ext uri="{FF2B5EF4-FFF2-40B4-BE49-F238E27FC236}">
              <a16:creationId xmlns:a16="http://schemas.microsoft.com/office/drawing/2014/main" id="{9FF72E96-6E58-4D46-995A-97C7FFFFACA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4" name="Flèche gauche 1">
          <a:hlinkClick xmlns:r="http://schemas.openxmlformats.org/officeDocument/2006/relationships" r:id="rId1"/>
          <a:extLst>
            <a:ext uri="{FF2B5EF4-FFF2-40B4-BE49-F238E27FC236}">
              <a16:creationId xmlns:a16="http://schemas.microsoft.com/office/drawing/2014/main" id="{0494DEDD-177A-4947-BB55-2870B7E855D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5" name="Flèche gauche 1">
          <a:hlinkClick xmlns:r="http://schemas.openxmlformats.org/officeDocument/2006/relationships" r:id="rId1"/>
          <a:extLst>
            <a:ext uri="{FF2B5EF4-FFF2-40B4-BE49-F238E27FC236}">
              <a16:creationId xmlns:a16="http://schemas.microsoft.com/office/drawing/2014/main" id="{74536709-C87A-F34E-AC12-7112275C2F2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6" name="Flèche gauche 1">
          <a:hlinkClick xmlns:r="http://schemas.openxmlformats.org/officeDocument/2006/relationships" r:id="rId1"/>
          <a:extLst>
            <a:ext uri="{FF2B5EF4-FFF2-40B4-BE49-F238E27FC236}">
              <a16:creationId xmlns:a16="http://schemas.microsoft.com/office/drawing/2014/main" id="{E435C2C6-5DF4-254E-842A-9826BBA973A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7" name="Flèche gauche 1">
          <a:hlinkClick xmlns:r="http://schemas.openxmlformats.org/officeDocument/2006/relationships" r:id="rId2"/>
          <a:extLst>
            <a:ext uri="{FF2B5EF4-FFF2-40B4-BE49-F238E27FC236}">
              <a16:creationId xmlns:a16="http://schemas.microsoft.com/office/drawing/2014/main" id="{E72174E7-6D43-E143-B35F-87E545189CD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8" name="Flèche gauche 1">
          <a:hlinkClick xmlns:r="http://schemas.openxmlformats.org/officeDocument/2006/relationships" r:id="rId1"/>
          <a:extLst>
            <a:ext uri="{FF2B5EF4-FFF2-40B4-BE49-F238E27FC236}">
              <a16:creationId xmlns:a16="http://schemas.microsoft.com/office/drawing/2014/main" id="{2B50DC60-F469-7143-B66A-6E22BADDF2C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9" name="Flèche gauche 1">
          <a:hlinkClick xmlns:r="http://schemas.openxmlformats.org/officeDocument/2006/relationships" r:id="rId1"/>
          <a:extLst>
            <a:ext uri="{FF2B5EF4-FFF2-40B4-BE49-F238E27FC236}">
              <a16:creationId xmlns:a16="http://schemas.microsoft.com/office/drawing/2014/main" id="{9AF6109A-E713-E84C-80E7-9BE9E835C4F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0" name="Flèche gauche 1">
          <a:hlinkClick xmlns:r="http://schemas.openxmlformats.org/officeDocument/2006/relationships" r:id="rId1"/>
          <a:extLst>
            <a:ext uri="{FF2B5EF4-FFF2-40B4-BE49-F238E27FC236}">
              <a16:creationId xmlns:a16="http://schemas.microsoft.com/office/drawing/2014/main" id="{36D2BDD0-480D-8C47-B156-60B39359DA0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1" name="Flèche gauche 1">
          <a:hlinkClick xmlns:r="http://schemas.openxmlformats.org/officeDocument/2006/relationships" r:id="rId2"/>
          <a:extLst>
            <a:ext uri="{FF2B5EF4-FFF2-40B4-BE49-F238E27FC236}">
              <a16:creationId xmlns:a16="http://schemas.microsoft.com/office/drawing/2014/main" id="{FC5DE4E1-C22E-184E-B118-EFA5D060920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2" name="Flèche gauche 1">
          <a:hlinkClick xmlns:r="http://schemas.openxmlformats.org/officeDocument/2006/relationships" r:id="rId1"/>
          <a:extLst>
            <a:ext uri="{FF2B5EF4-FFF2-40B4-BE49-F238E27FC236}">
              <a16:creationId xmlns:a16="http://schemas.microsoft.com/office/drawing/2014/main" id="{12D5C7E9-827F-484D-AFEA-766238E9D5C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3" name="Flèche gauche 1">
          <a:hlinkClick xmlns:r="http://schemas.openxmlformats.org/officeDocument/2006/relationships" r:id="rId1"/>
          <a:extLst>
            <a:ext uri="{FF2B5EF4-FFF2-40B4-BE49-F238E27FC236}">
              <a16:creationId xmlns:a16="http://schemas.microsoft.com/office/drawing/2014/main" id="{0A0A2056-C42C-5348-B33C-C4EE968F315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4" name="Flèche gauche 1">
          <a:hlinkClick xmlns:r="http://schemas.openxmlformats.org/officeDocument/2006/relationships" r:id="rId1"/>
          <a:extLst>
            <a:ext uri="{FF2B5EF4-FFF2-40B4-BE49-F238E27FC236}">
              <a16:creationId xmlns:a16="http://schemas.microsoft.com/office/drawing/2014/main" id="{2CABF885-9E0A-6543-9176-E6265958C21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5" name="Flèche gauche 1">
          <a:hlinkClick xmlns:r="http://schemas.openxmlformats.org/officeDocument/2006/relationships" r:id="rId2"/>
          <a:extLst>
            <a:ext uri="{FF2B5EF4-FFF2-40B4-BE49-F238E27FC236}">
              <a16:creationId xmlns:a16="http://schemas.microsoft.com/office/drawing/2014/main" id="{726AA545-2456-E044-957E-BBB82F5E4C4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769129</xdr:colOff>
      <xdr:row>217</xdr:row>
      <xdr:rowOff>190723</xdr:rowOff>
    </xdr:from>
    <xdr:to>
      <xdr:col>4</xdr:col>
      <xdr:colOff>545430</xdr:colOff>
      <xdr:row>227</xdr:row>
      <xdr:rowOff>70620</xdr:rowOff>
    </xdr:to>
    <xdr:pic>
      <xdr:nvPicPr>
        <xdr:cNvPr id="3" name="Image 2">
          <a:extLst>
            <a:ext uri="{FF2B5EF4-FFF2-40B4-BE49-F238E27FC236}">
              <a16:creationId xmlns:a16="http://schemas.microsoft.com/office/drawing/2014/main" id="{E6D4876A-FF77-97F8-4268-CAE23C26E1C1}"/>
            </a:ext>
          </a:extLst>
        </xdr:cNvPr>
        <xdr:cNvPicPr>
          <a:picLocks noChangeAspect="1"/>
        </xdr:cNvPicPr>
      </xdr:nvPicPr>
      <xdr:blipFill>
        <a:blip xmlns:r="http://schemas.openxmlformats.org/officeDocument/2006/relationships" r:embed="rId1"/>
        <a:stretch>
          <a:fillRect/>
        </a:stretch>
      </xdr:blipFill>
      <xdr:spPr>
        <a:xfrm>
          <a:off x="769129" y="66103723"/>
          <a:ext cx="7802701" cy="1911896"/>
        </a:xfrm>
        <a:prstGeom prst="rect">
          <a:avLst/>
        </a:prstGeom>
      </xdr:spPr>
    </xdr:pic>
    <xdr:clientData/>
  </xdr:twoCellAnchor>
  <xdr:twoCellAnchor editAs="oneCell">
    <xdr:from>
      <xdr:col>1</xdr:col>
      <xdr:colOff>90906</xdr:colOff>
      <xdr:row>206</xdr:row>
      <xdr:rowOff>0</xdr:rowOff>
    </xdr:from>
    <xdr:to>
      <xdr:col>4</xdr:col>
      <xdr:colOff>739274</xdr:colOff>
      <xdr:row>215</xdr:row>
      <xdr:rowOff>120315</xdr:rowOff>
    </xdr:to>
    <xdr:pic>
      <xdr:nvPicPr>
        <xdr:cNvPr id="5" name="Image 4">
          <a:extLst>
            <a:ext uri="{FF2B5EF4-FFF2-40B4-BE49-F238E27FC236}">
              <a16:creationId xmlns:a16="http://schemas.microsoft.com/office/drawing/2014/main" id="{79BA33A4-4228-23A9-E375-4F6E34ED71E3}"/>
            </a:ext>
          </a:extLst>
        </xdr:cNvPr>
        <xdr:cNvPicPr>
          <a:picLocks noChangeAspect="1"/>
        </xdr:cNvPicPr>
      </xdr:nvPicPr>
      <xdr:blipFill>
        <a:blip xmlns:r="http://schemas.openxmlformats.org/officeDocument/2006/relationships" r:embed="rId2"/>
        <a:stretch>
          <a:fillRect/>
        </a:stretch>
      </xdr:blipFill>
      <xdr:spPr>
        <a:xfrm>
          <a:off x="1005306" y="63677800"/>
          <a:ext cx="7760368" cy="1949116"/>
        </a:xfrm>
        <a:prstGeom prst="rect">
          <a:avLst/>
        </a:prstGeom>
      </xdr:spPr>
    </xdr:pic>
    <xdr:clientData/>
  </xdr:twoCellAnchor>
  <xdr:twoCellAnchor editAs="oneCell">
    <xdr:from>
      <xdr:col>0</xdr:col>
      <xdr:colOff>880978</xdr:colOff>
      <xdr:row>229</xdr:row>
      <xdr:rowOff>196516</xdr:rowOff>
    </xdr:from>
    <xdr:to>
      <xdr:col>4</xdr:col>
      <xdr:colOff>614946</xdr:colOff>
      <xdr:row>238</xdr:row>
      <xdr:rowOff>173468</xdr:rowOff>
    </xdr:to>
    <xdr:pic>
      <xdr:nvPicPr>
        <xdr:cNvPr id="6" name="Image 5">
          <a:extLst>
            <a:ext uri="{FF2B5EF4-FFF2-40B4-BE49-F238E27FC236}">
              <a16:creationId xmlns:a16="http://schemas.microsoft.com/office/drawing/2014/main" id="{A66A7C82-B65B-CAD0-1B9B-E2AED28FA4D5}"/>
            </a:ext>
          </a:extLst>
        </xdr:cNvPr>
        <xdr:cNvPicPr>
          <a:picLocks noChangeAspect="1"/>
        </xdr:cNvPicPr>
      </xdr:nvPicPr>
      <xdr:blipFill>
        <a:blip xmlns:r="http://schemas.openxmlformats.org/officeDocument/2006/relationships" r:embed="rId3"/>
        <a:stretch>
          <a:fillRect/>
        </a:stretch>
      </xdr:blipFill>
      <xdr:spPr>
        <a:xfrm>
          <a:off x="880978" y="68547916"/>
          <a:ext cx="7760368" cy="18057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0</xdr:row>
      <xdr:rowOff>60960</xdr:rowOff>
    </xdr:from>
    <xdr:to>
      <xdr:col>1</xdr:col>
      <xdr:colOff>0</xdr:colOff>
      <xdr:row>1</xdr:row>
      <xdr:rowOff>106680</xdr:rowOff>
    </xdr:to>
    <xdr:sp macro="" textlink="">
      <xdr:nvSpPr>
        <xdr:cNvPr id="2" name="Flèche gauche 1">
          <a:hlinkClick xmlns:r="http://schemas.openxmlformats.org/officeDocument/2006/relationships" r:id="rId1"/>
          <a:extLst>
            <a:ext uri="{FF2B5EF4-FFF2-40B4-BE49-F238E27FC236}">
              <a16:creationId xmlns:a16="http://schemas.microsoft.com/office/drawing/2014/main" id="{DE80F012-B7E1-8140-BF22-9E8DAA2E3C94}"/>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 name="Flèche gauche 1">
          <a:hlinkClick xmlns:r="http://schemas.openxmlformats.org/officeDocument/2006/relationships" r:id="rId1"/>
          <a:extLst>
            <a:ext uri="{FF2B5EF4-FFF2-40B4-BE49-F238E27FC236}">
              <a16:creationId xmlns:a16="http://schemas.microsoft.com/office/drawing/2014/main" id="{67B00AB3-082B-F941-9E27-C87B03D52A1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 name="Flèche gauche 1">
          <a:hlinkClick xmlns:r="http://schemas.openxmlformats.org/officeDocument/2006/relationships" r:id="rId1"/>
          <a:extLst>
            <a:ext uri="{FF2B5EF4-FFF2-40B4-BE49-F238E27FC236}">
              <a16:creationId xmlns:a16="http://schemas.microsoft.com/office/drawing/2014/main" id="{2BEEEDE0-CFFE-BB4F-AFD0-1D3D7A9F2C8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 name="Flèche gauche 1">
          <a:hlinkClick xmlns:r="http://schemas.openxmlformats.org/officeDocument/2006/relationships" r:id="rId2"/>
          <a:extLst>
            <a:ext uri="{FF2B5EF4-FFF2-40B4-BE49-F238E27FC236}">
              <a16:creationId xmlns:a16="http://schemas.microsoft.com/office/drawing/2014/main" id="{F17C0F20-5106-7741-A3F3-278A67E15E7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 name="Flèche gauche 1">
          <a:hlinkClick xmlns:r="http://schemas.openxmlformats.org/officeDocument/2006/relationships" r:id="rId1"/>
          <a:extLst>
            <a:ext uri="{FF2B5EF4-FFF2-40B4-BE49-F238E27FC236}">
              <a16:creationId xmlns:a16="http://schemas.microsoft.com/office/drawing/2014/main" id="{30CD10FD-45DE-CF45-A06A-175BBB0BDA1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7" name="Flèche gauche 1">
          <a:hlinkClick xmlns:r="http://schemas.openxmlformats.org/officeDocument/2006/relationships" r:id="rId1"/>
          <a:extLst>
            <a:ext uri="{FF2B5EF4-FFF2-40B4-BE49-F238E27FC236}">
              <a16:creationId xmlns:a16="http://schemas.microsoft.com/office/drawing/2014/main" id="{C407870C-48A0-B942-9D56-F302635608A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8" name="Flèche gauche 1">
          <a:hlinkClick xmlns:r="http://schemas.openxmlformats.org/officeDocument/2006/relationships" r:id="rId1"/>
          <a:extLst>
            <a:ext uri="{FF2B5EF4-FFF2-40B4-BE49-F238E27FC236}">
              <a16:creationId xmlns:a16="http://schemas.microsoft.com/office/drawing/2014/main" id="{C15FD15D-2467-7340-81FA-9423FFB79F5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9" name="Flèche gauche 1">
          <a:hlinkClick xmlns:r="http://schemas.openxmlformats.org/officeDocument/2006/relationships" r:id="rId2"/>
          <a:extLst>
            <a:ext uri="{FF2B5EF4-FFF2-40B4-BE49-F238E27FC236}">
              <a16:creationId xmlns:a16="http://schemas.microsoft.com/office/drawing/2014/main" id="{0D95F2A2-BE6F-0F41-8006-BB6CDBF623F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0" name="Flèche gauche 1">
          <a:hlinkClick xmlns:r="http://schemas.openxmlformats.org/officeDocument/2006/relationships" r:id="rId1"/>
          <a:extLst>
            <a:ext uri="{FF2B5EF4-FFF2-40B4-BE49-F238E27FC236}">
              <a16:creationId xmlns:a16="http://schemas.microsoft.com/office/drawing/2014/main" id="{D6DD2138-6BF4-8A46-AA94-269CA6F9C69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1" name="Flèche gauche 1">
          <a:hlinkClick xmlns:r="http://schemas.openxmlformats.org/officeDocument/2006/relationships" r:id="rId1"/>
          <a:extLst>
            <a:ext uri="{FF2B5EF4-FFF2-40B4-BE49-F238E27FC236}">
              <a16:creationId xmlns:a16="http://schemas.microsoft.com/office/drawing/2014/main" id="{64399B7D-0F34-B04C-BBDA-AD66D5BD64E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2" name="Flèche gauche 1">
          <a:hlinkClick xmlns:r="http://schemas.openxmlformats.org/officeDocument/2006/relationships" r:id="rId1"/>
          <a:extLst>
            <a:ext uri="{FF2B5EF4-FFF2-40B4-BE49-F238E27FC236}">
              <a16:creationId xmlns:a16="http://schemas.microsoft.com/office/drawing/2014/main" id="{41686715-F568-B14C-A2F2-862AA44597B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3" name="Flèche gauche 1">
          <a:hlinkClick xmlns:r="http://schemas.openxmlformats.org/officeDocument/2006/relationships" r:id="rId2"/>
          <a:extLst>
            <a:ext uri="{FF2B5EF4-FFF2-40B4-BE49-F238E27FC236}">
              <a16:creationId xmlns:a16="http://schemas.microsoft.com/office/drawing/2014/main" id="{7F9A38B8-D5B1-1448-A8C8-DFAF632E3A1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4" name="Flèche gauche 1">
          <a:hlinkClick xmlns:r="http://schemas.openxmlformats.org/officeDocument/2006/relationships" r:id="rId1"/>
          <a:extLst>
            <a:ext uri="{FF2B5EF4-FFF2-40B4-BE49-F238E27FC236}">
              <a16:creationId xmlns:a16="http://schemas.microsoft.com/office/drawing/2014/main" id="{D19C7C53-A768-A249-815A-2A25EA184AD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5" name="Flèche gauche 1">
          <a:hlinkClick xmlns:r="http://schemas.openxmlformats.org/officeDocument/2006/relationships" r:id="rId1"/>
          <a:extLst>
            <a:ext uri="{FF2B5EF4-FFF2-40B4-BE49-F238E27FC236}">
              <a16:creationId xmlns:a16="http://schemas.microsoft.com/office/drawing/2014/main" id="{36E2C86F-4990-E24E-98B3-9774FA7B190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6" name="Flèche gauche 1">
          <a:hlinkClick xmlns:r="http://schemas.openxmlformats.org/officeDocument/2006/relationships" r:id="rId1"/>
          <a:extLst>
            <a:ext uri="{FF2B5EF4-FFF2-40B4-BE49-F238E27FC236}">
              <a16:creationId xmlns:a16="http://schemas.microsoft.com/office/drawing/2014/main" id="{D9E0AF72-3CC5-E44C-80B1-B32D8803B06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7" name="Flèche gauche 1">
          <a:hlinkClick xmlns:r="http://schemas.openxmlformats.org/officeDocument/2006/relationships" r:id="rId2"/>
          <a:extLst>
            <a:ext uri="{FF2B5EF4-FFF2-40B4-BE49-F238E27FC236}">
              <a16:creationId xmlns:a16="http://schemas.microsoft.com/office/drawing/2014/main" id="{9FCC3CF4-F0BD-1A41-89F1-5FD185B90DF6}"/>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8" name="Flèche gauche 1">
          <a:hlinkClick xmlns:r="http://schemas.openxmlformats.org/officeDocument/2006/relationships" r:id="rId1"/>
          <a:extLst>
            <a:ext uri="{FF2B5EF4-FFF2-40B4-BE49-F238E27FC236}">
              <a16:creationId xmlns:a16="http://schemas.microsoft.com/office/drawing/2014/main" id="{0989D73D-49FC-3843-8815-FF24B1307BD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19" name="Flèche gauche 1">
          <a:hlinkClick xmlns:r="http://schemas.openxmlformats.org/officeDocument/2006/relationships" r:id="rId1"/>
          <a:extLst>
            <a:ext uri="{FF2B5EF4-FFF2-40B4-BE49-F238E27FC236}">
              <a16:creationId xmlns:a16="http://schemas.microsoft.com/office/drawing/2014/main" id="{2F2FFE09-ED9C-4A4F-898E-8BE0095F6B0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0" name="Flèche gauche 1">
          <a:hlinkClick xmlns:r="http://schemas.openxmlformats.org/officeDocument/2006/relationships" r:id="rId1"/>
          <a:extLst>
            <a:ext uri="{FF2B5EF4-FFF2-40B4-BE49-F238E27FC236}">
              <a16:creationId xmlns:a16="http://schemas.microsoft.com/office/drawing/2014/main" id="{FD971C21-1293-A948-80C4-07BD9432910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1" name="Flèche gauche 1">
          <a:hlinkClick xmlns:r="http://schemas.openxmlformats.org/officeDocument/2006/relationships" r:id="rId2"/>
          <a:extLst>
            <a:ext uri="{FF2B5EF4-FFF2-40B4-BE49-F238E27FC236}">
              <a16:creationId xmlns:a16="http://schemas.microsoft.com/office/drawing/2014/main" id="{65258392-12C9-8645-A8D8-68CEE83FAED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2" name="Flèche gauche 1">
          <a:hlinkClick xmlns:r="http://schemas.openxmlformats.org/officeDocument/2006/relationships" r:id="rId1"/>
          <a:extLst>
            <a:ext uri="{FF2B5EF4-FFF2-40B4-BE49-F238E27FC236}">
              <a16:creationId xmlns:a16="http://schemas.microsoft.com/office/drawing/2014/main" id="{E41E3492-9DE9-4B4C-AA03-AA8B8344421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3" name="Flèche gauche 1">
          <a:hlinkClick xmlns:r="http://schemas.openxmlformats.org/officeDocument/2006/relationships" r:id="rId1"/>
          <a:extLst>
            <a:ext uri="{FF2B5EF4-FFF2-40B4-BE49-F238E27FC236}">
              <a16:creationId xmlns:a16="http://schemas.microsoft.com/office/drawing/2014/main" id="{BD92031C-C00E-6A41-B27D-05166A67FF4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4" name="Flèche gauche 1">
          <a:hlinkClick xmlns:r="http://schemas.openxmlformats.org/officeDocument/2006/relationships" r:id="rId1"/>
          <a:extLst>
            <a:ext uri="{FF2B5EF4-FFF2-40B4-BE49-F238E27FC236}">
              <a16:creationId xmlns:a16="http://schemas.microsoft.com/office/drawing/2014/main" id="{98CB1F3F-0CF1-3841-B9A5-2DBBF1D4A93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5" name="Flèche gauche 1">
          <a:hlinkClick xmlns:r="http://schemas.openxmlformats.org/officeDocument/2006/relationships" r:id="rId2"/>
          <a:extLst>
            <a:ext uri="{FF2B5EF4-FFF2-40B4-BE49-F238E27FC236}">
              <a16:creationId xmlns:a16="http://schemas.microsoft.com/office/drawing/2014/main" id="{B5C77FDB-D1E2-9E41-AF3D-6601B40CFEFC}"/>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6" name="Flèche gauche 1">
          <a:hlinkClick xmlns:r="http://schemas.openxmlformats.org/officeDocument/2006/relationships" r:id="rId1"/>
          <a:extLst>
            <a:ext uri="{FF2B5EF4-FFF2-40B4-BE49-F238E27FC236}">
              <a16:creationId xmlns:a16="http://schemas.microsoft.com/office/drawing/2014/main" id="{5B334525-C83F-6146-922C-FE23598BF92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7" name="Flèche gauche 1">
          <a:hlinkClick xmlns:r="http://schemas.openxmlformats.org/officeDocument/2006/relationships" r:id="rId1"/>
          <a:extLst>
            <a:ext uri="{FF2B5EF4-FFF2-40B4-BE49-F238E27FC236}">
              <a16:creationId xmlns:a16="http://schemas.microsoft.com/office/drawing/2014/main" id="{B913BCB6-6AC5-D748-B83C-D05958FC0C5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8" name="Flèche gauche 1">
          <a:hlinkClick xmlns:r="http://schemas.openxmlformats.org/officeDocument/2006/relationships" r:id="rId1"/>
          <a:extLst>
            <a:ext uri="{FF2B5EF4-FFF2-40B4-BE49-F238E27FC236}">
              <a16:creationId xmlns:a16="http://schemas.microsoft.com/office/drawing/2014/main" id="{884878D8-B86B-BF41-BFE7-CF2867C9FDF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29" name="Flèche gauche 1">
          <a:hlinkClick xmlns:r="http://schemas.openxmlformats.org/officeDocument/2006/relationships" r:id="rId2"/>
          <a:extLst>
            <a:ext uri="{FF2B5EF4-FFF2-40B4-BE49-F238E27FC236}">
              <a16:creationId xmlns:a16="http://schemas.microsoft.com/office/drawing/2014/main" id="{FD8C0C03-7AA0-3949-9647-747BDBEEA54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0" name="Flèche gauche 1">
          <a:hlinkClick xmlns:r="http://schemas.openxmlformats.org/officeDocument/2006/relationships" r:id="rId1"/>
          <a:extLst>
            <a:ext uri="{FF2B5EF4-FFF2-40B4-BE49-F238E27FC236}">
              <a16:creationId xmlns:a16="http://schemas.microsoft.com/office/drawing/2014/main" id="{9AC78F4E-8CCC-6A41-8ECA-4210BABB6E8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1" name="Flèche gauche 1">
          <a:hlinkClick xmlns:r="http://schemas.openxmlformats.org/officeDocument/2006/relationships" r:id="rId1"/>
          <a:extLst>
            <a:ext uri="{FF2B5EF4-FFF2-40B4-BE49-F238E27FC236}">
              <a16:creationId xmlns:a16="http://schemas.microsoft.com/office/drawing/2014/main" id="{8399F11D-0F4F-2742-BAD9-161B801F3E3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2" name="Flèche gauche 1">
          <a:hlinkClick xmlns:r="http://schemas.openxmlformats.org/officeDocument/2006/relationships" r:id="rId1"/>
          <a:extLst>
            <a:ext uri="{FF2B5EF4-FFF2-40B4-BE49-F238E27FC236}">
              <a16:creationId xmlns:a16="http://schemas.microsoft.com/office/drawing/2014/main" id="{F6BC2DE2-CD7F-9C47-901B-5FAF2FEFE70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3" name="Flèche gauche 1">
          <a:hlinkClick xmlns:r="http://schemas.openxmlformats.org/officeDocument/2006/relationships" r:id="rId2"/>
          <a:extLst>
            <a:ext uri="{FF2B5EF4-FFF2-40B4-BE49-F238E27FC236}">
              <a16:creationId xmlns:a16="http://schemas.microsoft.com/office/drawing/2014/main" id="{84579C07-DE38-F149-9317-D03B65B7DD8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4" name="Flèche gauche 1">
          <a:hlinkClick xmlns:r="http://schemas.openxmlformats.org/officeDocument/2006/relationships" r:id="rId1"/>
          <a:extLst>
            <a:ext uri="{FF2B5EF4-FFF2-40B4-BE49-F238E27FC236}">
              <a16:creationId xmlns:a16="http://schemas.microsoft.com/office/drawing/2014/main" id="{ACAA52E9-F2FD-B841-9124-8ECA3D76A5A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5" name="Flèche gauche 1">
          <a:hlinkClick xmlns:r="http://schemas.openxmlformats.org/officeDocument/2006/relationships" r:id="rId1"/>
          <a:extLst>
            <a:ext uri="{FF2B5EF4-FFF2-40B4-BE49-F238E27FC236}">
              <a16:creationId xmlns:a16="http://schemas.microsoft.com/office/drawing/2014/main" id="{799EFB4D-2CC9-ED4C-BC5B-8A55AEB674D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6" name="Flèche gauche 1">
          <a:hlinkClick xmlns:r="http://schemas.openxmlformats.org/officeDocument/2006/relationships" r:id="rId1"/>
          <a:extLst>
            <a:ext uri="{FF2B5EF4-FFF2-40B4-BE49-F238E27FC236}">
              <a16:creationId xmlns:a16="http://schemas.microsoft.com/office/drawing/2014/main" id="{1D54595D-0EDB-534D-974B-1E348BE1F13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7" name="Flèche gauche 1">
          <a:hlinkClick xmlns:r="http://schemas.openxmlformats.org/officeDocument/2006/relationships" r:id="rId2"/>
          <a:extLst>
            <a:ext uri="{FF2B5EF4-FFF2-40B4-BE49-F238E27FC236}">
              <a16:creationId xmlns:a16="http://schemas.microsoft.com/office/drawing/2014/main" id="{14D3FFEA-315C-3144-8F3A-21C15418ADB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8" name="Flèche gauche 1">
          <a:hlinkClick xmlns:r="http://schemas.openxmlformats.org/officeDocument/2006/relationships" r:id="rId1"/>
          <a:extLst>
            <a:ext uri="{FF2B5EF4-FFF2-40B4-BE49-F238E27FC236}">
              <a16:creationId xmlns:a16="http://schemas.microsoft.com/office/drawing/2014/main" id="{E0A4CC4B-5889-8148-B373-DCD64F43F9C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39" name="Flèche gauche 1">
          <a:hlinkClick xmlns:r="http://schemas.openxmlformats.org/officeDocument/2006/relationships" r:id="rId1"/>
          <a:extLst>
            <a:ext uri="{FF2B5EF4-FFF2-40B4-BE49-F238E27FC236}">
              <a16:creationId xmlns:a16="http://schemas.microsoft.com/office/drawing/2014/main" id="{86A2F2DE-2565-6548-90A7-162951D3693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0" name="Flèche gauche 1">
          <a:hlinkClick xmlns:r="http://schemas.openxmlformats.org/officeDocument/2006/relationships" r:id="rId1"/>
          <a:extLst>
            <a:ext uri="{FF2B5EF4-FFF2-40B4-BE49-F238E27FC236}">
              <a16:creationId xmlns:a16="http://schemas.microsoft.com/office/drawing/2014/main" id="{CB218A52-1663-104A-BC00-FDAD0FCBEBE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1" name="Flèche gauche 1">
          <a:hlinkClick xmlns:r="http://schemas.openxmlformats.org/officeDocument/2006/relationships" r:id="rId2"/>
          <a:extLst>
            <a:ext uri="{FF2B5EF4-FFF2-40B4-BE49-F238E27FC236}">
              <a16:creationId xmlns:a16="http://schemas.microsoft.com/office/drawing/2014/main" id="{6797DD38-BD3E-9E48-A6ED-B4EBEEE1450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2" name="Flèche gauche 1">
          <a:hlinkClick xmlns:r="http://schemas.openxmlformats.org/officeDocument/2006/relationships" r:id="rId1"/>
          <a:extLst>
            <a:ext uri="{FF2B5EF4-FFF2-40B4-BE49-F238E27FC236}">
              <a16:creationId xmlns:a16="http://schemas.microsoft.com/office/drawing/2014/main" id="{D0CA678E-0883-A04B-AE54-B1D3CFA3093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3" name="Flèche gauche 1">
          <a:hlinkClick xmlns:r="http://schemas.openxmlformats.org/officeDocument/2006/relationships" r:id="rId1"/>
          <a:extLst>
            <a:ext uri="{FF2B5EF4-FFF2-40B4-BE49-F238E27FC236}">
              <a16:creationId xmlns:a16="http://schemas.microsoft.com/office/drawing/2014/main" id="{C9979740-4077-444B-B983-73DC0DDEA24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4" name="Flèche gauche 1">
          <a:hlinkClick xmlns:r="http://schemas.openxmlformats.org/officeDocument/2006/relationships" r:id="rId1"/>
          <a:extLst>
            <a:ext uri="{FF2B5EF4-FFF2-40B4-BE49-F238E27FC236}">
              <a16:creationId xmlns:a16="http://schemas.microsoft.com/office/drawing/2014/main" id="{3AFFEF44-10E4-E34E-A13D-F707BBD6C821}"/>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5" name="Flèche gauche 1">
          <a:hlinkClick xmlns:r="http://schemas.openxmlformats.org/officeDocument/2006/relationships" r:id="rId2"/>
          <a:extLst>
            <a:ext uri="{FF2B5EF4-FFF2-40B4-BE49-F238E27FC236}">
              <a16:creationId xmlns:a16="http://schemas.microsoft.com/office/drawing/2014/main" id="{C67EF7D2-C30F-4245-9F25-D572C64DF03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6" name="Flèche gauche 1">
          <a:hlinkClick xmlns:r="http://schemas.openxmlformats.org/officeDocument/2006/relationships" r:id="rId1"/>
          <a:extLst>
            <a:ext uri="{FF2B5EF4-FFF2-40B4-BE49-F238E27FC236}">
              <a16:creationId xmlns:a16="http://schemas.microsoft.com/office/drawing/2014/main" id="{82D81D2E-6082-6B49-A4E5-34E3D2F56A6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7" name="Flèche gauche 1">
          <a:hlinkClick xmlns:r="http://schemas.openxmlformats.org/officeDocument/2006/relationships" r:id="rId1"/>
          <a:extLst>
            <a:ext uri="{FF2B5EF4-FFF2-40B4-BE49-F238E27FC236}">
              <a16:creationId xmlns:a16="http://schemas.microsoft.com/office/drawing/2014/main" id="{D83729AF-F84A-F849-B927-BC036D48C0CE}"/>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8" name="Flèche gauche 1">
          <a:hlinkClick xmlns:r="http://schemas.openxmlformats.org/officeDocument/2006/relationships" r:id="rId1"/>
          <a:extLst>
            <a:ext uri="{FF2B5EF4-FFF2-40B4-BE49-F238E27FC236}">
              <a16:creationId xmlns:a16="http://schemas.microsoft.com/office/drawing/2014/main" id="{65CA5FEA-5587-8B44-A682-EC0A680F78F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49" name="Flèche gauche 1">
          <a:hlinkClick xmlns:r="http://schemas.openxmlformats.org/officeDocument/2006/relationships" r:id="rId2"/>
          <a:extLst>
            <a:ext uri="{FF2B5EF4-FFF2-40B4-BE49-F238E27FC236}">
              <a16:creationId xmlns:a16="http://schemas.microsoft.com/office/drawing/2014/main" id="{C096BF8F-5838-C84A-9179-DB920D00248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0" name="Flèche gauche 1">
          <a:hlinkClick xmlns:r="http://schemas.openxmlformats.org/officeDocument/2006/relationships" r:id="rId1"/>
          <a:extLst>
            <a:ext uri="{FF2B5EF4-FFF2-40B4-BE49-F238E27FC236}">
              <a16:creationId xmlns:a16="http://schemas.microsoft.com/office/drawing/2014/main" id="{B2AC4493-CCE7-7149-B9B1-E5404B60AAE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1" name="Flèche gauche 1">
          <a:hlinkClick xmlns:r="http://schemas.openxmlformats.org/officeDocument/2006/relationships" r:id="rId1"/>
          <a:extLst>
            <a:ext uri="{FF2B5EF4-FFF2-40B4-BE49-F238E27FC236}">
              <a16:creationId xmlns:a16="http://schemas.microsoft.com/office/drawing/2014/main" id="{39C621FA-77E3-B446-A793-462CFC5341B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2" name="Flèche gauche 1">
          <a:hlinkClick xmlns:r="http://schemas.openxmlformats.org/officeDocument/2006/relationships" r:id="rId1"/>
          <a:extLst>
            <a:ext uri="{FF2B5EF4-FFF2-40B4-BE49-F238E27FC236}">
              <a16:creationId xmlns:a16="http://schemas.microsoft.com/office/drawing/2014/main" id="{0A036AA9-AC88-FD46-99E9-4687B1D7229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3" name="Flèche gauche 1">
          <a:hlinkClick xmlns:r="http://schemas.openxmlformats.org/officeDocument/2006/relationships" r:id="rId2"/>
          <a:extLst>
            <a:ext uri="{FF2B5EF4-FFF2-40B4-BE49-F238E27FC236}">
              <a16:creationId xmlns:a16="http://schemas.microsoft.com/office/drawing/2014/main" id="{9A523BC8-A839-964A-A36D-8F5E3581CF8B}"/>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4" name="Flèche gauche 1">
          <a:hlinkClick xmlns:r="http://schemas.openxmlformats.org/officeDocument/2006/relationships" r:id="rId1"/>
          <a:extLst>
            <a:ext uri="{FF2B5EF4-FFF2-40B4-BE49-F238E27FC236}">
              <a16:creationId xmlns:a16="http://schemas.microsoft.com/office/drawing/2014/main" id="{37A27BC8-5F7E-B149-A940-CB71AC8294C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5" name="Flèche gauche 1">
          <a:hlinkClick xmlns:r="http://schemas.openxmlformats.org/officeDocument/2006/relationships" r:id="rId1"/>
          <a:extLst>
            <a:ext uri="{FF2B5EF4-FFF2-40B4-BE49-F238E27FC236}">
              <a16:creationId xmlns:a16="http://schemas.microsoft.com/office/drawing/2014/main" id="{8C047B14-6CC0-8540-8D45-094F38747850}"/>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6" name="Flèche gauche 1">
          <a:hlinkClick xmlns:r="http://schemas.openxmlformats.org/officeDocument/2006/relationships" r:id="rId1"/>
          <a:extLst>
            <a:ext uri="{FF2B5EF4-FFF2-40B4-BE49-F238E27FC236}">
              <a16:creationId xmlns:a16="http://schemas.microsoft.com/office/drawing/2014/main" id="{F85D8988-7BED-104A-893D-DC986993A682}"/>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7" name="Flèche gauche 1">
          <a:hlinkClick xmlns:r="http://schemas.openxmlformats.org/officeDocument/2006/relationships" r:id="rId2"/>
          <a:extLst>
            <a:ext uri="{FF2B5EF4-FFF2-40B4-BE49-F238E27FC236}">
              <a16:creationId xmlns:a16="http://schemas.microsoft.com/office/drawing/2014/main" id="{148A81F5-0FD6-6442-B9C4-443D74D5C7C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8" name="Flèche gauche 1">
          <a:hlinkClick xmlns:r="http://schemas.openxmlformats.org/officeDocument/2006/relationships" r:id="rId1"/>
          <a:extLst>
            <a:ext uri="{FF2B5EF4-FFF2-40B4-BE49-F238E27FC236}">
              <a16:creationId xmlns:a16="http://schemas.microsoft.com/office/drawing/2014/main" id="{CC0EADEF-F1A1-0E48-A122-BDB51BB7FCD7}"/>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59" name="Flèche gauche 1">
          <a:hlinkClick xmlns:r="http://schemas.openxmlformats.org/officeDocument/2006/relationships" r:id="rId1"/>
          <a:extLst>
            <a:ext uri="{FF2B5EF4-FFF2-40B4-BE49-F238E27FC236}">
              <a16:creationId xmlns:a16="http://schemas.microsoft.com/office/drawing/2014/main" id="{58C573D1-0403-744B-BB00-F31C52C9C41F}"/>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0" name="Flèche gauche 1">
          <a:hlinkClick xmlns:r="http://schemas.openxmlformats.org/officeDocument/2006/relationships" r:id="rId1"/>
          <a:extLst>
            <a:ext uri="{FF2B5EF4-FFF2-40B4-BE49-F238E27FC236}">
              <a16:creationId xmlns:a16="http://schemas.microsoft.com/office/drawing/2014/main" id="{69FAAE4E-1CF5-0844-BFD5-53B5247FD1A8}"/>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1" name="Flèche gauche 1">
          <a:hlinkClick xmlns:r="http://schemas.openxmlformats.org/officeDocument/2006/relationships" r:id="rId2"/>
          <a:extLst>
            <a:ext uri="{FF2B5EF4-FFF2-40B4-BE49-F238E27FC236}">
              <a16:creationId xmlns:a16="http://schemas.microsoft.com/office/drawing/2014/main" id="{3F2706FD-2564-F94A-A794-418F70AA455D}"/>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2" name="Flèche gauche 1">
          <a:hlinkClick xmlns:r="http://schemas.openxmlformats.org/officeDocument/2006/relationships" r:id="rId1"/>
          <a:extLst>
            <a:ext uri="{FF2B5EF4-FFF2-40B4-BE49-F238E27FC236}">
              <a16:creationId xmlns:a16="http://schemas.microsoft.com/office/drawing/2014/main" id="{C1EEE749-BFD0-B449-9E65-62A264B39189}"/>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3" name="Flèche gauche 1">
          <a:hlinkClick xmlns:r="http://schemas.openxmlformats.org/officeDocument/2006/relationships" r:id="rId1"/>
          <a:extLst>
            <a:ext uri="{FF2B5EF4-FFF2-40B4-BE49-F238E27FC236}">
              <a16:creationId xmlns:a16="http://schemas.microsoft.com/office/drawing/2014/main" id="{9F571F16-E7BE-7641-BFFE-F64AC2709013}"/>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4" name="Flèche gauche 1">
          <a:hlinkClick xmlns:r="http://schemas.openxmlformats.org/officeDocument/2006/relationships" r:id="rId1"/>
          <a:extLst>
            <a:ext uri="{FF2B5EF4-FFF2-40B4-BE49-F238E27FC236}">
              <a16:creationId xmlns:a16="http://schemas.microsoft.com/office/drawing/2014/main" id="{C756C98B-6D2D-2445-BA03-6E507A94F615}"/>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twoCellAnchor>
    <xdr:from>
      <xdr:col>1</xdr:col>
      <xdr:colOff>0</xdr:colOff>
      <xdr:row>0</xdr:row>
      <xdr:rowOff>60960</xdr:rowOff>
    </xdr:from>
    <xdr:to>
      <xdr:col>1</xdr:col>
      <xdr:colOff>0</xdr:colOff>
      <xdr:row>1</xdr:row>
      <xdr:rowOff>106680</xdr:rowOff>
    </xdr:to>
    <xdr:sp macro="" textlink="">
      <xdr:nvSpPr>
        <xdr:cNvPr id="65" name="Flèche gauche 1">
          <a:hlinkClick xmlns:r="http://schemas.openxmlformats.org/officeDocument/2006/relationships" r:id="rId2"/>
          <a:extLst>
            <a:ext uri="{FF2B5EF4-FFF2-40B4-BE49-F238E27FC236}">
              <a16:creationId xmlns:a16="http://schemas.microsoft.com/office/drawing/2014/main" id="{198344E4-B814-264A-95A8-70CD566312DA}"/>
            </a:ext>
          </a:extLst>
        </xdr:cNvPr>
        <xdr:cNvSpPr/>
      </xdr:nvSpPr>
      <xdr:spPr bwMode="auto">
        <a:xfrm>
          <a:off x="889000" y="60960"/>
          <a:ext cx="0" cy="414020"/>
        </a:xfrm>
        <a:prstGeom prst="leftArrow">
          <a:avLst>
            <a:gd name="adj1" fmla="val 50000"/>
            <a:gd name="adj2" fmla="val 50000"/>
          </a:avLst>
        </a:prstGeom>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defRPr/>
          </a:pPr>
          <a:endParaRPr lang="fr-FR" sz="1100"/>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51</xdr:row>
      <xdr:rowOff>0</xdr:rowOff>
    </xdr:from>
    <xdr:ext cx="7299960" cy="2365064"/>
    <xdr:pic>
      <xdr:nvPicPr>
        <xdr:cNvPr id="2" name="Image 1">
          <a:extLst>
            <a:ext uri="{FF2B5EF4-FFF2-40B4-BE49-F238E27FC236}">
              <a16:creationId xmlns:a16="http://schemas.microsoft.com/office/drawing/2014/main" id="{559452CD-E41B-3645-A579-B6B16E3BF6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 y="10604500"/>
          <a:ext cx="7299960" cy="23650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73</xdr:row>
      <xdr:rowOff>0</xdr:rowOff>
    </xdr:from>
    <xdr:ext cx="7323536" cy="1805940"/>
    <xdr:pic>
      <xdr:nvPicPr>
        <xdr:cNvPr id="3" name="Image 2">
          <a:extLst>
            <a:ext uri="{FF2B5EF4-FFF2-40B4-BE49-F238E27FC236}">
              <a16:creationId xmlns:a16="http://schemas.microsoft.com/office/drawing/2014/main" id="{85B8360B-F3DE-3848-9416-871092F01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500" y="14770100"/>
          <a:ext cx="7323536" cy="18059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70009</xdr:colOff>
      <xdr:row>26</xdr:row>
      <xdr:rowOff>16667</xdr:rowOff>
    </xdr:from>
    <xdr:ext cx="5105400" cy="3232565"/>
    <xdr:pic>
      <xdr:nvPicPr>
        <xdr:cNvPr id="4" name="Image 3">
          <a:extLst>
            <a:ext uri="{FF2B5EF4-FFF2-40B4-BE49-F238E27FC236}">
              <a16:creationId xmlns:a16="http://schemas.microsoft.com/office/drawing/2014/main" id="{9A876AA0-38E7-4D43-B656-7A71297C0A7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5509" y="5871367"/>
          <a:ext cx="5105400" cy="3232565"/>
        </a:xfrm>
        <a:prstGeom prst="rect">
          <a:avLst/>
        </a:prstGeom>
      </xdr:spPr>
    </xdr:pic>
    <xdr:clientData/>
  </xdr:oneCellAnchor>
</xdr:wsDr>
</file>

<file path=xl/drawings/drawing3.xml><?xml version="1.0" encoding="utf-8"?>
<c:userShapes xmlns:c="http://schemas.openxmlformats.org/drawingml/2006/chart">
  <cdr:relSizeAnchor xmlns:cdr="http://schemas.openxmlformats.org/drawingml/2006/chartDrawing">
    <cdr:from>
      <cdr:x>0.08122</cdr:x>
      <cdr:y>0.91918</cdr:y>
    </cdr:from>
    <cdr:to>
      <cdr:x>0.14035</cdr:x>
      <cdr:y>1</cdr:y>
    </cdr:to>
    <cdr:sp macro="" textlink="">
      <cdr:nvSpPr>
        <cdr:cNvPr id="5" name="ZoneTexte 4">
          <a:extLst xmlns:a="http://schemas.openxmlformats.org/drawingml/2006/main">
            <a:ext uri="{FF2B5EF4-FFF2-40B4-BE49-F238E27FC236}">
              <a16:creationId xmlns:a16="http://schemas.microsoft.com/office/drawing/2014/main" id="{338AE679-1516-2028-F5F9-A57F89D527DD}"/>
            </a:ext>
          </a:extLst>
        </cdr:cNvPr>
        <cdr:cNvSpPr txBox="1"/>
      </cdr:nvSpPr>
      <cdr:spPr bwMode="auto">
        <a:xfrm xmlns:a="http://schemas.openxmlformats.org/drawingml/2006/main">
          <a:off x="976166" y="6747316"/>
          <a:ext cx="710721" cy="59325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baseline="0"/>
            <a:t> </a:t>
          </a:r>
          <a:r>
            <a:rPr lang="fr-FR" sz="2000" b="1"/>
            <a:t>2022</a:t>
          </a:r>
        </a:p>
      </cdr:txBody>
    </cdr:sp>
  </cdr:relSizeAnchor>
  <cdr:relSizeAnchor xmlns:cdr="http://schemas.openxmlformats.org/drawingml/2006/chartDrawing">
    <cdr:from>
      <cdr:x>0.91475</cdr:x>
      <cdr:y>0.91918</cdr:y>
    </cdr:from>
    <cdr:to>
      <cdr:x>0.97389</cdr:x>
      <cdr:y>1</cdr:y>
    </cdr:to>
    <cdr:sp macro="" textlink="">
      <cdr:nvSpPr>
        <cdr:cNvPr id="7" name="ZoneTexte 1">
          <a:extLst xmlns:a="http://schemas.openxmlformats.org/drawingml/2006/main">
            <a:ext uri="{FF2B5EF4-FFF2-40B4-BE49-F238E27FC236}">
              <a16:creationId xmlns:a16="http://schemas.microsoft.com/office/drawing/2014/main" id="{B2B334AD-F97F-681A-8683-A1239901765C}"/>
            </a:ext>
          </a:extLst>
        </cdr:cNvPr>
        <cdr:cNvSpPr txBox="1"/>
      </cdr:nvSpPr>
      <cdr:spPr bwMode="auto">
        <a:xfrm xmlns:a="http://schemas.openxmlformats.org/drawingml/2006/main">
          <a:off x="10994751" y="6747316"/>
          <a:ext cx="710721" cy="59325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baseline="0"/>
            <a:t> </a:t>
          </a:r>
          <a:r>
            <a:rPr lang="fr-FR" sz="2000" b="1"/>
            <a:t>2050</a:t>
          </a:r>
        </a:p>
      </cdr:txBody>
    </cdr:sp>
  </cdr:relSizeAnchor>
  <cdr:relSizeAnchor xmlns:cdr="http://schemas.openxmlformats.org/drawingml/2006/chartDrawing">
    <cdr:from>
      <cdr:x>0.26512</cdr:x>
      <cdr:y>0</cdr:y>
    </cdr:from>
    <cdr:to>
      <cdr:x>0.26512</cdr:x>
      <cdr:y>0</cdr:y>
    </cdr:to>
    <cdr:grpSp>
      <cdr:nvGrpSpPr>
        <cdr:cNvPr id="9" name="Groupe 8">
          <a:extLst xmlns:a="http://schemas.openxmlformats.org/drawingml/2006/main">
            <a:ext uri="{FF2B5EF4-FFF2-40B4-BE49-F238E27FC236}">
              <a16:creationId xmlns:a16="http://schemas.microsoft.com/office/drawing/2014/main" id="{015AE65A-0A99-205A-5F9F-1915A4A7FC30}"/>
            </a:ext>
          </a:extLst>
        </cdr:cNvPr>
        <cdr:cNvGrpSpPr>
          <a:grpSpLocks xmlns:a="http://schemas.openxmlformats.org/drawingml/2006/main" noChangeAspect="1"/>
        </cdr:cNvGrpSpPr>
      </cdr:nvGrpSpPr>
      <cdr:grpSpPr>
        <a:xfrm xmlns:a="http://schemas.openxmlformats.org/drawingml/2006/main">
          <a:off x="4097954" y="0"/>
          <a:ext cx="0" cy="0"/>
          <a:chOff x="4097954" y="0"/>
          <a:chExt cx="0" cy="0"/>
        </a:xfrm>
      </cdr:grpSpPr>
    </cdr:grpSp>
  </cdr:relSizeAnchor>
  <cdr:relSizeAnchor xmlns:cdr="http://schemas.openxmlformats.org/drawingml/2006/chartDrawing">
    <cdr:from>
      <cdr:x>0.49498</cdr:x>
      <cdr:y>0.3141</cdr:y>
    </cdr:from>
    <cdr:to>
      <cdr:x>0.55483</cdr:x>
      <cdr:y>0.41199</cdr:y>
    </cdr:to>
    <cdr:pic>
      <cdr:nvPicPr>
        <cdr:cNvPr id="13" name="Graphique 54" descr="Couverts de table">
          <a:extLst xmlns:a="http://schemas.openxmlformats.org/drawingml/2006/main">
            <a:ext uri="{FF2B5EF4-FFF2-40B4-BE49-F238E27FC236}">
              <a16:creationId xmlns:a16="http://schemas.microsoft.com/office/drawing/2014/main" id="{CA488B62-0618-930B-2F13-94E154C95F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6847675" y="2549864"/>
          <a:ext cx="827980" cy="794682"/>
        </a:xfrm>
        <a:prstGeom xmlns:a="http://schemas.openxmlformats.org/drawingml/2006/main" prst="rect">
          <a:avLst/>
        </a:prstGeom>
      </cdr:spPr>
    </cdr:pic>
  </cdr:relSizeAnchor>
  <cdr:relSizeAnchor xmlns:cdr="http://schemas.openxmlformats.org/drawingml/2006/chartDrawing">
    <cdr:from>
      <cdr:x>0.75321</cdr:x>
      <cdr:y>0.52903</cdr:y>
    </cdr:from>
    <cdr:to>
      <cdr:x>0.80604</cdr:x>
      <cdr:y>0.61736</cdr:y>
    </cdr:to>
    <cdr:pic>
      <cdr:nvPicPr>
        <cdr:cNvPr id="14" name="Graphique 85" descr="Ordures">
          <a:extLst xmlns:a="http://schemas.openxmlformats.org/drawingml/2006/main">
            <a:ext uri="{FF2B5EF4-FFF2-40B4-BE49-F238E27FC236}">
              <a16:creationId xmlns:a16="http://schemas.microsoft.com/office/drawing/2014/main" id="{79573B22-E4F1-6CC4-3BBE-8E3FA180F6F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10424391" y="4303738"/>
          <a:ext cx="731164" cy="718581"/>
        </a:xfrm>
        <a:prstGeom xmlns:a="http://schemas.openxmlformats.org/drawingml/2006/main" prst="rect">
          <a:avLst/>
        </a:prstGeom>
      </cdr:spPr>
    </cdr:pic>
  </cdr:relSizeAnchor>
  <cdr:relSizeAnchor xmlns:cdr="http://schemas.openxmlformats.org/drawingml/2006/chartDrawing">
    <cdr:from>
      <cdr:x>0.66887</cdr:x>
      <cdr:y>0.46484</cdr:y>
    </cdr:from>
    <cdr:to>
      <cdr:x>0.72282</cdr:x>
      <cdr:y>0.55317</cdr:y>
    </cdr:to>
    <cdr:pic>
      <cdr:nvPicPr>
        <cdr:cNvPr id="16" name="Graphique 15" descr="Télévision avec un remplissage uni">
          <a:extLst xmlns:a="http://schemas.openxmlformats.org/drawingml/2006/main">
            <a:ext uri="{FF2B5EF4-FFF2-40B4-BE49-F238E27FC236}">
              <a16:creationId xmlns:a16="http://schemas.microsoft.com/office/drawing/2014/main" id="{416D201D-A49D-8B6B-460E-04B78444765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xmlns:a="http://schemas.openxmlformats.org/drawingml/2006/main">
          <a:fillRect/>
        </a:stretch>
      </cdr:blipFill>
      <cdr:spPr>
        <a:xfrm xmlns:a="http://schemas.openxmlformats.org/drawingml/2006/main">
          <a:off x="9257148" y="3781589"/>
          <a:ext cx="746666" cy="718582"/>
        </a:xfrm>
        <a:prstGeom xmlns:a="http://schemas.openxmlformats.org/drawingml/2006/main" prst="rect">
          <a:avLst/>
        </a:prstGeom>
      </cdr:spPr>
    </cdr:pic>
  </cdr:relSizeAnchor>
  <cdr:relSizeAnchor xmlns:cdr="http://schemas.openxmlformats.org/drawingml/2006/chartDrawing">
    <cdr:from>
      <cdr:x>0.83769</cdr:x>
      <cdr:y>0.58367</cdr:y>
    </cdr:from>
    <cdr:to>
      <cdr:x>0.89164</cdr:x>
      <cdr:y>0.67201</cdr:y>
    </cdr:to>
    <cdr:pic>
      <cdr:nvPicPr>
        <cdr:cNvPr id="18" name="Graphique 17" descr="Divers avec un remplissage uni">
          <a:extLst xmlns:a="http://schemas.openxmlformats.org/drawingml/2006/main">
            <a:ext uri="{FF2B5EF4-FFF2-40B4-BE49-F238E27FC236}">
              <a16:creationId xmlns:a16="http://schemas.microsoft.com/office/drawing/2014/main" id="{7B815406-DFBE-14E7-1E45-3FB967B026F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xmlns:a="http://schemas.openxmlformats.org/drawingml/2006/main">
          <a:fillRect/>
        </a:stretch>
      </cdr:blipFill>
      <cdr:spPr>
        <a:xfrm xmlns:a="http://schemas.openxmlformats.org/drawingml/2006/main">
          <a:off x="11593561" y="4748274"/>
          <a:ext cx="746666" cy="718663"/>
        </a:xfrm>
        <a:prstGeom xmlns:a="http://schemas.openxmlformats.org/drawingml/2006/main" prst="rect">
          <a:avLst/>
        </a:prstGeom>
      </cdr:spPr>
    </cdr:pic>
  </cdr:relSizeAnchor>
  <cdr:relSizeAnchor xmlns:cdr="http://schemas.openxmlformats.org/drawingml/2006/chartDrawing">
    <cdr:from>
      <cdr:x>0.24742</cdr:x>
      <cdr:y>0.11063</cdr:y>
    </cdr:from>
    <cdr:to>
      <cdr:x>0.30137</cdr:x>
      <cdr:y>0.19896</cdr:y>
    </cdr:to>
    <cdr:pic>
      <cdr:nvPicPr>
        <cdr:cNvPr id="20" name="Graphique 19" descr="Bus avec un remplissage uni">
          <a:extLst xmlns:a="http://schemas.openxmlformats.org/drawingml/2006/main">
            <a:ext uri="{FF2B5EF4-FFF2-40B4-BE49-F238E27FC236}">
              <a16:creationId xmlns:a16="http://schemas.microsoft.com/office/drawing/2014/main" id="{928DCD31-C675-8BD5-9BD0-571D255A7BA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xmlns:a="http://schemas.openxmlformats.org/drawingml/2006/main">
          <a:fillRect/>
        </a:stretch>
      </cdr:blipFill>
      <cdr:spPr>
        <a:xfrm xmlns:a="http://schemas.openxmlformats.org/drawingml/2006/main">
          <a:off x="3422841" y="898111"/>
          <a:ext cx="746359" cy="717073"/>
        </a:xfrm>
        <a:prstGeom xmlns:a="http://schemas.openxmlformats.org/drawingml/2006/main" prst="rect">
          <a:avLst/>
        </a:prstGeom>
      </cdr:spPr>
    </cdr:pic>
  </cdr:relSizeAnchor>
  <cdr:relSizeAnchor xmlns:cdr="http://schemas.openxmlformats.org/drawingml/2006/chartDrawing">
    <cdr:from>
      <cdr:x>0.15983</cdr:x>
      <cdr:y>0.02613</cdr:y>
    </cdr:from>
    <cdr:to>
      <cdr:x>0.21378</cdr:x>
      <cdr:y>0.11446</cdr:y>
    </cdr:to>
    <cdr:pic>
      <cdr:nvPicPr>
        <cdr:cNvPr id="22" name="Graphique 21" descr="Train avec un remplissage uni">
          <a:extLst xmlns:a="http://schemas.openxmlformats.org/drawingml/2006/main">
            <a:ext uri="{FF2B5EF4-FFF2-40B4-BE49-F238E27FC236}">
              <a16:creationId xmlns:a16="http://schemas.microsoft.com/office/drawing/2014/main" id="{917A01FA-AB05-85A6-0A63-61E541FB14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xmlns:a="http://schemas.openxmlformats.org/drawingml/2006/main">
          <a:fillRect/>
        </a:stretch>
      </cdr:blipFill>
      <cdr:spPr>
        <a:xfrm xmlns:a="http://schemas.openxmlformats.org/drawingml/2006/main">
          <a:off x="2215384" y="208970"/>
          <a:ext cx="747795" cy="706481"/>
        </a:xfrm>
        <a:prstGeom xmlns:a="http://schemas.openxmlformats.org/drawingml/2006/main" prst="rect">
          <a:avLst/>
        </a:prstGeom>
      </cdr:spPr>
    </cdr:pic>
  </cdr:relSizeAnchor>
  <cdr:relSizeAnchor xmlns:cdr="http://schemas.openxmlformats.org/drawingml/2006/chartDrawing">
    <cdr:from>
      <cdr:x>0.32816</cdr:x>
      <cdr:y>0.19896</cdr:y>
    </cdr:from>
    <cdr:to>
      <cdr:x>0.38211</cdr:x>
      <cdr:y>0.2873</cdr:y>
    </cdr:to>
    <cdr:pic>
      <cdr:nvPicPr>
        <cdr:cNvPr id="24" name="Graphique 23" descr="Cyclisme avec un remplissage uni">
          <a:extLst xmlns:a="http://schemas.openxmlformats.org/drawingml/2006/main">
            <a:ext uri="{FF2B5EF4-FFF2-40B4-BE49-F238E27FC236}">
              <a16:creationId xmlns:a16="http://schemas.microsoft.com/office/drawing/2014/main" id="{60109FE7-4E7D-54CB-E04C-14B4C16C13C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xmlns:a="http://schemas.openxmlformats.org/drawingml/2006/main">
          <a:fillRect/>
        </a:stretch>
      </cdr:blipFill>
      <cdr:spPr>
        <a:xfrm xmlns:a="http://schemas.openxmlformats.org/drawingml/2006/main">
          <a:off x="4541787" y="1618609"/>
          <a:ext cx="746665" cy="718662"/>
        </a:xfrm>
        <a:prstGeom xmlns:a="http://schemas.openxmlformats.org/drawingml/2006/main" prst="rect">
          <a:avLst/>
        </a:prstGeom>
      </cdr:spPr>
    </cdr:pic>
  </cdr:relSizeAnchor>
  <cdr:relSizeAnchor xmlns:cdr="http://schemas.openxmlformats.org/drawingml/2006/chartDrawing">
    <cdr:from>
      <cdr:x>0.58009</cdr:x>
      <cdr:y>0.3706</cdr:y>
    </cdr:from>
    <cdr:to>
      <cdr:x>0.65095</cdr:x>
      <cdr:y>0.44206</cdr:y>
    </cdr:to>
    <cdr:grpSp>
      <cdr:nvGrpSpPr>
        <cdr:cNvPr id="29" name="Groupe 28">
          <a:extLst xmlns:a="http://schemas.openxmlformats.org/drawingml/2006/main">
            <a:ext uri="{FF2B5EF4-FFF2-40B4-BE49-F238E27FC236}">
              <a16:creationId xmlns:a16="http://schemas.microsoft.com/office/drawing/2014/main" id="{B41FFF08-3153-E8F5-4F23-F461AD42CD3E}"/>
            </a:ext>
          </a:extLst>
        </cdr:cNvPr>
        <cdr:cNvGrpSpPr>
          <a:grpSpLocks xmlns:a="http://schemas.openxmlformats.org/drawingml/2006/main" noChangeAspect="1"/>
        </cdr:cNvGrpSpPr>
      </cdr:nvGrpSpPr>
      <cdr:grpSpPr>
        <a:xfrm xmlns:a="http://schemas.openxmlformats.org/drawingml/2006/main">
          <a:off x="8966439" y="3215314"/>
          <a:ext cx="1095281" cy="619984"/>
          <a:chOff x="0" y="0"/>
          <a:chExt cx="1510202" cy="930079"/>
        </a:xfrm>
      </cdr:grpSpPr>
      <cdr:pic>
        <cdr:nvPicPr>
          <cdr:cNvPr id="26" name="Graphique 25" descr="Thermomètre avec un remplissage uni">
            <a:extLst xmlns:a="http://schemas.openxmlformats.org/drawingml/2006/main">
              <a:ext uri="{FF2B5EF4-FFF2-40B4-BE49-F238E27FC236}">
                <a16:creationId xmlns:a16="http://schemas.microsoft.com/office/drawing/2014/main" id="{D8F67C54-93B3-CFAA-DAB7-BEB8525017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xmlns:a="http://schemas.openxmlformats.org/drawingml/2006/main">
            <a:fillRect/>
          </a:stretch>
        </cdr:blipFill>
        <cdr:spPr>
          <a:xfrm xmlns:a="http://schemas.openxmlformats.org/drawingml/2006/main">
            <a:off x="0" y="0"/>
            <a:ext cx="914400" cy="914400"/>
          </a:xfrm>
          <a:prstGeom xmlns:a="http://schemas.openxmlformats.org/drawingml/2006/main" prst="rect">
            <a:avLst/>
          </a:prstGeom>
        </cdr:spPr>
      </cdr:pic>
      <cdr:pic>
        <cdr:nvPicPr>
          <cdr:cNvPr id="28" name="Graphique 27" descr="Éclair avec un remplissage uni">
            <a:extLst xmlns:a="http://schemas.openxmlformats.org/drawingml/2006/main">
              <a:ext uri="{FF2B5EF4-FFF2-40B4-BE49-F238E27FC236}">
                <a16:creationId xmlns:a16="http://schemas.microsoft.com/office/drawing/2014/main" id="{6283C657-970B-D68C-2913-3AED2C13B4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xmlns:a="http://schemas.openxmlformats.org/drawingml/2006/main">
            <a:fillRect/>
          </a:stretch>
        </cdr:blipFill>
        <cdr:spPr>
          <a:xfrm xmlns:a="http://schemas.openxmlformats.org/drawingml/2006/main">
            <a:off x="595802" y="15679"/>
            <a:ext cx="914400" cy="914400"/>
          </a:xfrm>
          <a:prstGeom xmlns:a="http://schemas.openxmlformats.org/drawingml/2006/main" prst="rect">
            <a:avLst/>
          </a:prstGeom>
        </cdr:spPr>
      </cdr:pic>
    </cdr:grpSp>
  </cdr:relSizeAnchor>
  <cdr:relSizeAnchor xmlns:cdr="http://schemas.openxmlformats.org/drawingml/2006/chartDrawing">
    <cdr:from>
      <cdr:x>0.16141</cdr:x>
      <cdr:y>0.86868</cdr:y>
    </cdr:from>
    <cdr:to>
      <cdr:x>0.89103</cdr:x>
      <cdr:y>0.86868</cdr:y>
    </cdr:to>
    <cdr:cxnSp macro="">
      <cdr:nvCxnSpPr>
        <cdr:cNvPr id="31" name="Connecteur droit avec flèche 30">
          <a:extLst xmlns:a="http://schemas.openxmlformats.org/drawingml/2006/main">
            <a:ext uri="{FF2B5EF4-FFF2-40B4-BE49-F238E27FC236}">
              <a16:creationId xmlns:a16="http://schemas.microsoft.com/office/drawing/2014/main" id="{214B0AB5-1936-F2DD-A8B4-B6A010DFB50F}"/>
            </a:ext>
          </a:extLst>
        </cdr:cNvPr>
        <cdr:cNvCxnSpPr/>
      </cdr:nvCxnSpPr>
      <cdr:spPr>
        <a:xfrm xmlns:a="http://schemas.openxmlformats.org/drawingml/2006/main">
          <a:off x="2267100" y="7377627"/>
          <a:ext cx="10247947" cy="0"/>
        </a:xfrm>
        <a:prstGeom xmlns:a="http://schemas.openxmlformats.org/drawingml/2006/main" prst="straightConnector1">
          <a:avLst/>
        </a:prstGeom>
        <a:ln xmlns:a="http://schemas.openxmlformats.org/drawingml/2006/main" w="28575">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0.60962</cdr:x>
      <cdr:y>0.50479</cdr:y>
    </cdr:from>
    <cdr:to>
      <cdr:x>0.61056</cdr:x>
      <cdr:y>0.72491</cdr:y>
    </cdr:to>
    <cdr:cxnSp macro="">
      <cdr:nvCxnSpPr>
        <cdr:cNvPr id="33" name="Connecteur droit avec flèche 32">
          <a:extLst xmlns:a="http://schemas.openxmlformats.org/drawingml/2006/main">
            <a:ext uri="{FF2B5EF4-FFF2-40B4-BE49-F238E27FC236}">
              <a16:creationId xmlns:a16="http://schemas.microsoft.com/office/drawing/2014/main" id="{0C3C8342-6E7F-8941-EB1D-C8AAD4CA199C}"/>
            </a:ext>
          </a:extLst>
        </cdr:cNvPr>
        <cdr:cNvCxnSpPr/>
      </cdr:nvCxnSpPr>
      <cdr:spPr>
        <a:xfrm xmlns:a="http://schemas.openxmlformats.org/drawingml/2006/main">
          <a:off x="8456530" y="4207446"/>
          <a:ext cx="13069" cy="183473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0.27173</cdr:x>
      <cdr:y>0.25191</cdr:y>
    </cdr:from>
    <cdr:to>
      <cdr:x>0.27192</cdr:x>
      <cdr:y>0.5765</cdr:y>
    </cdr:to>
    <cdr:cxnSp macro="">
      <cdr:nvCxnSpPr>
        <cdr:cNvPr id="36" name="Connecteur droit avec flèche 35">
          <a:extLst xmlns:a="http://schemas.openxmlformats.org/drawingml/2006/main">
            <a:ext uri="{FF2B5EF4-FFF2-40B4-BE49-F238E27FC236}">
              <a16:creationId xmlns:a16="http://schemas.microsoft.com/office/drawing/2014/main" id="{A16ED8E5-16FB-F42F-E07E-E29C1A38A789}"/>
            </a:ext>
          </a:extLst>
        </cdr:cNvPr>
        <cdr:cNvCxnSpPr/>
      </cdr:nvCxnSpPr>
      <cdr:spPr>
        <a:xfrm xmlns:a="http://schemas.openxmlformats.org/drawingml/2006/main">
          <a:off x="3759157" y="2044999"/>
          <a:ext cx="2655" cy="2635093"/>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0.58352</cdr:x>
      <cdr:y>0.43105</cdr:y>
    </cdr:from>
    <cdr:to>
      <cdr:x>0.64265</cdr:x>
      <cdr:y>0.51187</cdr:y>
    </cdr:to>
    <cdr:sp macro="" textlink="">
      <cdr:nvSpPr>
        <cdr:cNvPr id="37" name="ZoneTexte 1">
          <a:extLst xmlns:a="http://schemas.openxmlformats.org/drawingml/2006/main">
            <a:ext uri="{FF2B5EF4-FFF2-40B4-BE49-F238E27FC236}">
              <a16:creationId xmlns:a16="http://schemas.microsoft.com/office/drawing/2014/main" id="{9EDC49C0-905E-8015-D176-FE5D1903A4A8}"/>
            </a:ext>
          </a:extLst>
        </cdr:cNvPr>
        <cdr:cNvSpPr txBox="1"/>
      </cdr:nvSpPr>
      <cdr:spPr bwMode="auto">
        <a:xfrm xmlns:a="http://schemas.openxmlformats.org/drawingml/2006/main">
          <a:off x="8094509" y="3592785"/>
          <a:ext cx="820243" cy="673639"/>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Consommation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d'énergie</a:t>
          </a:r>
          <a:endParaRPr lang="fr-FR" sz="1800" b="1"/>
        </a:p>
      </cdr:txBody>
    </cdr:sp>
  </cdr:relSizeAnchor>
  <cdr:relSizeAnchor xmlns:cdr="http://schemas.openxmlformats.org/drawingml/2006/chartDrawing">
    <cdr:from>
      <cdr:x>0.49816</cdr:x>
      <cdr:y>0.38627</cdr:y>
    </cdr:from>
    <cdr:to>
      <cdr:x>0.5573</cdr:x>
      <cdr:y>0.46709</cdr:y>
    </cdr:to>
    <cdr:sp macro="" textlink="">
      <cdr:nvSpPr>
        <cdr:cNvPr id="38" name="ZoneTexte 1">
          <a:extLst xmlns:a="http://schemas.openxmlformats.org/drawingml/2006/main">
            <a:ext uri="{FF2B5EF4-FFF2-40B4-BE49-F238E27FC236}">
              <a16:creationId xmlns:a16="http://schemas.microsoft.com/office/drawing/2014/main" id="{F0325A4F-FD76-A203-25AC-67F152A48231}"/>
            </a:ext>
          </a:extLst>
        </cdr:cNvPr>
        <cdr:cNvSpPr txBox="1"/>
      </cdr:nvSpPr>
      <cdr:spPr bwMode="auto">
        <a:xfrm xmlns:a="http://schemas.openxmlformats.org/drawingml/2006/main">
          <a:off x="6891668" y="3135748"/>
          <a:ext cx="818158" cy="65610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Alimentation &amp;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boissons</a:t>
          </a:r>
          <a:endParaRPr lang="fr-FR" sz="1800" b="1"/>
        </a:p>
      </cdr:txBody>
    </cdr:sp>
  </cdr:relSizeAnchor>
  <cdr:relSizeAnchor xmlns:cdr="http://schemas.openxmlformats.org/drawingml/2006/chartDrawing">
    <cdr:from>
      <cdr:x>0.24787</cdr:x>
      <cdr:y>0.17796</cdr:y>
    </cdr:from>
    <cdr:to>
      <cdr:x>0.30701</cdr:x>
      <cdr:y>0.25878</cdr:y>
    </cdr:to>
    <cdr:sp macro="" textlink="">
      <cdr:nvSpPr>
        <cdr:cNvPr id="39" name="ZoneTexte 1">
          <a:extLst xmlns:a="http://schemas.openxmlformats.org/drawingml/2006/main">
            <a:ext uri="{FF2B5EF4-FFF2-40B4-BE49-F238E27FC236}">
              <a16:creationId xmlns:a16="http://schemas.microsoft.com/office/drawing/2014/main" id="{BBDD83AD-8ACF-E741-ACD4-54AC6A7E33C9}"/>
            </a:ext>
          </a:extLst>
        </cdr:cNvPr>
        <cdr:cNvSpPr txBox="1"/>
      </cdr:nvSpPr>
      <cdr:spPr bwMode="auto">
        <a:xfrm xmlns:a="http://schemas.openxmlformats.org/drawingml/2006/main">
          <a:off x="3429066" y="1444703"/>
          <a:ext cx="818159" cy="65610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Transport des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équipes</a:t>
          </a:r>
          <a:endParaRPr lang="fr-FR" sz="1800" b="1"/>
        </a:p>
      </cdr:txBody>
    </cdr:sp>
  </cdr:relSizeAnchor>
  <cdr:relSizeAnchor xmlns:cdr="http://schemas.openxmlformats.org/drawingml/2006/chartDrawing">
    <cdr:from>
      <cdr:x>0.15866</cdr:x>
      <cdr:y>0.10204</cdr:y>
    </cdr:from>
    <cdr:to>
      <cdr:x>0.21779</cdr:x>
      <cdr:y>0.18285</cdr:y>
    </cdr:to>
    <cdr:sp macro="" textlink="">
      <cdr:nvSpPr>
        <cdr:cNvPr id="40" name="ZoneTexte 1">
          <a:extLst xmlns:a="http://schemas.openxmlformats.org/drawingml/2006/main">
            <a:ext uri="{FF2B5EF4-FFF2-40B4-BE49-F238E27FC236}">
              <a16:creationId xmlns:a16="http://schemas.microsoft.com/office/drawing/2014/main" id="{899874F7-DFB8-EC15-2227-66EE1E443C8B}"/>
            </a:ext>
          </a:extLst>
        </cdr:cNvPr>
        <cdr:cNvSpPr txBox="1"/>
      </cdr:nvSpPr>
      <cdr:spPr bwMode="auto">
        <a:xfrm xmlns:a="http://schemas.openxmlformats.org/drawingml/2006/main">
          <a:off x="2199167" y="816160"/>
          <a:ext cx="819594" cy="64633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Transport des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spectateurs</a:t>
          </a:r>
          <a:endParaRPr lang="fr-FR" sz="1800" b="1"/>
        </a:p>
      </cdr:txBody>
    </cdr:sp>
  </cdr:relSizeAnchor>
  <cdr:relSizeAnchor xmlns:cdr="http://schemas.openxmlformats.org/drawingml/2006/chartDrawing">
    <cdr:from>
      <cdr:x>0.33029</cdr:x>
      <cdr:y>0.27456</cdr:y>
    </cdr:from>
    <cdr:to>
      <cdr:x>0.38942</cdr:x>
      <cdr:y>0.35537</cdr:y>
    </cdr:to>
    <cdr:sp macro="" textlink="">
      <cdr:nvSpPr>
        <cdr:cNvPr id="41" name="ZoneTexte 1">
          <a:extLst xmlns:a="http://schemas.openxmlformats.org/drawingml/2006/main">
            <a:ext uri="{FF2B5EF4-FFF2-40B4-BE49-F238E27FC236}">
              <a16:creationId xmlns:a16="http://schemas.microsoft.com/office/drawing/2014/main" id="{D921A652-E151-6364-A99E-EEE611410B81}"/>
            </a:ext>
          </a:extLst>
        </cdr:cNvPr>
        <cdr:cNvSpPr txBox="1"/>
      </cdr:nvSpPr>
      <cdr:spPr bwMode="auto">
        <a:xfrm xmlns:a="http://schemas.openxmlformats.org/drawingml/2006/main">
          <a:off x="4571266" y="2233629"/>
          <a:ext cx="818356" cy="65740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Transport des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salariés</a:t>
          </a:r>
          <a:endParaRPr lang="fr-FR" sz="1800" b="1"/>
        </a:p>
      </cdr:txBody>
    </cdr:sp>
  </cdr:relSizeAnchor>
  <cdr:relSizeAnchor xmlns:cdr="http://schemas.openxmlformats.org/drawingml/2006/chartDrawing">
    <cdr:from>
      <cdr:x>0.74764</cdr:x>
      <cdr:y>0.59506</cdr:y>
    </cdr:from>
    <cdr:to>
      <cdr:x>0.80677</cdr:x>
      <cdr:y>0.67588</cdr:y>
    </cdr:to>
    <cdr:sp macro="" textlink="">
      <cdr:nvSpPr>
        <cdr:cNvPr id="42" name="ZoneTexte 1">
          <a:extLst xmlns:a="http://schemas.openxmlformats.org/drawingml/2006/main">
            <a:ext uri="{FF2B5EF4-FFF2-40B4-BE49-F238E27FC236}">
              <a16:creationId xmlns:a16="http://schemas.microsoft.com/office/drawing/2014/main" id="{211D8751-AB56-994D-0728-7FB21ABE9440}"/>
            </a:ext>
          </a:extLst>
        </cdr:cNvPr>
        <cdr:cNvSpPr txBox="1"/>
      </cdr:nvSpPr>
      <cdr:spPr bwMode="auto">
        <a:xfrm xmlns:a="http://schemas.openxmlformats.org/drawingml/2006/main">
          <a:off x="10347343" y="4840893"/>
          <a:ext cx="818356" cy="65748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Déchets</a:t>
          </a:r>
          <a:endParaRPr lang="fr-FR" sz="1800" b="1"/>
        </a:p>
      </cdr:txBody>
    </cdr:sp>
  </cdr:relSizeAnchor>
  <cdr:relSizeAnchor xmlns:cdr="http://schemas.openxmlformats.org/drawingml/2006/chartDrawing">
    <cdr:from>
      <cdr:x>0.66152</cdr:x>
      <cdr:y>0.52728</cdr:y>
    </cdr:from>
    <cdr:to>
      <cdr:x>0.72065</cdr:x>
      <cdr:y>0.6081</cdr:y>
    </cdr:to>
    <cdr:sp macro="" textlink="">
      <cdr:nvSpPr>
        <cdr:cNvPr id="43" name="ZoneTexte 1">
          <a:extLst xmlns:a="http://schemas.openxmlformats.org/drawingml/2006/main">
            <a:ext uri="{FF2B5EF4-FFF2-40B4-BE49-F238E27FC236}">
              <a16:creationId xmlns:a16="http://schemas.microsoft.com/office/drawing/2014/main" id="{77F7BA87-A2AC-75FC-3B07-311E886BB6BF}"/>
            </a:ext>
          </a:extLst>
        </cdr:cNvPr>
        <cdr:cNvSpPr txBox="1"/>
      </cdr:nvSpPr>
      <cdr:spPr bwMode="auto">
        <a:xfrm xmlns:a="http://schemas.openxmlformats.org/drawingml/2006/main">
          <a:off x="9155410" y="4289513"/>
          <a:ext cx="818356" cy="65748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Retransmission</a:t>
          </a:r>
          <a:endParaRPr lang="fr-FR" sz="1800" b="1"/>
        </a:p>
      </cdr:txBody>
    </cdr:sp>
  </cdr:relSizeAnchor>
  <cdr:relSizeAnchor xmlns:cdr="http://schemas.openxmlformats.org/drawingml/2006/chartDrawing">
    <cdr:from>
      <cdr:x>0.83573</cdr:x>
      <cdr:y>0.62536</cdr:y>
    </cdr:from>
    <cdr:to>
      <cdr:x>0.89486</cdr:x>
      <cdr:y>0.70618</cdr:y>
    </cdr:to>
    <cdr:sp macro="" textlink="">
      <cdr:nvSpPr>
        <cdr:cNvPr id="44" name="ZoneTexte 1">
          <a:extLst xmlns:a="http://schemas.openxmlformats.org/drawingml/2006/main">
            <a:ext uri="{FF2B5EF4-FFF2-40B4-BE49-F238E27FC236}">
              <a16:creationId xmlns:a16="http://schemas.microsoft.com/office/drawing/2014/main" id="{D919BAAC-C76C-F5C9-F4FD-952654D77033}"/>
            </a:ext>
          </a:extLst>
        </cdr:cNvPr>
        <cdr:cNvSpPr txBox="1"/>
      </cdr:nvSpPr>
      <cdr:spPr bwMode="auto">
        <a:xfrm xmlns:a="http://schemas.openxmlformats.org/drawingml/2006/main">
          <a:off x="11566484" y="5087429"/>
          <a:ext cx="818357" cy="65748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Autres</a:t>
          </a:r>
          <a:endParaRPr lang="fr-FR" sz="1800" b="1"/>
        </a:p>
      </cdr:txBody>
    </cdr:sp>
  </cdr:relSizeAnchor>
  <cdr:relSizeAnchor xmlns:cdr="http://schemas.openxmlformats.org/drawingml/2006/chartDrawing">
    <cdr:from>
      <cdr:x>0.35808</cdr:x>
      <cdr:y>0.35093</cdr:y>
    </cdr:from>
    <cdr:to>
      <cdr:x>0.35929</cdr:x>
      <cdr:y>0.62622</cdr:y>
    </cdr:to>
    <cdr:cxnSp macro="">
      <cdr:nvCxnSpPr>
        <cdr:cNvPr id="46" name="Connecteur droit avec flèche 45">
          <a:extLst xmlns:a="http://schemas.openxmlformats.org/drawingml/2006/main">
            <a:ext uri="{FF2B5EF4-FFF2-40B4-BE49-F238E27FC236}">
              <a16:creationId xmlns:a16="http://schemas.microsoft.com/office/drawing/2014/main" id="{72A38E4D-6C26-11D8-23F4-A05DEF029FB1}"/>
            </a:ext>
          </a:extLst>
        </cdr:cNvPr>
        <cdr:cNvCxnSpPr/>
      </cdr:nvCxnSpPr>
      <cdr:spPr>
        <a:xfrm xmlns:a="http://schemas.openxmlformats.org/drawingml/2006/main">
          <a:off x="4963304" y="2806808"/>
          <a:ext cx="16808" cy="2201844"/>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0.52813</cdr:x>
      <cdr:y>0.45495</cdr:y>
    </cdr:from>
    <cdr:to>
      <cdr:x>0.52843</cdr:x>
      <cdr:y>0.69784</cdr:y>
    </cdr:to>
    <cdr:cxnSp macro="">
      <cdr:nvCxnSpPr>
        <cdr:cNvPr id="49" name="Connecteur droit avec flèche 48">
          <a:extLst xmlns:a="http://schemas.openxmlformats.org/drawingml/2006/main">
            <a:ext uri="{FF2B5EF4-FFF2-40B4-BE49-F238E27FC236}">
              <a16:creationId xmlns:a16="http://schemas.microsoft.com/office/drawing/2014/main" id="{BDAD0456-83E5-DC5F-C2BF-98CA760B9608}"/>
            </a:ext>
          </a:extLst>
        </cdr:cNvPr>
        <cdr:cNvCxnSpPr/>
      </cdr:nvCxnSpPr>
      <cdr:spPr>
        <a:xfrm xmlns:a="http://schemas.openxmlformats.org/drawingml/2006/main">
          <a:off x="7320337" y="3638764"/>
          <a:ext cx="4207" cy="1942712"/>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0.69833</cdr:x>
      <cdr:y>0.59954</cdr:y>
    </cdr:from>
    <cdr:to>
      <cdr:x>0.69833</cdr:x>
      <cdr:y>0.73073</cdr:y>
    </cdr:to>
    <cdr:cxnSp macro="">
      <cdr:nvCxnSpPr>
        <cdr:cNvPr id="51" name="Connecteur droit avec flèche 50">
          <a:extLst xmlns:a="http://schemas.openxmlformats.org/drawingml/2006/main">
            <a:ext uri="{FF2B5EF4-FFF2-40B4-BE49-F238E27FC236}">
              <a16:creationId xmlns:a16="http://schemas.microsoft.com/office/drawing/2014/main" id="{8A6E099D-DF29-B33B-272D-4BA98296449F}"/>
            </a:ext>
          </a:extLst>
        </cdr:cNvPr>
        <cdr:cNvCxnSpPr/>
      </cdr:nvCxnSpPr>
      <cdr:spPr>
        <a:xfrm xmlns:a="http://schemas.openxmlformats.org/drawingml/2006/main">
          <a:off x="9664829" y="4877344"/>
          <a:ext cx="0" cy="106725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0.77796</cdr:x>
      <cdr:y>0.65993</cdr:y>
    </cdr:from>
    <cdr:to>
      <cdr:x>0.77826</cdr:x>
      <cdr:y>0.78296</cdr:y>
    </cdr:to>
    <cdr:cxnSp macro="">
      <cdr:nvCxnSpPr>
        <cdr:cNvPr id="53" name="Connecteur droit avec flèche 52">
          <a:extLst xmlns:a="http://schemas.openxmlformats.org/drawingml/2006/main">
            <a:ext uri="{FF2B5EF4-FFF2-40B4-BE49-F238E27FC236}">
              <a16:creationId xmlns:a16="http://schemas.microsoft.com/office/drawing/2014/main" id="{F794731E-6E6A-2487-3FFC-C0A77368CC6C}"/>
            </a:ext>
          </a:extLst>
        </cdr:cNvPr>
        <cdr:cNvCxnSpPr/>
      </cdr:nvCxnSpPr>
      <cdr:spPr>
        <a:xfrm xmlns:a="http://schemas.openxmlformats.org/drawingml/2006/main" flipH="1">
          <a:off x="10766980" y="5368628"/>
          <a:ext cx="4142" cy="1000863"/>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0.86511</cdr:x>
      <cdr:y>0.68907</cdr:y>
    </cdr:from>
    <cdr:to>
      <cdr:x>0.86513</cdr:x>
      <cdr:y>0.7828</cdr:y>
    </cdr:to>
    <cdr:cxnSp macro="">
      <cdr:nvCxnSpPr>
        <cdr:cNvPr id="55" name="Connecteur droit avec flèche 54">
          <a:extLst xmlns:a="http://schemas.openxmlformats.org/drawingml/2006/main">
            <a:ext uri="{FF2B5EF4-FFF2-40B4-BE49-F238E27FC236}">
              <a16:creationId xmlns:a16="http://schemas.microsoft.com/office/drawing/2014/main" id="{14D4D5C2-2E86-069F-5B1F-3F1DF7244771}"/>
            </a:ext>
          </a:extLst>
        </cdr:cNvPr>
        <cdr:cNvCxnSpPr/>
      </cdr:nvCxnSpPr>
      <cdr:spPr>
        <a:xfrm xmlns:a="http://schemas.openxmlformats.org/drawingml/2006/main" flipH="1">
          <a:off x="11973012" y="5605695"/>
          <a:ext cx="377" cy="762524"/>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0.49728</cdr:x>
      <cdr:y>0.8884</cdr:y>
    </cdr:from>
    <cdr:to>
      <cdr:x>0.56472</cdr:x>
      <cdr:y>0.99882</cdr:y>
    </cdr:to>
    <cdr:sp macro="" textlink="Récapitulatif!$F$144">
      <cdr:nvSpPr>
        <cdr:cNvPr id="58" name="ZoneTexte 57">
          <a:extLst xmlns:a="http://schemas.openxmlformats.org/drawingml/2006/main">
            <a:ext uri="{FF2B5EF4-FFF2-40B4-BE49-F238E27FC236}">
              <a16:creationId xmlns:a16="http://schemas.microsoft.com/office/drawing/2014/main" id="{3807C7A6-D42D-6022-8D9B-73BA1D35A82C}"/>
            </a:ext>
          </a:extLst>
        </cdr:cNvPr>
        <cdr:cNvSpPr txBox="1"/>
      </cdr:nvSpPr>
      <cdr:spPr bwMode="auto">
        <a:xfrm xmlns:a="http://schemas.openxmlformats.org/drawingml/2006/main">
          <a:off x="6984594" y="7545116"/>
          <a:ext cx="947235" cy="937787"/>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lstStyle xmlns:a="http://schemas.openxmlformats.org/drawingml/2006/main"/>
        <a:p xmlns:a="http://schemas.openxmlformats.org/drawingml/2006/main">
          <a:fld id="{EAFFAEAC-EA82-6B4F-803F-00F7A936A3D1}" type="TxLink">
            <a:rPr lang="en-US" sz="2400" b="1" i="0" u="none" strike="noStrike">
              <a:solidFill>
                <a:srgbClr val="000000"/>
              </a:solidFill>
              <a:latin typeface="Arial"/>
              <a:cs typeface="Arial"/>
            </a:rPr>
            <a:pPr/>
            <a:t>-81%</a:t>
          </a:fld>
          <a:endParaRPr lang="fr-FR" sz="6000" b="1">
            <a:solidFill>
              <a:schemeClr val="tx2"/>
            </a:solidFill>
          </a:endParaRPr>
        </a:p>
      </cdr:txBody>
    </cdr:sp>
  </cdr:relSizeAnchor>
  <cdr:relSizeAnchor xmlns:cdr="http://schemas.openxmlformats.org/drawingml/2006/chartDrawing">
    <cdr:from>
      <cdr:x>0.18841</cdr:x>
      <cdr:y>0.17086</cdr:y>
    </cdr:from>
    <cdr:to>
      <cdr:x>0.18841</cdr:x>
      <cdr:y>0.2267</cdr:y>
    </cdr:to>
    <cdr:cxnSp macro="">
      <cdr:nvCxnSpPr>
        <cdr:cNvPr id="6" name="Connecteur droit avec flèche 5">
          <a:extLst xmlns:a="http://schemas.openxmlformats.org/drawingml/2006/main">
            <a:ext uri="{FF2B5EF4-FFF2-40B4-BE49-F238E27FC236}">
              <a16:creationId xmlns:a16="http://schemas.microsoft.com/office/drawing/2014/main" id="{FC6B51E4-7151-D68F-DDF2-9A94D7D9D34F}"/>
            </a:ext>
          </a:extLst>
        </cdr:cNvPr>
        <cdr:cNvCxnSpPr/>
      </cdr:nvCxnSpPr>
      <cdr:spPr>
        <a:xfrm xmlns:a="http://schemas.openxmlformats.org/drawingml/2006/main" flipH="1">
          <a:off x="2611528" y="1366546"/>
          <a:ext cx="0" cy="446619"/>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0.41684</cdr:x>
      <cdr:y>0.27081</cdr:y>
    </cdr:from>
    <cdr:to>
      <cdr:x>0.46317</cdr:x>
      <cdr:y>0.34882</cdr:y>
    </cdr:to>
    <cdr:pic>
      <cdr:nvPicPr>
        <cdr:cNvPr id="8" name="Graphique 10" descr="Accueil">
          <a:extLst xmlns:a="http://schemas.openxmlformats.org/drawingml/2006/main">
            <a:ext uri="{FF2B5EF4-FFF2-40B4-BE49-F238E27FC236}">
              <a16:creationId xmlns:a16="http://schemas.microsoft.com/office/drawing/2014/main" id="{78EF65EE-8397-6DCD-AF96-CB3A67C0C7F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9">
          <a:extLst>
            <a:ext uri="{96DAC541-7B7A-43D3-8B79-37D633B846F1}">
              <asvg:svgBlip xmlns:asvg="http://schemas.microsoft.com/office/drawing/2016/SVG/main" r:embed="rId20"/>
            </a:ext>
          </a:extLst>
        </a:blip>
        <a:stretch xmlns:a="http://schemas.openxmlformats.org/drawingml/2006/main">
          <a:fillRect/>
        </a:stretch>
      </cdr:blipFill>
      <cdr:spPr>
        <a:xfrm xmlns:a="http://schemas.openxmlformats.org/drawingml/2006/main">
          <a:off x="5772759" y="2174146"/>
          <a:ext cx="641617" cy="626283"/>
        </a:xfrm>
        <a:prstGeom xmlns:a="http://schemas.openxmlformats.org/drawingml/2006/main" prst="rect">
          <a:avLst/>
        </a:prstGeom>
      </cdr:spPr>
    </cdr:pic>
  </cdr:relSizeAnchor>
  <cdr:relSizeAnchor xmlns:cdr="http://schemas.openxmlformats.org/drawingml/2006/chartDrawing">
    <cdr:from>
      <cdr:x>0.41498</cdr:x>
      <cdr:y>0.32001</cdr:y>
    </cdr:from>
    <cdr:to>
      <cdr:x>0.47412</cdr:x>
      <cdr:y>0.40083</cdr:y>
    </cdr:to>
    <cdr:sp macro="" textlink="">
      <cdr:nvSpPr>
        <cdr:cNvPr id="15" name="ZoneTexte 1">
          <a:extLst xmlns:a="http://schemas.openxmlformats.org/drawingml/2006/main">
            <a:ext uri="{FF2B5EF4-FFF2-40B4-BE49-F238E27FC236}">
              <a16:creationId xmlns:a16="http://schemas.microsoft.com/office/drawing/2014/main" id="{65C4B176-7ECE-2C46-96DE-FBCFD5176EA8}"/>
            </a:ext>
          </a:extLst>
        </cdr:cNvPr>
        <cdr:cNvSpPr txBox="1"/>
      </cdr:nvSpPr>
      <cdr:spPr bwMode="auto">
        <a:xfrm xmlns:a="http://schemas.openxmlformats.org/drawingml/2006/main">
          <a:off x="5746999" y="2569136"/>
          <a:ext cx="819022" cy="648842"/>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Immobilisation</a:t>
          </a:r>
          <a:endParaRPr lang="fr-FR" sz="1800" b="1"/>
        </a:p>
      </cdr:txBody>
    </cdr:sp>
  </cdr:relSizeAnchor>
  <cdr:relSizeAnchor xmlns:cdr="http://schemas.openxmlformats.org/drawingml/2006/chartDrawing">
    <cdr:from>
      <cdr:x>0.44353</cdr:x>
      <cdr:y>0.37931</cdr:y>
    </cdr:from>
    <cdr:to>
      <cdr:x>0.44371</cdr:x>
      <cdr:y>0.66012</cdr:y>
    </cdr:to>
    <cdr:cxnSp macro="">
      <cdr:nvCxnSpPr>
        <cdr:cNvPr id="12" name="Connecteur droit avec flèche 11">
          <a:extLst xmlns:a="http://schemas.openxmlformats.org/drawingml/2006/main">
            <a:ext uri="{FF2B5EF4-FFF2-40B4-BE49-F238E27FC236}">
              <a16:creationId xmlns:a16="http://schemas.microsoft.com/office/drawing/2014/main" id="{A23B2A71-2681-66A2-90D0-4296E09F3046}"/>
            </a:ext>
          </a:extLst>
        </cdr:cNvPr>
        <cdr:cNvCxnSpPr/>
      </cdr:nvCxnSpPr>
      <cdr:spPr>
        <a:xfrm xmlns:a="http://schemas.openxmlformats.org/drawingml/2006/main">
          <a:off x="6142381" y="3045197"/>
          <a:ext cx="2498" cy="2254405"/>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0.08122</cdr:x>
      <cdr:y>0.91918</cdr:y>
    </cdr:from>
    <cdr:to>
      <cdr:x>0.14035</cdr:x>
      <cdr:y>1</cdr:y>
    </cdr:to>
    <cdr:sp macro="" textlink="">
      <cdr:nvSpPr>
        <cdr:cNvPr id="5" name="ZoneTexte 4">
          <a:extLst xmlns:a="http://schemas.openxmlformats.org/drawingml/2006/main">
            <a:ext uri="{FF2B5EF4-FFF2-40B4-BE49-F238E27FC236}">
              <a16:creationId xmlns:a16="http://schemas.microsoft.com/office/drawing/2014/main" id="{338AE679-1516-2028-F5F9-A57F89D527DD}"/>
            </a:ext>
          </a:extLst>
        </cdr:cNvPr>
        <cdr:cNvSpPr txBox="1"/>
      </cdr:nvSpPr>
      <cdr:spPr bwMode="auto">
        <a:xfrm xmlns:a="http://schemas.openxmlformats.org/drawingml/2006/main">
          <a:off x="976166" y="6747316"/>
          <a:ext cx="710721" cy="59325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baseline="0"/>
            <a:t> </a:t>
          </a:r>
          <a:r>
            <a:rPr lang="fr-FR" sz="2000" b="1"/>
            <a:t>2022</a:t>
          </a:r>
        </a:p>
      </cdr:txBody>
    </cdr:sp>
  </cdr:relSizeAnchor>
  <cdr:relSizeAnchor xmlns:cdr="http://schemas.openxmlformats.org/drawingml/2006/chartDrawing">
    <cdr:from>
      <cdr:x>0.91475</cdr:x>
      <cdr:y>0.91918</cdr:y>
    </cdr:from>
    <cdr:to>
      <cdr:x>0.97389</cdr:x>
      <cdr:y>1</cdr:y>
    </cdr:to>
    <cdr:sp macro="" textlink="">
      <cdr:nvSpPr>
        <cdr:cNvPr id="7" name="ZoneTexte 1">
          <a:extLst xmlns:a="http://schemas.openxmlformats.org/drawingml/2006/main">
            <a:ext uri="{FF2B5EF4-FFF2-40B4-BE49-F238E27FC236}">
              <a16:creationId xmlns:a16="http://schemas.microsoft.com/office/drawing/2014/main" id="{B2B334AD-F97F-681A-8683-A1239901765C}"/>
            </a:ext>
          </a:extLst>
        </cdr:cNvPr>
        <cdr:cNvSpPr txBox="1"/>
      </cdr:nvSpPr>
      <cdr:spPr bwMode="auto">
        <a:xfrm xmlns:a="http://schemas.openxmlformats.org/drawingml/2006/main">
          <a:off x="10994751" y="6747316"/>
          <a:ext cx="710721" cy="59325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a:t>Empreinte en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600" baseline="0"/>
            <a:t> </a:t>
          </a:r>
          <a:r>
            <a:rPr lang="fr-FR" sz="2000" b="1"/>
            <a:t>2050</a:t>
          </a:r>
        </a:p>
      </cdr:txBody>
    </cdr:sp>
  </cdr:relSizeAnchor>
  <cdr:relSizeAnchor xmlns:cdr="http://schemas.openxmlformats.org/drawingml/2006/chartDrawing">
    <cdr:from>
      <cdr:x>0.26512</cdr:x>
      <cdr:y>0</cdr:y>
    </cdr:from>
    <cdr:to>
      <cdr:x>0.26512</cdr:x>
      <cdr:y>0</cdr:y>
    </cdr:to>
    <cdr:grpSp>
      <cdr:nvGrpSpPr>
        <cdr:cNvPr id="9" name="Groupe 8">
          <a:extLst xmlns:a="http://schemas.openxmlformats.org/drawingml/2006/main">
            <a:ext uri="{FF2B5EF4-FFF2-40B4-BE49-F238E27FC236}">
              <a16:creationId xmlns:a16="http://schemas.microsoft.com/office/drawing/2014/main" id="{015AE65A-0A99-205A-5F9F-1915A4A7FC30}"/>
            </a:ext>
          </a:extLst>
        </cdr:cNvPr>
        <cdr:cNvGrpSpPr>
          <a:grpSpLocks xmlns:a="http://schemas.openxmlformats.org/drawingml/2006/main" noChangeAspect="1"/>
        </cdr:cNvGrpSpPr>
      </cdr:nvGrpSpPr>
      <cdr:grpSpPr>
        <a:xfrm xmlns:a="http://schemas.openxmlformats.org/drawingml/2006/main">
          <a:off x="4227175" y="0"/>
          <a:ext cx="0" cy="0"/>
          <a:chOff x="4227175" y="0"/>
          <a:chExt cx="0" cy="0"/>
        </a:xfrm>
      </cdr:grpSpPr>
    </cdr:grpSp>
  </cdr:relSizeAnchor>
  <cdr:relSizeAnchor xmlns:cdr="http://schemas.openxmlformats.org/drawingml/2006/chartDrawing">
    <cdr:from>
      <cdr:x>0.49498</cdr:x>
      <cdr:y>0.3141</cdr:y>
    </cdr:from>
    <cdr:to>
      <cdr:x>0.55483</cdr:x>
      <cdr:y>0.41199</cdr:y>
    </cdr:to>
    <cdr:pic>
      <cdr:nvPicPr>
        <cdr:cNvPr id="13" name="Graphique 54" descr="Couverts de table">
          <a:extLst xmlns:a="http://schemas.openxmlformats.org/drawingml/2006/main">
            <a:ext uri="{FF2B5EF4-FFF2-40B4-BE49-F238E27FC236}">
              <a16:creationId xmlns:a16="http://schemas.microsoft.com/office/drawing/2014/main" id="{CA488B62-0618-930B-2F13-94E154C95F0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xmlns:a="http://schemas.openxmlformats.org/drawingml/2006/main">
          <a:fillRect/>
        </a:stretch>
      </cdr:blipFill>
      <cdr:spPr>
        <a:xfrm xmlns:a="http://schemas.openxmlformats.org/drawingml/2006/main">
          <a:off x="6847675" y="2549864"/>
          <a:ext cx="827980" cy="794682"/>
        </a:xfrm>
        <a:prstGeom xmlns:a="http://schemas.openxmlformats.org/drawingml/2006/main" prst="rect">
          <a:avLst/>
        </a:prstGeom>
      </cdr:spPr>
    </cdr:pic>
  </cdr:relSizeAnchor>
  <cdr:relSizeAnchor xmlns:cdr="http://schemas.openxmlformats.org/drawingml/2006/chartDrawing">
    <cdr:from>
      <cdr:x>0.75321</cdr:x>
      <cdr:y>0.52903</cdr:y>
    </cdr:from>
    <cdr:to>
      <cdr:x>0.80604</cdr:x>
      <cdr:y>0.61736</cdr:y>
    </cdr:to>
    <cdr:pic>
      <cdr:nvPicPr>
        <cdr:cNvPr id="14" name="Graphique 85" descr="Ordures">
          <a:extLst xmlns:a="http://schemas.openxmlformats.org/drawingml/2006/main">
            <a:ext uri="{FF2B5EF4-FFF2-40B4-BE49-F238E27FC236}">
              <a16:creationId xmlns:a16="http://schemas.microsoft.com/office/drawing/2014/main" id="{79573B22-E4F1-6CC4-3BBE-8E3FA180F6F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xmlns:a="http://schemas.openxmlformats.org/drawingml/2006/main">
          <a:fillRect/>
        </a:stretch>
      </cdr:blipFill>
      <cdr:spPr>
        <a:xfrm xmlns:a="http://schemas.openxmlformats.org/drawingml/2006/main">
          <a:off x="10424391" y="4303738"/>
          <a:ext cx="731164" cy="718581"/>
        </a:xfrm>
        <a:prstGeom xmlns:a="http://schemas.openxmlformats.org/drawingml/2006/main" prst="rect">
          <a:avLst/>
        </a:prstGeom>
      </cdr:spPr>
    </cdr:pic>
  </cdr:relSizeAnchor>
  <cdr:relSizeAnchor xmlns:cdr="http://schemas.openxmlformats.org/drawingml/2006/chartDrawing">
    <cdr:from>
      <cdr:x>0.66887</cdr:x>
      <cdr:y>0.46484</cdr:y>
    </cdr:from>
    <cdr:to>
      <cdr:x>0.72282</cdr:x>
      <cdr:y>0.55317</cdr:y>
    </cdr:to>
    <cdr:pic>
      <cdr:nvPicPr>
        <cdr:cNvPr id="16" name="Graphique 15" descr="Télévision avec un remplissage uni">
          <a:extLst xmlns:a="http://schemas.openxmlformats.org/drawingml/2006/main">
            <a:ext uri="{FF2B5EF4-FFF2-40B4-BE49-F238E27FC236}">
              <a16:creationId xmlns:a16="http://schemas.microsoft.com/office/drawing/2014/main" id="{416D201D-A49D-8B6B-460E-04B78444765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xmlns:a="http://schemas.openxmlformats.org/drawingml/2006/main">
          <a:fillRect/>
        </a:stretch>
      </cdr:blipFill>
      <cdr:spPr>
        <a:xfrm xmlns:a="http://schemas.openxmlformats.org/drawingml/2006/main">
          <a:off x="9257148" y="3781589"/>
          <a:ext cx="746666" cy="718582"/>
        </a:xfrm>
        <a:prstGeom xmlns:a="http://schemas.openxmlformats.org/drawingml/2006/main" prst="rect">
          <a:avLst/>
        </a:prstGeom>
      </cdr:spPr>
    </cdr:pic>
  </cdr:relSizeAnchor>
  <cdr:relSizeAnchor xmlns:cdr="http://schemas.openxmlformats.org/drawingml/2006/chartDrawing">
    <cdr:from>
      <cdr:x>0.83769</cdr:x>
      <cdr:y>0.58367</cdr:y>
    </cdr:from>
    <cdr:to>
      <cdr:x>0.89164</cdr:x>
      <cdr:y>0.67201</cdr:y>
    </cdr:to>
    <cdr:pic>
      <cdr:nvPicPr>
        <cdr:cNvPr id="18" name="Graphique 17" descr="Divers avec un remplissage uni">
          <a:extLst xmlns:a="http://schemas.openxmlformats.org/drawingml/2006/main">
            <a:ext uri="{FF2B5EF4-FFF2-40B4-BE49-F238E27FC236}">
              <a16:creationId xmlns:a16="http://schemas.microsoft.com/office/drawing/2014/main" id="{7B815406-DFBE-14E7-1E45-3FB967B026F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xmlns:a="http://schemas.openxmlformats.org/drawingml/2006/main">
          <a:fillRect/>
        </a:stretch>
      </cdr:blipFill>
      <cdr:spPr>
        <a:xfrm xmlns:a="http://schemas.openxmlformats.org/drawingml/2006/main">
          <a:off x="11593561" y="4748274"/>
          <a:ext cx="746666" cy="718663"/>
        </a:xfrm>
        <a:prstGeom xmlns:a="http://schemas.openxmlformats.org/drawingml/2006/main" prst="rect">
          <a:avLst/>
        </a:prstGeom>
      </cdr:spPr>
    </cdr:pic>
  </cdr:relSizeAnchor>
  <cdr:relSizeAnchor xmlns:cdr="http://schemas.openxmlformats.org/drawingml/2006/chartDrawing">
    <cdr:from>
      <cdr:x>0.24742</cdr:x>
      <cdr:y>0.11063</cdr:y>
    </cdr:from>
    <cdr:to>
      <cdr:x>0.30137</cdr:x>
      <cdr:y>0.19896</cdr:y>
    </cdr:to>
    <cdr:pic>
      <cdr:nvPicPr>
        <cdr:cNvPr id="20" name="Graphique 19" descr="Bus avec un remplissage uni">
          <a:extLst xmlns:a="http://schemas.openxmlformats.org/drawingml/2006/main">
            <a:ext uri="{FF2B5EF4-FFF2-40B4-BE49-F238E27FC236}">
              <a16:creationId xmlns:a16="http://schemas.microsoft.com/office/drawing/2014/main" id="{928DCD31-C675-8BD5-9BD0-571D255A7BA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xmlns:a="http://schemas.openxmlformats.org/drawingml/2006/main">
          <a:fillRect/>
        </a:stretch>
      </cdr:blipFill>
      <cdr:spPr>
        <a:xfrm xmlns:a="http://schemas.openxmlformats.org/drawingml/2006/main">
          <a:off x="3422841" y="898111"/>
          <a:ext cx="746359" cy="717073"/>
        </a:xfrm>
        <a:prstGeom xmlns:a="http://schemas.openxmlformats.org/drawingml/2006/main" prst="rect">
          <a:avLst/>
        </a:prstGeom>
      </cdr:spPr>
    </cdr:pic>
  </cdr:relSizeAnchor>
  <cdr:relSizeAnchor xmlns:cdr="http://schemas.openxmlformats.org/drawingml/2006/chartDrawing">
    <cdr:from>
      <cdr:x>0.15983</cdr:x>
      <cdr:y>0.02613</cdr:y>
    </cdr:from>
    <cdr:to>
      <cdr:x>0.21378</cdr:x>
      <cdr:y>0.11446</cdr:y>
    </cdr:to>
    <cdr:pic>
      <cdr:nvPicPr>
        <cdr:cNvPr id="22" name="Graphique 21" descr="Train avec un remplissage uni">
          <a:extLst xmlns:a="http://schemas.openxmlformats.org/drawingml/2006/main">
            <a:ext uri="{FF2B5EF4-FFF2-40B4-BE49-F238E27FC236}">
              <a16:creationId xmlns:a16="http://schemas.microsoft.com/office/drawing/2014/main" id="{917A01FA-AB05-85A6-0A63-61E541FB14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xmlns:a="http://schemas.openxmlformats.org/drawingml/2006/main">
          <a:fillRect/>
        </a:stretch>
      </cdr:blipFill>
      <cdr:spPr>
        <a:xfrm xmlns:a="http://schemas.openxmlformats.org/drawingml/2006/main">
          <a:off x="2215384" y="208970"/>
          <a:ext cx="747795" cy="706481"/>
        </a:xfrm>
        <a:prstGeom xmlns:a="http://schemas.openxmlformats.org/drawingml/2006/main" prst="rect">
          <a:avLst/>
        </a:prstGeom>
      </cdr:spPr>
    </cdr:pic>
  </cdr:relSizeAnchor>
  <cdr:relSizeAnchor xmlns:cdr="http://schemas.openxmlformats.org/drawingml/2006/chartDrawing">
    <cdr:from>
      <cdr:x>0.32816</cdr:x>
      <cdr:y>0.19896</cdr:y>
    </cdr:from>
    <cdr:to>
      <cdr:x>0.38211</cdr:x>
      <cdr:y>0.2873</cdr:y>
    </cdr:to>
    <cdr:pic>
      <cdr:nvPicPr>
        <cdr:cNvPr id="24" name="Graphique 23" descr="Cyclisme avec un remplissage uni">
          <a:extLst xmlns:a="http://schemas.openxmlformats.org/drawingml/2006/main">
            <a:ext uri="{FF2B5EF4-FFF2-40B4-BE49-F238E27FC236}">
              <a16:creationId xmlns:a16="http://schemas.microsoft.com/office/drawing/2014/main" id="{60109FE7-4E7D-54CB-E04C-14B4C16C13C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xmlns:a="http://schemas.openxmlformats.org/drawingml/2006/main">
          <a:fillRect/>
        </a:stretch>
      </cdr:blipFill>
      <cdr:spPr>
        <a:xfrm xmlns:a="http://schemas.openxmlformats.org/drawingml/2006/main">
          <a:off x="4541787" y="1618609"/>
          <a:ext cx="746665" cy="718662"/>
        </a:xfrm>
        <a:prstGeom xmlns:a="http://schemas.openxmlformats.org/drawingml/2006/main" prst="rect">
          <a:avLst/>
        </a:prstGeom>
      </cdr:spPr>
    </cdr:pic>
  </cdr:relSizeAnchor>
  <cdr:relSizeAnchor xmlns:cdr="http://schemas.openxmlformats.org/drawingml/2006/chartDrawing">
    <cdr:from>
      <cdr:x>0.58009</cdr:x>
      <cdr:y>0.3706</cdr:y>
    </cdr:from>
    <cdr:to>
      <cdr:x>0.65095</cdr:x>
      <cdr:y>0.44206</cdr:y>
    </cdr:to>
    <cdr:grpSp>
      <cdr:nvGrpSpPr>
        <cdr:cNvPr id="29" name="Groupe 28">
          <a:extLst xmlns:a="http://schemas.openxmlformats.org/drawingml/2006/main">
            <a:ext uri="{FF2B5EF4-FFF2-40B4-BE49-F238E27FC236}">
              <a16:creationId xmlns:a16="http://schemas.microsoft.com/office/drawing/2014/main" id="{B41FFF08-3153-E8F5-4F23-F461AD42CD3E}"/>
            </a:ext>
          </a:extLst>
        </cdr:cNvPr>
        <cdr:cNvGrpSpPr>
          <a:grpSpLocks xmlns:a="http://schemas.openxmlformats.org/drawingml/2006/main" noChangeAspect="1"/>
        </cdr:cNvGrpSpPr>
      </cdr:nvGrpSpPr>
      <cdr:grpSpPr>
        <a:xfrm xmlns:a="http://schemas.openxmlformats.org/drawingml/2006/main">
          <a:off x="9249178" y="3338195"/>
          <a:ext cx="1129819" cy="643679"/>
          <a:chOff x="0" y="0"/>
          <a:chExt cx="1510202" cy="930079"/>
        </a:xfrm>
      </cdr:grpSpPr>
      <cdr:pic>
        <cdr:nvPicPr>
          <cdr:cNvPr id="26" name="Graphique 25" descr="Thermomètre avec un remplissage uni">
            <a:extLst xmlns:a="http://schemas.openxmlformats.org/drawingml/2006/main">
              <a:ext uri="{FF2B5EF4-FFF2-40B4-BE49-F238E27FC236}">
                <a16:creationId xmlns:a16="http://schemas.microsoft.com/office/drawing/2014/main" id="{D8F67C54-93B3-CFAA-DAB7-BEB8525017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xmlns:a="http://schemas.openxmlformats.org/drawingml/2006/main">
            <a:fillRect/>
          </a:stretch>
        </cdr:blipFill>
        <cdr:spPr>
          <a:xfrm xmlns:a="http://schemas.openxmlformats.org/drawingml/2006/main">
            <a:off x="0" y="0"/>
            <a:ext cx="914400" cy="914400"/>
          </a:xfrm>
          <a:prstGeom xmlns:a="http://schemas.openxmlformats.org/drawingml/2006/main" prst="rect">
            <a:avLst/>
          </a:prstGeom>
        </cdr:spPr>
      </cdr:pic>
      <cdr:pic>
        <cdr:nvPicPr>
          <cdr:cNvPr id="28" name="Graphique 27" descr="Éclair avec un remplissage uni">
            <a:extLst xmlns:a="http://schemas.openxmlformats.org/drawingml/2006/main">
              <a:ext uri="{FF2B5EF4-FFF2-40B4-BE49-F238E27FC236}">
                <a16:creationId xmlns:a16="http://schemas.microsoft.com/office/drawing/2014/main" id="{6283C657-970B-D68C-2913-3AED2C13B4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xmlns:a="http://schemas.openxmlformats.org/drawingml/2006/main">
            <a:fillRect/>
          </a:stretch>
        </cdr:blipFill>
        <cdr:spPr>
          <a:xfrm xmlns:a="http://schemas.openxmlformats.org/drawingml/2006/main">
            <a:off x="595802" y="15679"/>
            <a:ext cx="914400" cy="914400"/>
          </a:xfrm>
          <a:prstGeom xmlns:a="http://schemas.openxmlformats.org/drawingml/2006/main" prst="rect">
            <a:avLst/>
          </a:prstGeom>
        </cdr:spPr>
      </cdr:pic>
    </cdr:grpSp>
  </cdr:relSizeAnchor>
  <cdr:relSizeAnchor xmlns:cdr="http://schemas.openxmlformats.org/drawingml/2006/chartDrawing">
    <cdr:from>
      <cdr:x>0.16141</cdr:x>
      <cdr:y>0.86868</cdr:y>
    </cdr:from>
    <cdr:to>
      <cdr:x>0.89103</cdr:x>
      <cdr:y>0.86868</cdr:y>
    </cdr:to>
    <cdr:cxnSp macro="">
      <cdr:nvCxnSpPr>
        <cdr:cNvPr id="31" name="Connecteur droit avec flèche 30">
          <a:extLst xmlns:a="http://schemas.openxmlformats.org/drawingml/2006/main">
            <a:ext uri="{FF2B5EF4-FFF2-40B4-BE49-F238E27FC236}">
              <a16:creationId xmlns:a16="http://schemas.microsoft.com/office/drawing/2014/main" id="{214B0AB5-1936-F2DD-A8B4-B6A010DFB50F}"/>
            </a:ext>
          </a:extLst>
        </cdr:cNvPr>
        <cdr:cNvCxnSpPr/>
      </cdr:nvCxnSpPr>
      <cdr:spPr>
        <a:xfrm xmlns:a="http://schemas.openxmlformats.org/drawingml/2006/main">
          <a:off x="2267100" y="7377627"/>
          <a:ext cx="10247947" cy="0"/>
        </a:xfrm>
        <a:prstGeom xmlns:a="http://schemas.openxmlformats.org/drawingml/2006/main" prst="straightConnector1">
          <a:avLst/>
        </a:prstGeom>
        <a:ln xmlns:a="http://schemas.openxmlformats.org/drawingml/2006/main" w="28575">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0.60962</cdr:x>
      <cdr:y>0.50479</cdr:y>
    </cdr:from>
    <cdr:to>
      <cdr:x>0.61046</cdr:x>
      <cdr:y>0.67565</cdr:y>
    </cdr:to>
    <cdr:cxnSp macro="">
      <cdr:nvCxnSpPr>
        <cdr:cNvPr id="33" name="Connecteur droit avec flèche 32">
          <a:extLst xmlns:a="http://schemas.openxmlformats.org/drawingml/2006/main">
            <a:ext uri="{FF2B5EF4-FFF2-40B4-BE49-F238E27FC236}">
              <a16:creationId xmlns:a16="http://schemas.microsoft.com/office/drawing/2014/main" id="{0C3C8342-6E7F-8941-EB1D-C8AAD4CA199C}"/>
            </a:ext>
          </a:extLst>
        </cdr:cNvPr>
        <cdr:cNvCxnSpPr/>
      </cdr:nvCxnSpPr>
      <cdr:spPr>
        <a:xfrm xmlns:a="http://schemas.openxmlformats.org/drawingml/2006/main">
          <a:off x="8544043" y="4444593"/>
          <a:ext cx="11746" cy="1504355"/>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0.27173</cdr:x>
      <cdr:y>0.25444</cdr:y>
    </cdr:from>
    <cdr:to>
      <cdr:x>0.27377</cdr:x>
      <cdr:y>0.54084</cdr:y>
    </cdr:to>
    <cdr:cxnSp macro="">
      <cdr:nvCxnSpPr>
        <cdr:cNvPr id="36" name="Connecteur droit avec flèche 35">
          <a:extLst xmlns:a="http://schemas.openxmlformats.org/drawingml/2006/main">
            <a:ext uri="{FF2B5EF4-FFF2-40B4-BE49-F238E27FC236}">
              <a16:creationId xmlns:a16="http://schemas.microsoft.com/office/drawing/2014/main" id="{A16ED8E5-16FB-F42F-E07E-E29C1A38A789}"/>
            </a:ext>
          </a:extLst>
        </cdr:cNvPr>
        <cdr:cNvCxnSpPr/>
      </cdr:nvCxnSpPr>
      <cdr:spPr>
        <a:xfrm xmlns:a="http://schemas.openxmlformats.org/drawingml/2006/main">
          <a:off x="3812000" y="2276449"/>
          <a:ext cx="28664" cy="2562365"/>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0.58352</cdr:x>
      <cdr:y>0.43105</cdr:y>
    </cdr:from>
    <cdr:to>
      <cdr:x>0.64265</cdr:x>
      <cdr:y>0.51187</cdr:y>
    </cdr:to>
    <cdr:sp macro="" textlink="">
      <cdr:nvSpPr>
        <cdr:cNvPr id="37" name="ZoneTexte 1">
          <a:extLst xmlns:a="http://schemas.openxmlformats.org/drawingml/2006/main">
            <a:ext uri="{FF2B5EF4-FFF2-40B4-BE49-F238E27FC236}">
              <a16:creationId xmlns:a16="http://schemas.microsoft.com/office/drawing/2014/main" id="{9EDC49C0-905E-8015-D176-FE5D1903A4A8}"/>
            </a:ext>
          </a:extLst>
        </cdr:cNvPr>
        <cdr:cNvSpPr txBox="1"/>
      </cdr:nvSpPr>
      <cdr:spPr bwMode="auto">
        <a:xfrm xmlns:a="http://schemas.openxmlformats.org/drawingml/2006/main">
          <a:off x="8094509" y="3592785"/>
          <a:ext cx="820243" cy="673639"/>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Consommation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d'énergie</a:t>
          </a:r>
          <a:endParaRPr lang="fr-FR" sz="1800" b="1"/>
        </a:p>
      </cdr:txBody>
    </cdr:sp>
  </cdr:relSizeAnchor>
  <cdr:relSizeAnchor xmlns:cdr="http://schemas.openxmlformats.org/drawingml/2006/chartDrawing">
    <cdr:from>
      <cdr:x>0.49816</cdr:x>
      <cdr:y>0.38627</cdr:y>
    </cdr:from>
    <cdr:to>
      <cdr:x>0.5573</cdr:x>
      <cdr:y>0.46709</cdr:y>
    </cdr:to>
    <cdr:sp macro="" textlink="">
      <cdr:nvSpPr>
        <cdr:cNvPr id="38" name="ZoneTexte 1">
          <a:extLst xmlns:a="http://schemas.openxmlformats.org/drawingml/2006/main">
            <a:ext uri="{FF2B5EF4-FFF2-40B4-BE49-F238E27FC236}">
              <a16:creationId xmlns:a16="http://schemas.microsoft.com/office/drawing/2014/main" id="{F0325A4F-FD76-A203-25AC-67F152A48231}"/>
            </a:ext>
          </a:extLst>
        </cdr:cNvPr>
        <cdr:cNvSpPr txBox="1"/>
      </cdr:nvSpPr>
      <cdr:spPr bwMode="auto">
        <a:xfrm xmlns:a="http://schemas.openxmlformats.org/drawingml/2006/main">
          <a:off x="6891668" y="3135748"/>
          <a:ext cx="818158" cy="65610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Alimentation &amp;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boissons</a:t>
          </a:r>
          <a:endParaRPr lang="fr-FR" sz="1800" b="1"/>
        </a:p>
      </cdr:txBody>
    </cdr:sp>
  </cdr:relSizeAnchor>
  <cdr:relSizeAnchor xmlns:cdr="http://schemas.openxmlformats.org/drawingml/2006/chartDrawing">
    <cdr:from>
      <cdr:x>0.24787</cdr:x>
      <cdr:y>0.17796</cdr:y>
    </cdr:from>
    <cdr:to>
      <cdr:x>0.30701</cdr:x>
      <cdr:y>0.25878</cdr:y>
    </cdr:to>
    <cdr:sp macro="" textlink="">
      <cdr:nvSpPr>
        <cdr:cNvPr id="39" name="ZoneTexte 1">
          <a:extLst xmlns:a="http://schemas.openxmlformats.org/drawingml/2006/main">
            <a:ext uri="{FF2B5EF4-FFF2-40B4-BE49-F238E27FC236}">
              <a16:creationId xmlns:a16="http://schemas.microsoft.com/office/drawing/2014/main" id="{BBDD83AD-8ACF-E741-ACD4-54AC6A7E33C9}"/>
            </a:ext>
          </a:extLst>
        </cdr:cNvPr>
        <cdr:cNvSpPr txBox="1"/>
      </cdr:nvSpPr>
      <cdr:spPr bwMode="auto">
        <a:xfrm xmlns:a="http://schemas.openxmlformats.org/drawingml/2006/main">
          <a:off x="3429066" y="1444703"/>
          <a:ext cx="818159" cy="65610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Transport des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équipes</a:t>
          </a:r>
          <a:endParaRPr lang="fr-FR" sz="1800" b="1"/>
        </a:p>
      </cdr:txBody>
    </cdr:sp>
  </cdr:relSizeAnchor>
  <cdr:relSizeAnchor xmlns:cdr="http://schemas.openxmlformats.org/drawingml/2006/chartDrawing">
    <cdr:from>
      <cdr:x>0.15866</cdr:x>
      <cdr:y>0.10204</cdr:y>
    </cdr:from>
    <cdr:to>
      <cdr:x>0.21779</cdr:x>
      <cdr:y>0.18285</cdr:y>
    </cdr:to>
    <cdr:sp macro="" textlink="">
      <cdr:nvSpPr>
        <cdr:cNvPr id="40" name="ZoneTexte 1">
          <a:extLst xmlns:a="http://schemas.openxmlformats.org/drawingml/2006/main">
            <a:ext uri="{FF2B5EF4-FFF2-40B4-BE49-F238E27FC236}">
              <a16:creationId xmlns:a16="http://schemas.microsoft.com/office/drawing/2014/main" id="{899874F7-DFB8-EC15-2227-66EE1E443C8B}"/>
            </a:ext>
          </a:extLst>
        </cdr:cNvPr>
        <cdr:cNvSpPr txBox="1"/>
      </cdr:nvSpPr>
      <cdr:spPr bwMode="auto">
        <a:xfrm xmlns:a="http://schemas.openxmlformats.org/drawingml/2006/main">
          <a:off x="2199167" y="816160"/>
          <a:ext cx="819594" cy="64633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Transport des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spectateurs</a:t>
          </a:r>
          <a:endParaRPr lang="fr-FR" sz="1800" b="1"/>
        </a:p>
      </cdr:txBody>
    </cdr:sp>
  </cdr:relSizeAnchor>
  <cdr:relSizeAnchor xmlns:cdr="http://schemas.openxmlformats.org/drawingml/2006/chartDrawing">
    <cdr:from>
      <cdr:x>0.33029</cdr:x>
      <cdr:y>0.27456</cdr:y>
    </cdr:from>
    <cdr:to>
      <cdr:x>0.38942</cdr:x>
      <cdr:y>0.35537</cdr:y>
    </cdr:to>
    <cdr:sp macro="" textlink="">
      <cdr:nvSpPr>
        <cdr:cNvPr id="41" name="ZoneTexte 1">
          <a:extLst xmlns:a="http://schemas.openxmlformats.org/drawingml/2006/main">
            <a:ext uri="{FF2B5EF4-FFF2-40B4-BE49-F238E27FC236}">
              <a16:creationId xmlns:a16="http://schemas.microsoft.com/office/drawing/2014/main" id="{D921A652-E151-6364-A99E-EEE611410B81}"/>
            </a:ext>
          </a:extLst>
        </cdr:cNvPr>
        <cdr:cNvSpPr txBox="1"/>
      </cdr:nvSpPr>
      <cdr:spPr bwMode="auto">
        <a:xfrm xmlns:a="http://schemas.openxmlformats.org/drawingml/2006/main">
          <a:off x="4571266" y="2233629"/>
          <a:ext cx="818356" cy="657404"/>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Transport des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salariés</a:t>
          </a:r>
          <a:endParaRPr lang="fr-FR" sz="1800" b="1"/>
        </a:p>
      </cdr:txBody>
    </cdr:sp>
  </cdr:relSizeAnchor>
  <cdr:relSizeAnchor xmlns:cdr="http://schemas.openxmlformats.org/drawingml/2006/chartDrawing">
    <cdr:from>
      <cdr:x>0.74764</cdr:x>
      <cdr:y>0.59506</cdr:y>
    </cdr:from>
    <cdr:to>
      <cdr:x>0.80677</cdr:x>
      <cdr:y>0.67588</cdr:y>
    </cdr:to>
    <cdr:sp macro="" textlink="">
      <cdr:nvSpPr>
        <cdr:cNvPr id="42" name="ZoneTexte 1">
          <a:extLst xmlns:a="http://schemas.openxmlformats.org/drawingml/2006/main">
            <a:ext uri="{FF2B5EF4-FFF2-40B4-BE49-F238E27FC236}">
              <a16:creationId xmlns:a16="http://schemas.microsoft.com/office/drawing/2014/main" id="{211D8751-AB56-994D-0728-7FB21ABE9440}"/>
            </a:ext>
          </a:extLst>
        </cdr:cNvPr>
        <cdr:cNvSpPr txBox="1"/>
      </cdr:nvSpPr>
      <cdr:spPr bwMode="auto">
        <a:xfrm xmlns:a="http://schemas.openxmlformats.org/drawingml/2006/main">
          <a:off x="10347343" y="4840893"/>
          <a:ext cx="818356" cy="657485"/>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Déchets</a:t>
          </a:r>
          <a:endParaRPr lang="fr-FR" sz="1800" b="1"/>
        </a:p>
      </cdr:txBody>
    </cdr:sp>
  </cdr:relSizeAnchor>
  <cdr:relSizeAnchor xmlns:cdr="http://schemas.openxmlformats.org/drawingml/2006/chartDrawing">
    <cdr:from>
      <cdr:x>0.66152</cdr:x>
      <cdr:y>0.52728</cdr:y>
    </cdr:from>
    <cdr:to>
      <cdr:x>0.72065</cdr:x>
      <cdr:y>0.6081</cdr:y>
    </cdr:to>
    <cdr:sp macro="" textlink="">
      <cdr:nvSpPr>
        <cdr:cNvPr id="43" name="ZoneTexte 1">
          <a:extLst xmlns:a="http://schemas.openxmlformats.org/drawingml/2006/main">
            <a:ext uri="{FF2B5EF4-FFF2-40B4-BE49-F238E27FC236}">
              <a16:creationId xmlns:a16="http://schemas.microsoft.com/office/drawing/2014/main" id="{77F7BA87-A2AC-75FC-3B07-311E886BB6BF}"/>
            </a:ext>
          </a:extLst>
        </cdr:cNvPr>
        <cdr:cNvSpPr txBox="1"/>
      </cdr:nvSpPr>
      <cdr:spPr bwMode="auto">
        <a:xfrm xmlns:a="http://schemas.openxmlformats.org/drawingml/2006/main">
          <a:off x="9155410" y="4289513"/>
          <a:ext cx="818356" cy="65748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Retransmission</a:t>
          </a:r>
          <a:endParaRPr lang="fr-FR" sz="1800" b="1"/>
        </a:p>
      </cdr:txBody>
    </cdr:sp>
  </cdr:relSizeAnchor>
  <cdr:relSizeAnchor xmlns:cdr="http://schemas.openxmlformats.org/drawingml/2006/chartDrawing">
    <cdr:from>
      <cdr:x>0.83573</cdr:x>
      <cdr:y>0.62536</cdr:y>
    </cdr:from>
    <cdr:to>
      <cdr:x>0.89486</cdr:x>
      <cdr:y>0.70618</cdr:y>
    </cdr:to>
    <cdr:sp macro="" textlink="">
      <cdr:nvSpPr>
        <cdr:cNvPr id="44" name="ZoneTexte 1">
          <a:extLst xmlns:a="http://schemas.openxmlformats.org/drawingml/2006/main">
            <a:ext uri="{FF2B5EF4-FFF2-40B4-BE49-F238E27FC236}">
              <a16:creationId xmlns:a16="http://schemas.microsoft.com/office/drawing/2014/main" id="{D919BAAC-C76C-F5C9-F4FD-952654D77033}"/>
            </a:ext>
          </a:extLst>
        </cdr:cNvPr>
        <cdr:cNvSpPr txBox="1"/>
      </cdr:nvSpPr>
      <cdr:spPr bwMode="auto">
        <a:xfrm xmlns:a="http://schemas.openxmlformats.org/drawingml/2006/main">
          <a:off x="11566484" y="5087429"/>
          <a:ext cx="818357" cy="657486"/>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Autres</a:t>
          </a:r>
          <a:endParaRPr lang="fr-FR" sz="1800" b="1"/>
        </a:p>
      </cdr:txBody>
    </cdr:sp>
  </cdr:relSizeAnchor>
  <cdr:relSizeAnchor xmlns:cdr="http://schemas.openxmlformats.org/drawingml/2006/chartDrawing">
    <cdr:from>
      <cdr:x>0.35808</cdr:x>
      <cdr:y>0.35093</cdr:y>
    </cdr:from>
    <cdr:to>
      <cdr:x>0.35947</cdr:x>
      <cdr:y>0.57112</cdr:y>
    </cdr:to>
    <cdr:cxnSp macro="">
      <cdr:nvCxnSpPr>
        <cdr:cNvPr id="46" name="Connecteur droit avec flèche 45">
          <a:extLst xmlns:a="http://schemas.openxmlformats.org/drawingml/2006/main">
            <a:ext uri="{FF2B5EF4-FFF2-40B4-BE49-F238E27FC236}">
              <a16:creationId xmlns:a16="http://schemas.microsoft.com/office/drawing/2014/main" id="{72A38E4D-6C26-11D8-23F4-A05DEF029FB1}"/>
            </a:ext>
          </a:extLst>
        </cdr:cNvPr>
        <cdr:cNvCxnSpPr/>
      </cdr:nvCxnSpPr>
      <cdr:spPr>
        <a:xfrm xmlns:a="http://schemas.openxmlformats.org/drawingml/2006/main">
          <a:off x="5023372" y="3139736"/>
          <a:ext cx="19559" cy="1970011"/>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0.52813</cdr:x>
      <cdr:y>0.45495</cdr:y>
    </cdr:from>
    <cdr:to>
      <cdr:x>0.52846</cdr:x>
      <cdr:y>0.64872</cdr:y>
    </cdr:to>
    <cdr:cxnSp macro="">
      <cdr:nvCxnSpPr>
        <cdr:cNvPr id="49" name="Connecteur droit avec flèche 48">
          <a:extLst xmlns:a="http://schemas.openxmlformats.org/drawingml/2006/main">
            <a:ext uri="{FF2B5EF4-FFF2-40B4-BE49-F238E27FC236}">
              <a16:creationId xmlns:a16="http://schemas.microsoft.com/office/drawing/2014/main" id="{BDAD0456-83E5-DC5F-C2BF-98CA760B9608}"/>
            </a:ext>
          </a:extLst>
        </cdr:cNvPr>
        <cdr:cNvCxnSpPr/>
      </cdr:nvCxnSpPr>
      <cdr:spPr>
        <a:xfrm xmlns:a="http://schemas.openxmlformats.org/drawingml/2006/main">
          <a:off x="7408940" y="4070393"/>
          <a:ext cx="4657" cy="1733621"/>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0.69833</cdr:x>
      <cdr:y>0.59954</cdr:y>
    </cdr:from>
    <cdr:to>
      <cdr:x>0.69866</cdr:x>
      <cdr:y>0.68657</cdr:y>
    </cdr:to>
    <cdr:cxnSp macro="">
      <cdr:nvCxnSpPr>
        <cdr:cNvPr id="51" name="Connecteur droit avec flèche 50">
          <a:extLst xmlns:a="http://schemas.openxmlformats.org/drawingml/2006/main">
            <a:ext uri="{FF2B5EF4-FFF2-40B4-BE49-F238E27FC236}">
              <a16:creationId xmlns:a16="http://schemas.microsoft.com/office/drawing/2014/main" id="{8A6E099D-DF29-B33B-272D-4BA98296449F}"/>
            </a:ext>
          </a:extLst>
        </cdr:cNvPr>
        <cdr:cNvCxnSpPr/>
      </cdr:nvCxnSpPr>
      <cdr:spPr>
        <a:xfrm xmlns:a="http://schemas.openxmlformats.org/drawingml/2006/main">
          <a:off x="9796613" y="5364025"/>
          <a:ext cx="4584" cy="77865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0.77826</cdr:x>
      <cdr:y>0.65993</cdr:y>
    </cdr:from>
    <cdr:to>
      <cdr:x>0.77832</cdr:x>
      <cdr:y>0.69414</cdr:y>
    </cdr:to>
    <cdr:cxnSp macro="">
      <cdr:nvCxnSpPr>
        <cdr:cNvPr id="53" name="Connecteur droit avec flèche 52">
          <a:extLst xmlns:a="http://schemas.openxmlformats.org/drawingml/2006/main">
            <a:ext uri="{FF2B5EF4-FFF2-40B4-BE49-F238E27FC236}">
              <a16:creationId xmlns:a16="http://schemas.microsoft.com/office/drawing/2014/main" id="{F794731E-6E6A-2487-3FFC-C0A77368CC6C}"/>
            </a:ext>
          </a:extLst>
        </cdr:cNvPr>
        <cdr:cNvCxnSpPr/>
      </cdr:nvCxnSpPr>
      <cdr:spPr>
        <a:xfrm xmlns:a="http://schemas.openxmlformats.org/drawingml/2006/main">
          <a:off x="10917922" y="5904328"/>
          <a:ext cx="875" cy="30608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0.86457</cdr:x>
      <cdr:y>0.68493</cdr:y>
    </cdr:from>
    <cdr:to>
      <cdr:x>0.86473</cdr:x>
      <cdr:y>0.70204</cdr:y>
    </cdr:to>
    <cdr:cxnSp macro="">
      <cdr:nvCxnSpPr>
        <cdr:cNvPr id="55" name="Connecteur droit avec flèche 54">
          <a:extLst xmlns:a="http://schemas.openxmlformats.org/drawingml/2006/main">
            <a:ext uri="{FF2B5EF4-FFF2-40B4-BE49-F238E27FC236}">
              <a16:creationId xmlns:a16="http://schemas.microsoft.com/office/drawing/2014/main" id="{14D4D5C2-2E86-069F-5B1F-3F1DF7244771}"/>
            </a:ext>
          </a:extLst>
        </cdr:cNvPr>
        <cdr:cNvCxnSpPr/>
      </cdr:nvCxnSpPr>
      <cdr:spPr>
        <a:xfrm xmlns:a="http://schemas.openxmlformats.org/drawingml/2006/main">
          <a:off x="12089956" y="6049839"/>
          <a:ext cx="2307" cy="151129"/>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0.49924</cdr:x>
      <cdr:y>0.8884</cdr:y>
    </cdr:from>
    <cdr:to>
      <cdr:x>0.56668</cdr:x>
      <cdr:y>0.99882</cdr:y>
    </cdr:to>
    <cdr:sp macro="" textlink="Récapitulatif!$F$177">
      <cdr:nvSpPr>
        <cdr:cNvPr id="58" name="ZoneTexte 57">
          <a:extLst xmlns:a="http://schemas.openxmlformats.org/drawingml/2006/main">
            <a:ext uri="{FF2B5EF4-FFF2-40B4-BE49-F238E27FC236}">
              <a16:creationId xmlns:a16="http://schemas.microsoft.com/office/drawing/2014/main" id="{3807C7A6-D42D-6022-8D9B-73BA1D35A82C}"/>
            </a:ext>
          </a:extLst>
        </cdr:cNvPr>
        <cdr:cNvSpPr txBox="1"/>
      </cdr:nvSpPr>
      <cdr:spPr bwMode="auto">
        <a:xfrm xmlns:a="http://schemas.openxmlformats.org/drawingml/2006/main">
          <a:off x="7025366" y="8075643"/>
          <a:ext cx="949021" cy="1003729"/>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vertOverflow="clip" wrap="none" rtlCol="0"/>
        <a:lstStyle xmlns:a="http://schemas.openxmlformats.org/drawingml/2006/main"/>
        <a:p xmlns:a="http://schemas.openxmlformats.org/drawingml/2006/main">
          <a:fld id="{C9F2C3E9-BAC0-E14B-85D3-90C5D21FEA02}" type="TxLink">
            <a:rPr lang="en-US" sz="2400" b="1" i="0" u="none" strike="noStrike">
              <a:solidFill>
                <a:srgbClr val="000000"/>
              </a:solidFill>
              <a:latin typeface="Arial (Corps)"/>
              <a:cs typeface="Arial"/>
            </a:rPr>
            <a:pPr/>
            <a:t>-68%</a:t>
          </a:fld>
          <a:endParaRPr lang="fr-FR" sz="8800" b="1">
            <a:solidFill>
              <a:schemeClr val="tx2"/>
            </a:solidFill>
          </a:endParaRPr>
        </a:p>
      </cdr:txBody>
    </cdr:sp>
  </cdr:relSizeAnchor>
  <cdr:relSizeAnchor xmlns:cdr="http://schemas.openxmlformats.org/drawingml/2006/chartDrawing">
    <cdr:from>
      <cdr:x>0.18841</cdr:x>
      <cdr:y>0.17086</cdr:y>
    </cdr:from>
    <cdr:to>
      <cdr:x>0.18928</cdr:x>
      <cdr:y>0.27965</cdr:y>
    </cdr:to>
    <cdr:cxnSp macro="">
      <cdr:nvCxnSpPr>
        <cdr:cNvPr id="6" name="Connecteur droit avec flèche 5">
          <a:extLst xmlns:a="http://schemas.openxmlformats.org/drawingml/2006/main">
            <a:ext uri="{FF2B5EF4-FFF2-40B4-BE49-F238E27FC236}">
              <a16:creationId xmlns:a16="http://schemas.microsoft.com/office/drawing/2014/main" id="{FC6B51E4-7151-D68F-DDF2-9A94D7D9D34F}"/>
            </a:ext>
          </a:extLst>
        </cdr:cNvPr>
        <cdr:cNvCxnSpPr/>
      </cdr:nvCxnSpPr>
      <cdr:spPr>
        <a:xfrm xmlns:a="http://schemas.openxmlformats.org/drawingml/2006/main">
          <a:off x="2643134" y="1528668"/>
          <a:ext cx="12197" cy="973346"/>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0.41684</cdr:x>
      <cdr:y>0.27081</cdr:y>
    </cdr:from>
    <cdr:to>
      <cdr:x>0.46317</cdr:x>
      <cdr:y>0.34882</cdr:y>
    </cdr:to>
    <cdr:pic>
      <cdr:nvPicPr>
        <cdr:cNvPr id="8" name="Graphique 10" descr="Accueil">
          <a:extLst xmlns:a="http://schemas.openxmlformats.org/drawingml/2006/main">
            <a:ext uri="{FF2B5EF4-FFF2-40B4-BE49-F238E27FC236}">
              <a16:creationId xmlns:a16="http://schemas.microsoft.com/office/drawing/2014/main" id="{78EF65EE-8397-6DCD-AF96-CB3A67C0C7F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9">
          <a:extLst>
            <a:ext uri="{96DAC541-7B7A-43D3-8B79-37D633B846F1}">
              <asvg:svgBlip xmlns:asvg="http://schemas.microsoft.com/office/drawing/2016/SVG/main" r:embed="rId20"/>
            </a:ext>
          </a:extLst>
        </a:blip>
        <a:stretch xmlns:a="http://schemas.openxmlformats.org/drawingml/2006/main">
          <a:fillRect/>
        </a:stretch>
      </cdr:blipFill>
      <cdr:spPr>
        <a:xfrm xmlns:a="http://schemas.openxmlformats.org/drawingml/2006/main">
          <a:off x="5772759" y="2174146"/>
          <a:ext cx="641617" cy="626283"/>
        </a:xfrm>
        <a:prstGeom xmlns:a="http://schemas.openxmlformats.org/drawingml/2006/main" prst="rect">
          <a:avLst/>
        </a:prstGeom>
      </cdr:spPr>
    </cdr:pic>
  </cdr:relSizeAnchor>
  <cdr:relSizeAnchor xmlns:cdr="http://schemas.openxmlformats.org/drawingml/2006/chartDrawing">
    <cdr:from>
      <cdr:x>0.41498</cdr:x>
      <cdr:y>0.32001</cdr:y>
    </cdr:from>
    <cdr:to>
      <cdr:x>0.47412</cdr:x>
      <cdr:y>0.40083</cdr:y>
    </cdr:to>
    <cdr:sp macro="" textlink="">
      <cdr:nvSpPr>
        <cdr:cNvPr id="15" name="ZoneTexte 1">
          <a:extLst xmlns:a="http://schemas.openxmlformats.org/drawingml/2006/main">
            <a:ext uri="{FF2B5EF4-FFF2-40B4-BE49-F238E27FC236}">
              <a16:creationId xmlns:a16="http://schemas.microsoft.com/office/drawing/2014/main" id="{65C4B176-7ECE-2C46-96DE-FBCFD5176EA8}"/>
            </a:ext>
          </a:extLst>
        </cdr:cNvPr>
        <cdr:cNvSpPr txBox="1"/>
      </cdr:nvSpPr>
      <cdr:spPr bwMode="auto">
        <a:xfrm xmlns:a="http://schemas.openxmlformats.org/drawingml/2006/main">
          <a:off x="5746999" y="2569136"/>
          <a:ext cx="819022" cy="648842"/>
        </a:xfrm>
        <a:prstGeom xmlns:a="http://schemas.openxmlformats.org/drawingml/2006/main" prst="rect">
          <a:avLst/>
        </a:prstGeom>
        <a:noFill xmlns:a="http://schemas.openxmlformats.org/drawingml/2006/mai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none" rtlCol="0" anchor="ct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400" b="1"/>
            <a:t>Immobilisation</a:t>
          </a:r>
          <a:endParaRPr lang="fr-FR" sz="1800" b="1"/>
        </a:p>
      </cdr:txBody>
    </cdr:sp>
  </cdr:relSizeAnchor>
  <cdr:relSizeAnchor xmlns:cdr="http://schemas.openxmlformats.org/drawingml/2006/chartDrawing">
    <cdr:from>
      <cdr:x>0.44353</cdr:x>
      <cdr:y>0.37931</cdr:y>
    </cdr:from>
    <cdr:to>
      <cdr:x>0.44397</cdr:x>
      <cdr:y>0.59762</cdr:y>
    </cdr:to>
    <cdr:cxnSp macro="">
      <cdr:nvCxnSpPr>
        <cdr:cNvPr id="12" name="Connecteur droit avec flèche 11">
          <a:extLst xmlns:a="http://schemas.openxmlformats.org/drawingml/2006/main">
            <a:ext uri="{FF2B5EF4-FFF2-40B4-BE49-F238E27FC236}">
              <a16:creationId xmlns:a16="http://schemas.microsoft.com/office/drawing/2014/main" id="{A23B2A71-2681-66A2-90D0-4296E09F3046}"/>
            </a:ext>
          </a:extLst>
        </cdr:cNvPr>
        <cdr:cNvCxnSpPr/>
      </cdr:nvCxnSpPr>
      <cdr:spPr>
        <a:xfrm xmlns:a="http://schemas.openxmlformats.org/drawingml/2006/main">
          <a:off x="6222118" y="3393649"/>
          <a:ext cx="6146" cy="1953165"/>
        </a:xfrm>
        <a:prstGeom xmlns:a="http://schemas.openxmlformats.org/drawingml/2006/main" prst="straightConnector1">
          <a:avLst/>
        </a:prstGeom>
        <a:ln xmlns:a="http://schemas.openxmlformats.org/drawingml/2006/main" w="12700">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0.08372</cdr:x>
      <cdr:y>0.01825</cdr:y>
    </cdr:from>
    <cdr:to>
      <cdr:x>0.11858</cdr:x>
      <cdr:y>0.04627</cdr:y>
    </cdr:to>
    <cdr:sp macro="" textlink="">
      <cdr:nvSpPr>
        <cdr:cNvPr id="2" name="ZoneTexte 1">
          <a:extLst xmlns:a="http://schemas.openxmlformats.org/drawingml/2006/main">
            <a:ext uri="{FF2B5EF4-FFF2-40B4-BE49-F238E27FC236}">
              <a16:creationId xmlns:a16="http://schemas.microsoft.com/office/drawing/2014/main" id="{BF7C84EE-BFB7-8DCC-0AFA-2DF2FBB5B64C}"/>
            </a:ext>
          </a:extLst>
        </cdr:cNvPr>
        <cdr:cNvSpPr txBox="1"/>
      </cdr:nvSpPr>
      <cdr:spPr>
        <a:xfrm xmlns:a="http://schemas.openxmlformats.org/drawingml/2006/main">
          <a:off x="1005379" y="93985"/>
          <a:ext cx="418523" cy="144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kern="1200"/>
        </a:p>
      </cdr:txBody>
    </cdr:sp>
  </cdr:relSizeAnchor>
  <cdr:relSizeAnchor xmlns:cdr="http://schemas.openxmlformats.org/drawingml/2006/chartDrawing">
    <cdr:from>
      <cdr:x>0.07333</cdr:x>
      <cdr:y>0.04218</cdr:y>
    </cdr:from>
    <cdr:to>
      <cdr:x>0.13457</cdr:x>
      <cdr:y>0.10344</cdr:y>
    </cdr:to>
    <cdr:sp macro="" textlink="">
      <cdr:nvSpPr>
        <cdr:cNvPr id="3" name="ZoneTexte 2">
          <a:extLst xmlns:a="http://schemas.openxmlformats.org/drawingml/2006/main">
            <a:ext uri="{FF2B5EF4-FFF2-40B4-BE49-F238E27FC236}">
              <a16:creationId xmlns:a16="http://schemas.microsoft.com/office/drawing/2014/main" id="{156A522D-3F46-26B5-D998-36D8FA2CEE76}"/>
            </a:ext>
          </a:extLst>
        </cdr:cNvPr>
        <cdr:cNvSpPr txBox="1"/>
      </cdr:nvSpPr>
      <cdr:spPr>
        <a:xfrm xmlns:a="http://schemas.openxmlformats.org/drawingml/2006/main">
          <a:off x="935434" y="231919"/>
          <a:ext cx="781255" cy="33679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200" b="1" kern="1200">
              <a:solidFill>
                <a:schemeClr val="tx2"/>
              </a:solidFill>
              <a:latin typeface="Poppins" pitchFamily="2" charset="77"/>
              <a:cs typeface="Poppins" pitchFamily="2" charset="77"/>
            </a:rPr>
            <a:t>68%</a:t>
          </a:r>
        </a:p>
      </cdr:txBody>
    </cdr:sp>
  </cdr:relSizeAnchor>
</c:userShapes>
</file>

<file path=xl/drawings/drawing6.xml><?xml version="1.0" encoding="utf-8"?>
<c:userShapes xmlns:c="http://schemas.openxmlformats.org/drawingml/2006/chart">
  <cdr:relSizeAnchor xmlns:cdr="http://schemas.openxmlformats.org/drawingml/2006/chartDrawing">
    <cdr:from>
      <cdr:x>0.26025</cdr:x>
      <cdr:y>0.22209</cdr:y>
    </cdr:from>
    <cdr:to>
      <cdr:x>0.29935</cdr:x>
      <cdr:y>0.28054</cdr:y>
    </cdr:to>
    <cdr:sp macro="" textlink="">
      <cdr:nvSpPr>
        <cdr:cNvPr id="2" name="ZoneTexte 1">
          <a:extLst xmlns:a="http://schemas.openxmlformats.org/drawingml/2006/main">
            <a:ext uri="{FF2B5EF4-FFF2-40B4-BE49-F238E27FC236}">
              <a16:creationId xmlns:a16="http://schemas.microsoft.com/office/drawing/2014/main" id="{AD2A6818-C5BA-D014-73CD-C038C3FDDA73}"/>
            </a:ext>
          </a:extLst>
        </cdr:cNvPr>
        <cdr:cNvSpPr txBox="1"/>
      </cdr:nvSpPr>
      <cdr:spPr>
        <a:xfrm xmlns:a="http://schemas.openxmlformats.org/drawingml/2006/main">
          <a:off x="2953132" y="1162892"/>
          <a:ext cx="443735" cy="306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kern="1200"/>
        </a:p>
      </cdr:txBody>
    </cdr:sp>
  </cdr:relSizeAnchor>
  <cdr:relSizeAnchor xmlns:cdr="http://schemas.openxmlformats.org/drawingml/2006/chartDrawing">
    <cdr:from>
      <cdr:x>0.07943</cdr:x>
      <cdr:y>0.05978</cdr:y>
    </cdr:from>
    <cdr:to>
      <cdr:x>0.12855</cdr:x>
      <cdr:y>0.11395</cdr:y>
    </cdr:to>
    <cdr:sp macro="" textlink="">
      <cdr:nvSpPr>
        <cdr:cNvPr id="3" name="ZoneTexte 2">
          <a:extLst xmlns:a="http://schemas.openxmlformats.org/drawingml/2006/main">
            <a:ext uri="{FF2B5EF4-FFF2-40B4-BE49-F238E27FC236}">
              <a16:creationId xmlns:a16="http://schemas.microsoft.com/office/drawing/2014/main" id="{AEC4C34B-6DED-3EF1-FF75-FCC72A30B068}"/>
            </a:ext>
          </a:extLst>
        </cdr:cNvPr>
        <cdr:cNvSpPr txBox="1"/>
      </cdr:nvSpPr>
      <cdr:spPr>
        <a:xfrm xmlns:a="http://schemas.openxmlformats.org/drawingml/2006/main">
          <a:off x="952866" y="318298"/>
          <a:ext cx="589239" cy="28843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250" b="1" kern="1200">
              <a:solidFill>
                <a:schemeClr val="tx2"/>
              </a:solidFill>
            </a:rPr>
            <a:t>53%</a:t>
          </a:r>
        </a:p>
      </cdr:txBody>
    </cdr:sp>
  </cdr:relSizeAnchor>
  <cdr:relSizeAnchor xmlns:cdr="http://schemas.openxmlformats.org/drawingml/2006/chartDrawing">
    <cdr:from>
      <cdr:x>0.19792</cdr:x>
      <cdr:y>0.6759</cdr:y>
    </cdr:from>
    <cdr:to>
      <cdr:x>0.24705</cdr:x>
      <cdr:y>0.73008</cdr:y>
    </cdr:to>
    <cdr:sp macro="" textlink="">
      <cdr:nvSpPr>
        <cdr:cNvPr id="4" name="ZoneTexte 1">
          <a:extLst xmlns:a="http://schemas.openxmlformats.org/drawingml/2006/main">
            <a:ext uri="{FF2B5EF4-FFF2-40B4-BE49-F238E27FC236}">
              <a16:creationId xmlns:a16="http://schemas.microsoft.com/office/drawing/2014/main" id="{71772702-0A0B-F9B8-90C3-CDE1718F5E50}"/>
            </a:ext>
          </a:extLst>
        </cdr:cNvPr>
        <cdr:cNvSpPr txBox="1"/>
      </cdr:nvSpPr>
      <cdr:spPr>
        <a:xfrm xmlns:a="http://schemas.openxmlformats.org/drawingml/2006/main">
          <a:off x="2377900" y="3618026"/>
          <a:ext cx="590282" cy="2900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50" b="1" kern="1200">
              <a:solidFill>
                <a:schemeClr val="tx2"/>
              </a:solidFill>
            </a:rPr>
            <a:t>7%</a:t>
          </a:r>
        </a:p>
      </cdr:txBody>
    </cdr:sp>
  </cdr:relSizeAnchor>
  <cdr:relSizeAnchor xmlns:cdr="http://schemas.openxmlformats.org/drawingml/2006/chartDrawing">
    <cdr:from>
      <cdr:x>0.31538</cdr:x>
      <cdr:y>0.65868</cdr:y>
    </cdr:from>
    <cdr:to>
      <cdr:x>0.3645</cdr:x>
      <cdr:y>0.71286</cdr:y>
    </cdr:to>
    <cdr:sp macro="" textlink="">
      <cdr:nvSpPr>
        <cdr:cNvPr id="5" name="ZoneTexte 1">
          <a:extLst xmlns:a="http://schemas.openxmlformats.org/drawingml/2006/main">
            <a:ext uri="{FF2B5EF4-FFF2-40B4-BE49-F238E27FC236}">
              <a16:creationId xmlns:a16="http://schemas.microsoft.com/office/drawing/2014/main" id="{D393F734-AF71-8176-AA38-68436BEA418E}"/>
            </a:ext>
          </a:extLst>
        </cdr:cNvPr>
        <cdr:cNvSpPr txBox="1"/>
      </cdr:nvSpPr>
      <cdr:spPr>
        <a:xfrm xmlns:a="http://schemas.openxmlformats.org/drawingml/2006/main">
          <a:off x="3789203" y="3525858"/>
          <a:ext cx="590162" cy="2900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50" b="1" kern="1200">
              <a:solidFill>
                <a:schemeClr val="tx2"/>
              </a:solidFill>
            </a:rPr>
            <a:t>8%</a:t>
          </a:r>
        </a:p>
      </cdr:txBody>
    </cdr:sp>
  </cdr:relSizeAnchor>
</c:userShapes>
</file>

<file path=xl/drawings/drawing7.xml><?xml version="1.0" encoding="utf-8"?>
<c:userShapes xmlns:c="http://schemas.openxmlformats.org/drawingml/2006/chart">
  <cdr:relSizeAnchor xmlns:cdr="http://schemas.openxmlformats.org/drawingml/2006/chartDrawing">
    <cdr:from>
      <cdr:x>0.26025</cdr:x>
      <cdr:y>0.22209</cdr:y>
    </cdr:from>
    <cdr:to>
      <cdr:x>0.29935</cdr:x>
      <cdr:y>0.28054</cdr:y>
    </cdr:to>
    <cdr:sp macro="" textlink="">
      <cdr:nvSpPr>
        <cdr:cNvPr id="2" name="ZoneTexte 1">
          <a:extLst xmlns:a="http://schemas.openxmlformats.org/drawingml/2006/main">
            <a:ext uri="{FF2B5EF4-FFF2-40B4-BE49-F238E27FC236}">
              <a16:creationId xmlns:a16="http://schemas.microsoft.com/office/drawing/2014/main" id="{AD2A6818-C5BA-D014-73CD-C038C3FDDA73}"/>
            </a:ext>
          </a:extLst>
        </cdr:cNvPr>
        <cdr:cNvSpPr txBox="1"/>
      </cdr:nvSpPr>
      <cdr:spPr>
        <a:xfrm xmlns:a="http://schemas.openxmlformats.org/drawingml/2006/main">
          <a:off x="2953132" y="1162892"/>
          <a:ext cx="443735" cy="3060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kern="1200"/>
        </a:p>
      </cdr:txBody>
    </cdr:sp>
  </cdr:relSizeAnchor>
  <cdr:relSizeAnchor xmlns:cdr="http://schemas.openxmlformats.org/drawingml/2006/chartDrawing">
    <cdr:from>
      <cdr:x>0.09183</cdr:x>
      <cdr:y>0.04674</cdr:y>
    </cdr:from>
    <cdr:to>
      <cdr:x>0.14095</cdr:x>
      <cdr:y>0.10091</cdr:y>
    </cdr:to>
    <cdr:sp macro="" textlink="">
      <cdr:nvSpPr>
        <cdr:cNvPr id="3" name="ZoneTexte 2">
          <a:extLst xmlns:a="http://schemas.openxmlformats.org/drawingml/2006/main">
            <a:ext uri="{FF2B5EF4-FFF2-40B4-BE49-F238E27FC236}">
              <a16:creationId xmlns:a16="http://schemas.microsoft.com/office/drawing/2014/main" id="{AEC4C34B-6DED-3EF1-FF75-FCC72A30B068}"/>
            </a:ext>
          </a:extLst>
        </cdr:cNvPr>
        <cdr:cNvSpPr txBox="1"/>
      </cdr:nvSpPr>
      <cdr:spPr>
        <a:xfrm xmlns:a="http://schemas.openxmlformats.org/drawingml/2006/main">
          <a:off x="1043095" y="240420"/>
          <a:ext cx="557953" cy="27865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250" b="1" kern="1200">
              <a:solidFill>
                <a:schemeClr val="tx2"/>
              </a:solidFill>
            </a:rPr>
            <a:t>87%</a:t>
          </a:r>
        </a:p>
      </cdr:txBody>
    </cdr:sp>
  </cdr:relSizeAnchor>
  <cdr:relSizeAnchor xmlns:cdr="http://schemas.openxmlformats.org/drawingml/2006/chartDrawing">
    <cdr:from>
      <cdr:x>0.22366</cdr:x>
      <cdr:y>0.71633</cdr:y>
    </cdr:from>
    <cdr:to>
      <cdr:x>0.27279</cdr:x>
      <cdr:y>0.77051</cdr:y>
    </cdr:to>
    <cdr:sp macro="" textlink="">
      <cdr:nvSpPr>
        <cdr:cNvPr id="4" name="ZoneTexte 1">
          <a:extLst xmlns:a="http://schemas.openxmlformats.org/drawingml/2006/main">
            <a:ext uri="{FF2B5EF4-FFF2-40B4-BE49-F238E27FC236}">
              <a16:creationId xmlns:a16="http://schemas.microsoft.com/office/drawing/2014/main" id="{71772702-0A0B-F9B8-90C3-CDE1718F5E50}"/>
            </a:ext>
          </a:extLst>
        </cdr:cNvPr>
        <cdr:cNvSpPr txBox="1"/>
      </cdr:nvSpPr>
      <cdr:spPr>
        <a:xfrm xmlns:a="http://schemas.openxmlformats.org/drawingml/2006/main">
          <a:off x="2538711" y="3683998"/>
          <a:ext cx="557663" cy="2786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kern="1200">
              <a:solidFill>
                <a:schemeClr val="tx2"/>
              </a:solidFill>
            </a:rPr>
            <a:t>8%</a:t>
          </a:r>
        </a:p>
      </cdr:txBody>
    </cdr:sp>
  </cdr:relSizeAnchor>
  <cdr:relSizeAnchor xmlns:cdr="http://schemas.openxmlformats.org/drawingml/2006/chartDrawing">
    <cdr:from>
      <cdr:x>0.35666</cdr:x>
      <cdr:y>0.77883</cdr:y>
    </cdr:from>
    <cdr:to>
      <cdr:x>0.40578</cdr:x>
      <cdr:y>0.83301</cdr:y>
    </cdr:to>
    <cdr:sp macro="" textlink="">
      <cdr:nvSpPr>
        <cdr:cNvPr id="5" name="ZoneTexte 1">
          <a:extLst xmlns:a="http://schemas.openxmlformats.org/drawingml/2006/main">
            <a:ext uri="{FF2B5EF4-FFF2-40B4-BE49-F238E27FC236}">
              <a16:creationId xmlns:a16="http://schemas.microsoft.com/office/drawing/2014/main" id="{D393F734-AF71-8176-AA38-68436BEA418E}"/>
            </a:ext>
          </a:extLst>
        </cdr:cNvPr>
        <cdr:cNvSpPr txBox="1"/>
      </cdr:nvSpPr>
      <cdr:spPr>
        <a:xfrm xmlns:a="http://schemas.openxmlformats.org/drawingml/2006/main">
          <a:off x="4049741" y="4003273"/>
          <a:ext cx="557739" cy="27849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kern="1200">
              <a:solidFill>
                <a:schemeClr val="tx2"/>
              </a:solidFill>
            </a:rPr>
            <a:t>1%</a:t>
          </a:r>
        </a:p>
      </cdr:txBody>
    </cdr:sp>
  </cdr:relSizeAnchor>
</c:userShapes>
</file>

<file path=xl/drawings/drawing8.xml><?xml version="1.0" encoding="utf-8"?>
<c:userShapes xmlns:c="http://schemas.openxmlformats.org/drawingml/2006/chart">
  <cdr:relSizeAnchor xmlns:cdr="http://schemas.openxmlformats.org/drawingml/2006/chartDrawing">
    <cdr:from>
      <cdr:x>0.15038</cdr:x>
      <cdr:y>0.17903</cdr:y>
    </cdr:from>
    <cdr:to>
      <cdr:x>0.20176</cdr:x>
      <cdr:y>0.24102</cdr:y>
    </cdr:to>
    <cdr:sp macro="" textlink="">
      <cdr:nvSpPr>
        <cdr:cNvPr id="2" name="ZoneTexte 1">
          <a:extLst xmlns:a="http://schemas.openxmlformats.org/drawingml/2006/main">
            <a:ext uri="{FF2B5EF4-FFF2-40B4-BE49-F238E27FC236}">
              <a16:creationId xmlns:a16="http://schemas.microsoft.com/office/drawing/2014/main" id="{207B3089-2AE4-1885-3BBE-F29FE9FD7535}"/>
            </a:ext>
          </a:extLst>
        </cdr:cNvPr>
        <cdr:cNvSpPr txBox="1"/>
      </cdr:nvSpPr>
      <cdr:spPr>
        <a:xfrm xmlns:a="http://schemas.openxmlformats.org/drawingml/2006/main">
          <a:off x="2128872" y="932221"/>
          <a:ext cx="727349" cy="3227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kern="1200">
              <a:solidFill>
                <a:schemeClr val="tx2"/>
              </a:solidFill>
              <a:latin typeface="Poppins" pitchFamily="2" charset="77"/>
              <a:cs typeface="Poppins" pitchFamily="2" charset="77"/>
            </a:rPr>
            <a:t>88%</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7008</xdr:colOff>
      <xdr:row>58</xdr:row>
      <xdr:rowOff>117959</xdr:rowOff>
    </xdr:from>
    <xdr:to>
      <xdr:col>12</xdr:col>
      <xdr:colOff>1357587</xdr:colOff>
      <xdr:row>80</xdr:row>
      <xdr:rowOff>218966</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1953847</xdr:colOff>
      <xdr:row>58</xdr:row>
      <xdr:rowOff>97692</xdr:rowOff>
    </xdr:from>
    <xdr:to>
      <xdr:col>23</xdr:col>
      <xdr:colOff>651283</xdr:colOff>
      <xdr:row>80</xdr:row>
      <xdr:rowOff>97692</xdr:rowOff>
    </xdr:to>
    <xdr:graphicFrame macro="">
      <xdr:nvGraphicFramePr>
        <xdr:cNvPr id="4" name="Graphique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28543</xdr:colOff>
      <xdr:row>147</xdr:row>
      <xdr:rowOff>57725</xdr:rowOff>
    </xdr:from>
    <xdr:to>
      <xdr:col>5</xdr:col>
      <xdr:colOff>358560</xdr:colOff>
      <xdr:row>194</xdr:row>
      <xdr:rowOff>56030</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xdr:blipFill>
      <xdr:spPr bwMode="auto">
        <a:xfrm>
          <a:off x="990664" y="32288786"/>
          <a:ext cx="8450320" cy="3866030"/>
        </a:xfrm>
        <a:prstGeom prst="rect">
          <a:avLst/>
        </a:prstGeom>
      </xdr:spPr>
    </xdr:pic>
    <xdr:clientData/>
  </xdr:twoCellAnchor>
  <xdr:twoCellAnchor>
    <xdr:from>
      <xdr:col>1</xdr:col>
      <xdr:colOff>84666</xdr:colOff>
      <xdr:row>118</xdr:row>
      <xdr:rowOff>237067</xdr:rowOff>
    </xdr:from>
    <xdr:to>
      <xdr:col>3</xdr:col>
      <xdr:colOff>2616200</xdr:colOff>
      <xdr:row>131</xdr:row>
      <xdr:rowOff>228601</xdr:rowOff>
    </xdr:to>
    <xdr:graphicFrame macro="">
      <xdr:nvGraphicFramePr>
        <xdr:cNvPr id="11" name="Graphique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355600</xdr:colOff>
      <xdr:row>119</xdr:row>
      <xdr:rowOff>0</xdr:rowOff>
    </xdr:from>
    <xdr:to>
      <xdr:col>8</xdr:col>
      <xdr:colOff>541867</xdr:colOff>
      <xdr:row>132</xdr:row>
      <xdr:rowOff>4234</xdr:rowOff>
    </xdr:to>
    <xdr:graphicFrame macro="">
      <xdr:nvGraphicFramePr>
        <xdr:cNvPr id="5" name="Graphique 4">
          <a:extLst>
            <a:ext uri="{FF2B5EF4-FFF2-40B4-BE49-F238E27FC236}">
              <a16:creationId xmlns:a16="http://schemas.microsoft.com/office/drawing/2014/main" id="{FD753915-A871-E343-8DBB-92F36646E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Thème_shift">
  <a:themeElements>
    <a:clrScheme name="Shift Project">
      <a:dk1>
        <a:srgbClr val="000000"/>
      </a:dk1>
      <a:lt1>
        <a:srgbClr val="FFFFFF"/>
      </a:lt1>
      <a:dk2>
        <a:srgbClr val="00005A"/>
      </a:dk2>
      <a:lt2>
        <a:srgbClr val="FFFFFF"/>
      </a:lt2>
      <a:accent1>
        <a:srgbClr val="00005A"/>
      </a:accent1>
      <a:accent2>
        <a:srgbClr val="FF8200"/>
      </a:accent2>
      <a:accent3>
        <a:srgbClr val="FAB464"/>
      </a:accent3>
      <a:accent4>
        <a:srgbClr val="FFDC50"/>
      </a:accent4>
      <a:accent5>
        <a:srgbClr val="82C8FA"/>
      </a:accent5>
      <a:accent6>
        <a:srgbClr val="0028DC"/>
      </a:accent6>
      <a:hlink>
        <a:srgbClr val="FF8200"/>
      </a:hlink>
      <a:folHlink>
        <a:srgbClr val="FF8200"/>
      </a:folHlink>
    </a:clrScheme>
    <a:fontScheme name="Personnalisé 2">
      <a:majorFont>
        <a:latin typeface="Arial"/>
        <a:ea typeface="Arial"/>
        <a:cs typeface="Arial"/>
      </a:majorFont>
      <a:minorFont>
        <a:latin typeface="Arial"/>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B39431E9-CC7E-5149-9340-8B7B4C15E6B7}">
  <we:reference id="wa200005502" version="1.0.0.11" store="fr-FR" storeType="OMEX"/>
  <we:alternateReferences>
    <we:reference id="wa200005502" version="1.0.0.11" store="wa200005502" storeType="OMEX"/>
  </we:alternateReferences>
  <we:properties>
    <we:property name="docId" value="&quot;WYdLT-LZTqNK8d5rDc6vo&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s>_xldudf_GPT_MATCH</we:customFunctionIds>
        <we:customFunctionIds>_xldudf_GPT_VISION</we:customFunctionIds>
        <we:customFunctionIds>_xldudf_GPT_WEB</we:customFunctionIds>
      </we:customFunctionIdList>
    </a:ext>
  </we:extLst>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8" Type="http://schemas.openxmlformats.org/officeDocument/2006/relationships/hyperlink" Target="https://www.lefigaro.fr/sports/rugby/coupe-du-monde/rugby-france-ecosse-en-tete-des-audiences-tele-samedi-soir-20230813" TargetMode="External"/><Relationship Id="rId13" Type="http://schemas.openxmlformats.org/officeDocument/2006/relationships/hyperlink" Target="https://sportune.20minutes.fr/medias/sporting-om-canal-cinquieme-audience-de-la-soiree-avec-la-c1-293778" TargetMode="External"/><Relationship Id="rId18" Type="http://schemas.openxmlformats.org/officeDocument/2006/relationships/hyperlink" Target="https://www.foot01.com/equipe/nantes/tv-une-belle-audience-pour-juventus-nantes-419434" TargetMode="External"/><Relationship Id="rId3" Type="http://schemas.openxmlformats.org/officeDocument/2006/relationships/hyperlink" Target="https://www.leparisien.fr/culture-loisirs/tv/audiences-tv-le-match-france-afrique-du-sud-cartonne-avec-plus-de-55-millions-de-spectateurs-13-11-2022-EXSE3ARTCBGXFNWZR5P44DKJQA.php" TargetMode="External"/><Relationship Id="rId21" Type="http://schemas.openxmlformats.org/officeDocument/2006/relationships/drawing" Target="../drawings/drawing23.xml"/><Relationship Id="rId7" Type="http://schemas.openxmlformats.org/officeDocument/2006/relationships/hyperlink" Target="https://www.rugbyrama.fr/2023/03/19/6-nations-2023-belle-audience-pour-france-pays-de-galles-11072912.php" TargetMode="External"/><Relationship Id="rId12" Type="http://schemas.openxmlformats.org/officeDocument/2006/relationships/hyperlink" Target="https://www.footmercato.net/a8203721980674439068-audiences-ldc-le-psg-surclasse-lom" TargetMode="External"/><Relationship Id="rId17" Type="http://schemas.openxmlformats.org/officeDocument/2006/relationships/hyperlink" Target="https://tribunenantaise.fr/actus-fcnantes/le-fc-nantes-a-fait-des-grosses-audiences-sur-w9-en-europa-league/" TargetMode="External"/><Relationship Id="rId2" Type="http://schemas.openxmlformats.org/officeDocument/2006/relationships/hyperlink" Target="https://www.fff.fr/article/11445-audience-tv-5-8-millions-devant-grece-france.html" TargetMode="External"/><Relationship Id="rId16" Type="http://schemas.openxmlformats.org/officeDocument/2006/relationships/hyperlink" Target="https://tvmag.lefigaro.fr/programme-tv/audiences-tv/audiences-vise-le-coeur-termine-en-hausse-sur-tf1-w9-en-forme-avec-le-match-de-ligue-europa-20220916" TargetMode="External"/><Relationship Id="rId20" Type="http://schemas.openxmlformats.org/officeDocument/2006/relationships/hyperlink" Target="https://actu.fr/sports/rugby/coupe-deurope/champions-cup-des-cartons-d-audience-pour-les-victoires-du-stade-toulousain-et-de-la-rochelle_41529394.html" TargetMode="External"/><Relationship Id="rId1" Type="http://schemas.openxmlformats.org/officeDocument/2006/relationships/hyperlink" Target="https://www.fff.fr/article/11445-audience-tv-5-8-millions-devant-grece-france.html" TargetMode="External"/><Relationship Id="rId6" Type="http://schemas.openxmlformats.org/officeDocument/2006/relationships/hyperlink" Target="https://www.rugbyrama.fr/rugby/xv-de-france/2021/xv-de-france-audiences-tele-nouveau-record-pour-les-bleus-face-a-l-ecosse-dans-ce-six-nations_sto8819652/story.shtml" TargetMode="External"/><Relationship Id="rId11" Type="http://schemas.openxmlformats.org/officeDocument/2006/relationships/hyperlink" Target="https://sportune.20minutes.fr/medias/maccabi-psg-audience-tele-en-legere-baisse-pour-paris-a-haifa-292189" TargetMode="External"/><Relationship Id="rId5" Type="http://schemas.openxmlformats.org/officeDocument/2006/relationships/hyperlink" Target="https://www.lefigaro.fr/sports/rugby/xv-de-france/xv-de-france-belle-audience-tele-pour-france-japon-20221121" TargetMode="External"/><Relationship Id="rId15" Type="http://schemas.openxmlformats.org/officeDocument/2006/relationships/hyperlink" Target="https://tribunenantaise.fr/actus-fcnantes/le-fc-nantes-a-fait-des-grosses-audiences-sur-w9-en-europa-league/" TargetMode="External"/><Relationship Id="rId10" Type="http://schemas.openxmlformats.org/officeDocument/2006/relationships/hyperlink" Target="https://www.leparisien.fr/culture-loisirs/tv/audiences-tv-carton-pour-bayern-psg-derriere-les-siffleurs-et-top-chef-09-03-2023-PKUUG5LKBNA4DGW7JIBKDOINAU.php" TargetMode="External"/><Relationship Id="rId19" Type="http://schemas.openxmlformats.org/officeDocument/2006/relationships/hyperlink" Target="https://www.leparisien.fr/culture-loisirs/tv/audiences-tv-balthazar-sacheve-en-dominant-ses-adversaires-24-02-2023-3QPLPNRTGJCQ7BXO42APYI5Q2E.php" TargetMode="External"/><Relationship Id="rId4" Type="http://schemas.openxmlformats.org/officeDocument/2006/relationships/hyperlink" Target="https://www.leparisien.fr/culture-loisirs/tv/audiences-tv-le-match-france-afrique-du-sud-cartonne-avec-plus-de-55-millions-de-spectateurs-13-11-2022-EXSE3ARTCBGXFNWZR5P44DKJQA.php" TargetMode="External"/><Relationship Id="rId9" Type="http://schemas.openxmlformats.org/officeDocument/2006/relationships/hyperlink" Target="https://www.ouest-france.fr/sport/rugby/france-feminines/6-nations-un-record-daudience-malgre-la-defaite-pour-les-bleues-7b8e7bdc-e99c-11ed-9fc1-d1b3d5c6a662" TargetMode="External"/><Relationship Id="rId14" Type="http://schemas.openxmlformats.org/officeDocument/2006/relationships/hyperlink" Target="https://www.sportstrategies.com/audience-record-pour-la-finale-de-la-ligue-des-champions-feminine/"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hyperlink" Target="https://librairie.ademe.fr/ged/4930/pre-deploiement_affichage_environnemental_rapport_f_fb.pdf"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450"/>
  <sheetViews>
    <sheetView tabSelected="1" zoomScale="37" zoomScaleNormal="59" workbookViewId="0">
      <selection activeCell="G149" sqref="G149"/>
    </sheetView>
  </sheetViews>
  <sheetFormatPr baseColWidth="10" defaultColWidth="10.85546875" defaultRowHeight="16" x14ac:dyDescent="0.2"/>
  <cols>
    <col min="1" max="1" width="10.85546875" style="2"/>
    <col min="2" max="2" width="53.28515625" style="2" customWidth="1"/>
    <col min="3" max="3" width="27.42578125" style="2" customWidth="1"/>
    <col min="4" max="4" width="29.42578125" style="2" customWidth="1"/>
    <col min="5" max="5" width="27.42578125" style="2" customWidth="1"/>
    <col min="6" max="7" width="22.7109375" style="2" customWidth="1"/>
    <col min="8" max="8" width="41.28515625" style="2" customWidth="1"/>
    <col min="9" max="9" width="29.5703125" style="2" customWidth="1"/>
    <col min="10" max="10" width="28.85546875" style="2" customWidth="1"/>
    <col min="11" max="11" width="21.28515625" style="2" customWidth="1"/>
    <col min="12" max="15" width="17.28515625" style="2" customWidth="1"/>
    <col min="16" max="16" width="35.7109375" style="2" customWidth="1"/>
    <col min="17" max="17" width="22.140625" style="2" customWidth="1"/>
    <col min="18" max="18" width="23.140625" style="2" customWidth="1"/>
    <col min="19" max="19" width="17.28515625" style="2" customWidth="1"/>
    <col min="20" max="20" width="27.28515625" style="2" customWidth="1"/>
    <col min="21" max="21" width="23.28515625" style="2" customWidth="1"/>
    <col min="22" max="22" width="30" style="2" customWidth="1"/>
    <col min="23" max="26" width="18.5703125" style="2" customWidth="1"/>
    <col min="27" max="27" width="10.85546875" style="2" customWidth="1"/>
    <col min="28" max="29" width="10.85546875" style="2"/>
    <col min="30" max="35" width="26.85546875" style="2" customWidth="1"/>
    <col min="36" max="16384" width="10.85546875" style="2"/>
  </cols>
  <sheetData>
    <row r="1" spans="1:43" s="2556" customFormat="1" ht="52" customHeight="1" x14ac:dyDescent="0.2">
      <c r="A1" s="2556" t="s">
        <v>2595</v>
      </c>
    </row>
    <row r="2" spans="1:43" ht="24" customHeight="1" x14ac:dyDescent="0.2"/>
    <row r="3" spans="1:43" ht="24" customHeight="1" x14ac:dyDescent="0.25">
      <c r="B3" s="2324" t="s">
        <v>2417</v>
      </c>
    </row>
    <row r="4" spans="1:43" ht="24" customHeight="1" x14ac:dyDescent="0.2"/>
    <row r="5" spans="1:43" ht="24" customHeight="1" x14ac:dyDescent="0.2">
      <c r="B5" s="2325" t="s">
        <v>2655</v>
      </c>
      <c r="P5" s="1683"/>
    </row>
    <row r="6" spans="1:43" ht="24" customHeight="1" thickBot="1" x14ac:dyDescent="0.25">
      <c r="C6"/>
      <c r="D6"/>
      <c r="E6"/>
      <c r="F6"/>
      <c r="G6"/>
      <c r="P6"/>
      <c r="S6"/>
    </row>
    <row r="7" spans="1:43" ht="46" customHeight="1" thickBot="1" x14ac:dyDescent="0.25">
      <c r="B7" s="2547" t="s">
        <v>6</v>
      </c>
      <c r="C7" s="2549" t="s">
        <v>2427</v>
      </c>
      <c r="D7" s="2549" t="s">
        <v>2656</v>
      </c>
      <c r="E7" s="2551" t="s">
        <v>1337</v>
      </c>
      <c r="F7" s="2551"/>
      <c r="G7" s="2552"/>
      <c r="I7" s="2494" t="s">
        <v>6</v>
      </c>
      <c r="J7" s="2554" t="s">
        <v>1337</v>
      </c>
      <c r="K7" s="2554"/>
      <c r="L7" s="2555"/>
      <c r="P7"/>
    </row>
    <row r="8" spans="1:43" ht="38" customHeight="1" thickBot="1" x14ac:dyDescent="0.25">
      <c r="B8" s="2548"/>
      <c r="C8" s="2550"/>
      <c r="D8" s="2550"/>
      <c r="E8" s="2463" t="s">
        <v>742</v>
      </c>
      <c r="F8" s="2462" t="s">
        <v>748</v>
      </c>
      <c r="G8" s="2463" t="s">
        <v>921</v>
      </c>
      <c r="I8" s="2495"/>
      <c r="J8" s="2461" t="s">
        <v>742</v>
      </c>
      <c r="K8" s="2461" t="s">
        <v>748</v>
      </c>
      <c r="L8" s="2496" t="s">
        <v>921</v>
      </c>
      <c r="P8"/>
      <c r="AP8" s="539"/>
      <c r="AQ8" s="220"/>
    </row>
    <row r="9" spans="1:43" ht="34" customHeight="1" x14ac:dyDescent="0.2">
      <c r="B9" s="2331" t="s">
        <v>2666</v>
      </c>
      <c r="C9" s="2332">
        <f t="shared" ref="C9:C18" si="0">C59</f>
        <v>300986.84456338198</v>
      </c>
      <c r="D9" s="2333">
        <f>C9/'ANNEXE A'!$C$248</f>
        <v>206.72173390342169</v>
      </c>
      <c r="E9" s="2472">
        <f>D9/$D$18*AP10</f>
        <v>0</v>
      </c>
      <c r="F9" s="2472">
        <f>D9/$D$18*AP8</f>
        <v>0</v>
      </c>
      <c r="G9" s="2473">
        <f>D9/$D$18*AP9</f>
        <v>0</v>
      </c>
      <c r="I9" s="2502" t="str">
        <f t="shared" ref="I9:I15" si="1">B9</f>
        <v>Déplacement des spectateurs</v>
      </c>
      <c r="J9" s="2474">
        <f>D9/$D$18*AP10</f>
        <v>0</v>
      </c>
      <c r="K9" s="2474">
        <f>D9/$D$18*AP8</f>
        <v>0</v>
      </c>
      <c r="L9" s="2503">
        <f>D9/$D$18*AP9</f>
        <v>0</v>
      </c>
      <c r="P9"/>
      <c r="AP9" s="539"/>
      <c r="AQ9" s="220"/>
    </row>
    <row r="10" spans="1:43" ht="34" customHeight="1" x14ac:dyDescent="0.2">
      <c r="B10" s="1884" t="s">
        <v>2665</v>
      </c>
      <c r="C10" s="2334">
        <f t="shared" si="0"/>
        <v>31962.281025662298</v>
      </c>
      <c r="D10" s="2464">
        <f>C10/'ANNEXE A'!$C$248</f>
        <v>21.952116089053774</v>
      </c>
      <c r="E10" s="2465">
        <f>D10/$D$18*AQ10</f>
        <v>0</v>
      </c>
      <c r="F10" s="2477">
        <f>D10/$D$18*AQ8</f>
        <v>0</v>
      </c>
      <c r="G10" s="2482">
        <f>D10/$D$18*AQ9</f>
        <v>0</v>
      </c>
      <c r="I10" s="2502" t="str">
        <f t="shared" si="1"/>
        <v>Déplacement de l'équipe sportive</v>
      </c>
      <c r="J10" s="2474">
        <f>D10/$D$18*'16'!C589</f>
        <v>6.7722068551222342E-2</v>
      </c>
      <c r="K10" s="2474">
        <f>D10/$D$18*'16'!C590</f>
        <v>9.3317981263690039E-4</v>
      </c>
      <c r="L10" s="2503">
        <f>D10/$D$18*'16'!C591</f>
        <v>3.5157860267407818E-3</v>
      </c>
      <c r="P10"/>
      <c r="AP10" s="539"/>
      <c r="AQ10" s="220"/>
    </row>
    <row r="11" spans="1:43" ht="34" customHeight="1" x14ac:dyDescent="0.2">
      <c r="B11" s="1884" t="s">
        <v>2664</v>
      </c>
      <c r="C11" s="2334">
        <f t="shared" si="0"/>
        <v>21544.913294058635</v>
      </c>
      <c r="D11" s="2464">
        <f>C11/'ANNEXE A'!$C$248</f>
        <v>14.797330559106205</v>
      </c>
      <c r="E11" s="2465">
        <f>D11/D18*'22'!D300</f>
        <v>1.1082088318053367E-3</v>
      </c>
      <c r="F11" s="2477">
        <f>D11/D18*'22'!D301</f>
        <v>4.545475417054879E-2</v>
      </c>
      <c r="G11" s="2482">
        <f>D11/D18*'22'!D302</f>
        <v>2.0855886150841774E-3</v>
      </c>
      <c r="I11" s="2502" t="str">
        <f t="shared" si="1"/>
        <v>Déplacement des salariés</v>
      </c>
      <c r="J11" s="2474">
        <f>D11/D18*'22'!D300</f>
        <v>1.1082088318053367E-3</v>
      </c>
      <c r="K11" s="2474">
        <f>D11/D18*'22'!D301</f>
        <v>4.545475417054879E-2</v>
      </c>
      <c r="L11" s="2503">
        <f>D11/D18*'22'!D302</f>
        <v>2.0855886150841774E-3</v>
      </c>
      <c r="P11"/>
    </row>
    <row r="12" spans="1:43" ht="34" customHeight="1" x14ac:dyDescent="0.2">
      <c r="B12" s="1884" t="s">
        <v>2692</v>
      </c>
      <c r="C12" s="2334">
        <f t="shared" si="0"/>
        <v>37174.362064717621</v>
      </c>
      <c r="D12" s="2464">
        <f>C12/'ANNEXE A'!$C$248</f>
        <v>25.531842077415948</v>
      </c>
      <c r="E12" s="2465">
        <f>D12/$D$18</f>
        <v>8.3939946616052225E-2</v>
      </c>
      <c r="F12" s="2468"/>
      <c r="G12" s="2469"/>
      <c r="I12" s="2502" t="str">
        <f t="shared" si="1"/>
        <v>Construction et entretien des infras.</v>
      </c>
      <c r="J12" s="2474">
        <f>E12</f>
        <v>8.3939946616052225E-2</v>
      </c>
      <c r="K12" s="2474"/>
      <c r="L12" s="2503"/>
      <c r="P12"/>
    </row>
    <row r="13" spans="1:43" ht="34" customHeight="1" x14ac:dyDescent="0.2">
      <c r="B13" s="1884" t="s">
        <v>1327</v>
      </c>
      <c r="C13" s="2334">
        <f t="shared" si="0"/>
        <v>25831.762471604598</v>
      </c>
      <c r="D13" s="2464">
        <f>C13/'ANNEXE A'!$C$248</f>
        <v>17.741595104124038</v>
      </c>
      <c r="E13" s="2465">
        <f>D13/$D$18</f>
        <v>5.832828439907492E-2</v>
      </c>
      <c r="F13" s="2468"/>
      <c r="G13" s="2469"/>
      <c r="I13" s="2502" t="str">
        <f t="shared" si="1"/>
        <v>Alimentation et boissons</v>
      </c>
      <c r="J13" s="2474">
        <f>E13</f>
        <v>5.832828439907492E-2</v>
      </c>
      <c r="K13" s="2474"/>
      <c r="L13" s="2503"/>
      <c r="P13"/>
    </row>
    <row r="14" spans="1:43" ht="34" customHeight="1" x14ac:dyDescent="0.2">
      <c r="B14" s="1884" t="s">
        <v>9</v>
      </c>
      <c r="C14" s="2334">
        <f t="shared" si="0"/>
        <v>10358.562039735099</v>
      </c>
      <c r="D14" s="2464">
        <f>C14/'ANNEXE A'!$C$248</f>
        <v>7.1143970053125685</v>
      </c>
      <c r="E14" s="2465">
        <f>D14/$D$18</f>
        <v>2.3389699145898016E-2</v>
      </c>
      <c r="F14" s="2468"/>
      <c r="G14" s="2469"/>
      <c r="I14" s="2502" t="str">
        <f t="shared" si="1"/>
        <v>Retransmission</v>
      </c>
      <c r="J14" s="2474">
        <f>E14</f>
        <v>2.3389699145898016E-2</v>
      </c>
      <c r="K14" s="2474"/>
      <c r="L14" s="2503"/>
      <c r="P14"/>
    </row>
    <row r="15" spans="1:43" ht="34" customHeight="1" x14ac:dyDescent="0.2">
      <c r="B15" s="1884" t="s">
        <v>2693</v>
      </c>
      <c r="C15" s="2334">
        <f t="shared" si="0"/>
        <v>8780</v>
      </c>
      <c r="D15" s="2464">
        <f>C15/'ANNEXE A'!$C$248</f>
        <v>6.0302197802197801</v>
      </c>
      <c r="E15" s="2465">
        <f>D15/$D$18</f>
        <v>1.9825295993133454E-2</v>
      </c>
      <c r="F15" s="2468"/>
      <c r="G15" s="2469"/>
      <c r="I15" s="2502" t="str">
        <f t="shared" si="1"/>
        <v>Consommation d'énergie des infras.</v>
      </c>
      <c r="J15" s="2474">
        <f>E15</f>
        <v>1.9825295993133454E-2</v>
      </c>
      <c r="K15" s="2474"/>
      <c r="L15" s="2503"/>
      <c r="P15"/>
    </row>
    <row r="16" spans="1:43" ht="34" customHeight="1" thickBot="1" x14ac:dyDescent="0.25">
      <c r="B16" s="1884" t="s">
        <v>11</v>
      </c>
      <c r="C16" s="2334">
        <f t="shared" si="0"/>
        <v>3453.2603778779912</v>
      </c>
      <c r="D16" s="2464">
        <f>C16/'ANNEXE A'!$C$248</f>
        <v>2.3717447650260928</v>
      </c>
      <c r="E16" s="2465">
        <f>D16/$D$18</f>
        <v>7.7974839558987534E-3</v>
      </c>
      <c r="F16" s="2468"/>
      <c r="G16" s="2469"/>
      <c r="I16" s="2504" t="s">
        <v>2657</v>
      </c>
      <c r="J16" s="2505">
        <f>E16+E17</f>
        <v>1.4066973315217696E-2</v>
      </c>
      <c r="K16" s="2505"/>
      <c r="L16" s="2506"/>
      <c r="P16"/>
    </row>
    <row r="17" spans="2:22" ht="34" customHeight="1" x14ac:dyDescent="0.2">
      <c r="B17" s="1884" t="s">
        <v>12</v>
      </c>
      <c r="C17" s="2334">
        <f t="shared" si="0"/>
        <v>2776.5596334039947</v>
      </c>
      <c r="D17" s="2464">
        <f>C17/'ANNEXE A'!$C$248</f>
        <v>1.9069777701950512</v>
      </c>
      <c r="E17" s="2465">
        <f t="shared" ref="E17" si="2">D17/$D$18</f>
        <v>6.2694893593189414E-3</v>
      </c>
      <c r="F17" s="2468"/>
      <c r="G17" s="2469"/>
      <c r="J17" s="346"/>
      <c r="K17" s="346"/>
      <c r="L17" s="346"/>
      <c r="P17"/>
      <c r="R17"/>
      <c r="S17"/>
      <c r="T17"/>
      <c r="U17"/>
      <c r="V17"/>
    </row>
    <row r="18" spans="2:22" ht="34" customHeight="1" thickBot="1" x14ac:dyDescent="0.25">
      <c r="B18" s="1885" t="s">
        <v>13</v>
      </c>
      <c r="C18" s="2335">
        <f t="shared" si="0"/>
        <v>442868.54547044222</v>
      </c>
      <c r="D18" s="2466">
        <f>C18/'ANNEXE A'!$C$248</f>
        <v>304.16795705387517</v>
      </c>
      <c r="E18" s="2467">
        <f>SUM(E9:G17)</f>
        <v>0.24819875108681461</v>
      </c>
      <c r="F18" s="2470"/>
      <c r="G18" s="2471"/>
      <c r="P18"/>
      <c r="Q18"/>
      <c r="R18"/>
      <c r="S18"/>
      <c r="T18"/>
      <c r="U18"/>
      <c r="V18"/>
    </row>
    <row r="19" spans="2:22" ht="24" customHeight="1" x14ac:dyDescent="0.2">
      <c r="F19"/>
      <c r="G19"/>
      <c r="H19"/>
    </row>
    <row r="20" spans="2:22" ht="24" customHeight="1" x14ac:dyDescent="0.2">
      <c r="B20" s="3" t="s">
        <v>14</v>
      </c>
      <c r="F20" s="286"/>
    </row>
    <row r="21" spans="2:22" ht="24" customHeight="1" x14ac:dyDescent="0.2">
      <c r="B21" s="3"/>
    </row>
    <row r="22" spans="2:22" ht="24" customHeight="1" x14ac:dyDescent="0.2">
      <c r="B22" s="2325" t="s">
        <v>2659</v>
      </c>
    </row>
    <row r="23" spans="2:22" ht="24" customHeight="1" thickBot="1" x14ac:dyDescent="0.25">
      <c r="B23" s="2325"/>
    </row>
    <row r="24" spans="2:22" ht="44" customHeight="1" thickBot="1" x14ac:dyDescent="0.25">
      <c r="B24" s="2547" t="s">
        <v>6</v>
      </c>
      <c r="C24" s="2549" t="s">
        <v>2427</v>
      </c>
      <c r="D24" s="2549" t="s">
        <v>2656</v>
      </c>
      <c r="E24" s="2551" t="s">
        <v>1337</v>
      </c>
      <c r="F24" s="2551"/>
      <c r="G24" s="2552"/>
      <c r="I24" s="2494" t="s">
        <v>6</v>
      </c>
      <c r="J24" s="2554" t="s">
        <v>1337</v>
      </c>
      <c r="K24" s="2554"/>
      <c r="L24" s="2555"/>
    </row>
    <row r="25" spans="2:22" ht="54" customHeight="1" thickBot="1" x14ac:dyDescent="0.25">
      <c r="B25" s="2548"/>
      <c r="C25" s="2550"/>
      <c r="D25" s="2550"/>
      <c r="E25" s="2463" t="s">
        <v>742</v>
      </c>
      <c r="F25" s="2462" t="s">
        <v>748</v>
      </c>
      <c r="G25" s="2463" t="s">
        <v>921</v>
      </c>
      <c r="I25" s="2495"/>
      <c r="J25" s="2461" t="s">
        <v>748</v>
      </c>
      <c r="K25" s="2461" t="s">
        <v>921</v>
      </c>
      <c r="L25" s="2496" t="s">
        <v>742</v>
      </c>
    </row>
    <row r="26" spans="2:22" ht="33" customHeight="1" x14ac:dyDescent="0.2">
      <c r="B26" s="2314" t="str">
        <f t="shared" ref="B26:B35" si="3">B9</f>
        <v>Déplacement des spectateurs</v>
      </c>
      <c r="C26" s="2332">
        <f>SUM('16'!D208:E208)</f>
        <v>138287.83027305629</v>
      </c>
      <c r="D26" s="2085">
        <f>C26/'ANNEXE A'!$C$243</f>
        <v>101.01375476483294</v>
      </c>
      <c r="E26" s="2472">
        <f>D26/D35*'16'!D522</f>
        <v>2.4865444473523405E-2</v>
      </c>
      <c r="F26" s="2472">
        <f>D26/D35*'16'!D523</f>
        <v>0.47153169846489307</v>
      </c>
      <c r="G26" s="2473">
        <f>D26/D35*'16'!D524</f>
        <v>3.8518929590560212E-2</v>
      </c>
      <c r="I26" s="2497" t="str">
        <f t="shared" ref="I26:I32" si="4">B26</f>
        <v>Déplacement des spectateurs</v>
      </c>
      <c r="J26" s="2485">
        <f t="shared" ref="J26:K28" si="5">F26</f>
        <v>0.47153169846489307</v>
      </c>
      <c r="K26" s="2485">
        <f t="shared" si="5"/>
        <v>3.8518929590560212E-2</v>
      </c>
      <c r="L26" s="2498">
        <f>E26</f>
        <v>2.4865444473523405E-2</v>
      </c>
    </row>
    <row r="27" spans="2:22" ht="33" customHeight="1" x14ac:dyDescent="0.2">
      <c r="B27" s="2313" t="str">
        <f t="shared" si="3"/>
        <v>Déplacement de l'équipe sportive</v>
      </c>
      <c r="C27" s="2334">
        <f>SUM('13'!D217:F217)</f>
        <v>16883.218302132886</v>
      </c>
      <c r="D27" s="2090">
        <f>C27/'ANNEXE A'!$C$243</f>
        <v>12.332518847430888</v>
      </c>
      <c r="E27" s="2477">
        <f>D27/D35*'16'!F522</f>
        <v>5.7685162257879466E-2</v>
      </c>
      <c r="F27" s="2477">
        <f>D27/D35*'16'!F523</f>
        <v>1.5986075348607286E-3</v>
      </c>
      <c r="G27" s="2482">
        <f>D27/D35*'16'!F524</f>
        <v>6.0228071344839212E-3</v>
      </c>
      <c r="I27" s="2497" t="str">
        <f t="shared" si="4"/>
        <v>Déplacement de l'équipe sportive</v>
      </c>
      <c r="J27" s="2485">
        <f t="shared" si="5"/>
        <v>1.5986075348607286E-3</v>
      </c>
      <c r="K27" s="2485">
        <f t="shared" si="5"/>
        <v>6.0228071344839212E-3</v>
      </c>
      <c r="L27" s="2498">
        <f>E27</f>
        <v>5.7685162257879466E-2</v>
      </c>
    </row>
    <row r="28" spans="2:22" ht="33" customHeight="1" x14ac:dyDescent="0.2">
      <c r="B28" s="2313" t="str">
        <f t="shared" si="3"/>
        <v>Déplacement des salariés</v>
      </c>
      <c r="C28" s="2334">
        <f>C11*'ANNEXE A'!$C$244</f>
        <v>20257.545535416393</v>
      </c>
      <c r="D28" s="2090">
        <f>C28/'ANNEXE A'!$C$243</f>
        <v>14.797330559106204</v>
      </c>
      <c r="E28" s="2477">
        <f>D28/$D$35*'22'!D300</f>
        <v>1.7850081383907193E-3</v>
      </c>
      <c r="F28" s="2483">
        <f>D28/$D$35*'22'!D301</f>
        <v>7.3214635901071107E-2</v>
      </c>
      <c r="G28" s="2482">
        <f>D28/$D$35*'22'!D302</f>
        <v>3.3592880190240317E-3</v>
      </c>
      <c r="I28" s="2497" t="str">
        <f t="shared" si="4"/>
        <v>Déplacement des salariés</v>
      </c>
      <c r="J28" s="2485">
        <f t="shared" si="5"/>
        <v>7.3214635901071107E-2</v>
      </c>
      <c r="K28" s="2485">
        <f t="shared" si="5"/>
        <v>3.3592880190240317E-3</v>
      </c>
      <c r="L28" s="2498">
        <f>E28</f>
        <v>1.7850081383907193E-3</v>
      </c>
    </row>
    <row r="29" spans="2:22" ht="33" customHeight="1" x14ac:dyDescent="0.2">
      <c r="B29" s="2313" t="str">
        <f t="shared" si="3"/>
        <v>Construction et entretien des infras.</v>
      </c>
      <c r="C29" s="2334">
        <f>C12*'ANNEXE A'!$C$244</f>
        <v>34953.091803982432</v>
      </c>
      <c r="D29" s="2090">
        <f>C29/'ANNEXE A'!$C$243</f>
        <v>25.531842077415948</v>
      </c>
      <c r="E29" s="2465">
        <f t="shared" ref="E29:E34" si="6">D29/$D$35</f>
        <v>0.13520329701907202</v>
      </c>
      <c r="F29" s="2468"/>
      <c r="G29" s="2469"/>
      <c r="I29" s="2497" t="str">
        <f t="shared" si="4"/>
        <v>Construction et entretien des infras.</v>
      </c>
      <c r="J29" s="2485">
        <f t="shared" ref="J29:J32" si="7">E29</f>
        <v>0.13520329701907202</v>
      </c>
      <c r="K29" s="2485"/>
      <c r="L29" s="2498"/>
    </row>
    <row r="30" spans="2:22" ht="33" customHeight="1" x14ac:dyDescent="0.2">
      <c r="B30" s="2313" t="str">
        <f t="shared" si="3"/>
        <v>Alimentation et boissons</v>
      </c>
      <c r="C30" s="2334">
        <f>C13*'ANNEXE A'!$C$244</f>
        <v>24288.243697545808</v>
      </c>
      <c r="D30" s="2090">
        <f>C30/'ANNEXE A'!$C$243</f>
        <v>17.741595104124038</v>
      </c>
      <c r="E30" s="2465">
        <f t="shared" si="6"/>
        <v>9.3950218914160236E-2</v>
      </c>
      <c r="F30" s="2468"/>
      <c r="G30" s="2469"/>
      <c r="I30" s="2497" t="str">
        <f t="shared" si="4"/>
        <v>Alimentation et boissons</v>
      </c>
      <c r="J30" s="2485">
        <f t="shared" si="7"/>
        <v>9.3950218914160236E-2</v>
      </c>
      <c r="K30" s="2485"/>
      <c r="L30" s="2498"/>
      <c r="Q30" s="55"/>
      <c r="R30" s="346"/>
    </row>
    <row r="31" spans="2:22" ht="33" customHeight="1" x14ac:dyDescent="0.2">
      <c r="B31" s="2313" t="str">
        <f t="shared" si="3"/>
        <v>Retransmission</v>
      </c>
      <c r="C31" s="2334">
        <f>C14*'ANNEXE A'!$C$244</f>
        <v>9739.6095002729053</v>
      </c>
      <c r="D31" s="2090">
        <f>C31/'ANNEXE A'!$C$243</f>
        <v>7.1143970053125676</v>
      </c>
      <c r="E31" s="2465">
        <f t="shared" si="6"/>
        <v>3.7674129759391939E-2</v>
      </c>
      <c r="F31" s="2468"/>
      <c r="G31" s="2469"/>
      <c r="I31" s="2497" t="str">
        <f t="shared" si="4"/>
        <v>Retransmission</v>
      </c>
      <c r="J31" s="2485">
        <f t="shared" si="7"/>
        <v>3.7674129759391939E-2</v>
      </c>
      <c r="K31" s="2485"/>
      <c r="L31" s="2498"/>
      <c r="Q31" s="55"/>
      <c r="R31" s="346"/>
    </row>
    <row r="32" spans="2:22" ht="33" customHeight="1" x14ac:dyDescent="0.2">
      <c r="B32" s="2313" t="str">
        <f t="shared" si="3"/>
        <v>Consommation d'énergie des infras.</v>
      </c>
      <c r="C32" s="2334">
        <f>C15*'ANNEXE A'!$C$244</f>
        <v>8255.3708791208792</v>
      </c>
      <c r="D32" s="2090">
        <f>C32/'ANNEXE A'!$C$243</f>
        <v>6.0302197802197801</v>
      </c>
      <c r="E32" s="2465">
        <f t="shared" si="6"/>
        <v>3.1932893582970738E-2</v>
      </c>
      <c r="F32" s="2468"/>
      <c r="G32" s="2469"/>
      <c r="I32" s="2497" t="str">
        <f t="shared" si="4"/>
        <v>Consommation d'énergie des infras.</v>
      </c>
      <c r="J32" s="2485">
        <f t="shared" si="7"/>
        <v>3.1932893582970738E-2</v>
      </c>
      <c r="K32" s="2485"/>
      <c r="L32" s="2498"/>
      <c r="Q32" s="55"/>
      <c r="R32" s="55"/>
    </row>
    <row r="33" spans="2:31" ht="33" customHeight="1" thickBot="1" x14ac:dyDescent="0.25">
      <c r="B33" s="2313" t="str">
        <f t="shared" si="3"/>
        <v>Autres</v>
      </c>
      <c r="C33" s="2334">
        <f>C16*'ANNEXE A'!$C$244</f>
        <v>3246.9185833207212</v>
      </c>
      <c r="D33" s="2090">
        <f>C33/'ANNEXE A'!$C$243</f>
        <v>2.3717447650260928</v>
      </c>
      <c r="E33" s="2465">
        <f t="shared" si="6"/>
        <v>1.2559521202855035E-2</v>
      </c>
      <c r="F33" s="2468"/>
      <c r="G33" s="2469"/>
      <c r="I33" s="2499" t="s">
        <v>2657</v>
      </c>
      <c r="J33" s="2500">
        <f>E33+E34</f>
        <v>2.2657879209718589E-2</v>
      </c>
      <c r="K33" s="2500"/>
      <c r="L33" s="2501"/>
    </row>
    <row r="34" spans="2:31" ht="33" customHeight="1" x14ac:dyDescent="0.2">
      <c r="B34" s="2313" t="str">
        <f t="shared" si="3"/>
        <v>Déchets</v>
      </c>
      <c r="C34" s="2334">
        <f>C17*'ANNEXE A'!$C$244</f>
        <v>2610.652567397025</v>
      </c>
      <c r="D34" s="2090">
        <f>C34/'ANNEXE A'!$C$243</f>
        <v>1.9069777701950512</v>
      </c>
      <c r="E34" s="2465">
        <f t="shared" si="6"/>
        <v>1.0098358006863555E-2</v>
      </c>
      <c r="F34" s="2468"/>
      <c r="G34" s="2469"/>
    </row>
    <row r="35" spans="2:31" ht="33" customHeight="1" thickBot="1" x14ac:dyDescent="0.25">
      <c r="B35" s="2315" t="str">
        <f t="shared" si="3"/>
        <v>Total</v>
      </c>
      <c r="C35" s="2335">
        <f>SUM(C26:C34)</f>
        <v>258522.48114224532</v>
      </c>
      <c r="D35" s="2335">
        <f>SUM(D26:D34)</f>
        <v>188.84038067366347</v>
      </c>
      <c r="E35" s="2467">
        <f>SUM(E26:G34)</f>
        <v>1.0000000000000002</v>
      </c>
      <c r="F35" s="2470"/>
      <c r="G35" s="2471"/>
    </row>
    <row r="36" spans="2:31" ht="33" customHeight="1" x14ac:dyDescent="0.2">
      <c r="B36" s="3"/>
    </row>
    <row r="37" spans="2:31" ht="33" customHeight="1" x14ac:dyDescent="0.2">
      <c r="B37" s="3" t="s">
        <v>14</v>
      </c>
    </row>
    <row r="38" spans="2:31" ht="24" customHeight="1" x14ac:dyDescent="0.2">
      <c r="B38" s="3"/>
    </row>
    <row r="39" spans="2:31" ht="24" customHeight="1" x14ac:dyDescent="0.2">
      <c r="B39" s="2325" t="s">
        <v>2428</v>
      </c>
    </row>
    <row r="40" spans="2:31" ht="24" customHeight="1" thickBot="1" x14ac:dyDescent="0.25">
      <c r="B40"/>
      <c r="T40" s="2330"/>
    </row>
    <row r="41" spans="2:31" ht="43" customHeight="1" thickBot="1" x14ac:dyDescent="0.25">
      <c r="B41" s="2547" t="s">
        <v>6</v>
      </c>
      <c r="C41" s="2549" t="s">
        <v>2427</v>
      </c>
      <c r="D41" s="2549" t="s">
        <v>2656</v>
      </c>
      <c r="E41" s="2551" t="s">
        <v>1337</v>
      </c>
      <c r="F41" s="2551"/>
      <c r="G41" s="2552"/>
      <c r="I41" s="2476" t="s">
        <v>6</v>
      </c>
      <c r="J41" s="2553" t="s">
        <v>1337</v>
      </c>
      <c r="K41" s="2553"/>
      <c r="L41" s="2553"/>
      <c r="T41" s="2330"/>
      <c r="X41" s="3209" t="s">
        <v>2750</v>
      </c>
      <c r="Y41" s="3210"/>
      <c r="Z41" s="3210"/>
      <c r="AA41" s="3210"/>
      <c r="AB41" s="3210"/>
      <c r="AC41" s="3210"/>
      <c r="AD41" s="3210"/>
      <c r="AE41" s="3211"/>
    </row>
    <row r="42" spans="2:31" ht="57" customHeight="1" thickBot="1" x14ac:dyDescent="0.25">
      <c r="B42" s="2548"/>
      <c r="C42" s="2550"/>
      <c r="D42" s="2550"/>
      <c r="E42" s="2463" t="s">
        <v>742</v>
      </c>
      <c r="F42" s="2462" t="s">
        <v>748</v>
      </c>
      <c r="G42" s="2463" t="s">
        <v>921</v>
      </c>
      <c r="I42" s="2476"/>
      <c r="J42" s="2461" t="s">
        <v>742</v>
      </c>
      <c r="K42" s="2461" t="s">
        <v>748</v>
      </c>
      <c r="L42" s="2461" t="s">
        <v>921</v>
      </c>
      <c r="R42" s="286"/>
      <c r="T42" s="2330"/>
      <c r="X42" s="91" t="s">
        <v>2737</v>
      </c>
      <c r="Z42" s="91" t="s">
        <v>742</v>
      </c>
      <c r="AA42" s="91" t="s">
        <v>748</v>
      </c>
      <c r="AB42" s="91" t="s">
        <v>921</v>
      </c>
      <c r="AC42" s="91" t="s">
        <v>742</v>
      </c>
      <c r="AD42" s="91" t="s">
        <v>748</v>
      </c>
      <c r="AE42" s="91" t="s">
        <v>921</v>
      </c>
    </row>
    <row r="43" spans="2:31" ht="38" customHeight="1" x14ac:dyDescent="0.2">
      <c r="B43" s="2314" t="str">
        <f t="shared" ref="B43:B52" si="8">B26</f>
        <v>Déplacement des spectateurs</v>
      </c>
      <c r="C43" s="2492">
        <f>SUM('16'!F208:I208)</f>
        <v>162699.01429032569</v>
      </c>
      <c r="D43" s="2085">
        <f>C43/SUM('16'!$C$342:$C$343,'16'!$E$342:$E$343)</f>
        <v>1870.1036125324792</v>
      </c>
      <c r="E43" s="2488">
        <f>D43/D52*'16'!D530</f>
        <v>0.70344348042649329</v>
      </c>
      <c r="F43" s="2472">
        <f>D43/D52*'16'!D531</f>
        <v>0.14195143268111327</v>
      </c>
      <c r="G43" s="2473">
        <f>D43/D52*'16'!D532</f>
        <v>2.4114784021743402E-2</v>
      </c>
      <c r="I43" s="2484" t="str">
        <f>B43</f>
        <v>Déplacement des spectateurs</v>
      </c>
      <c r="J43" s="2485">
        <f>E43</f>
        <v>0.70344348042649329</v>
      </c>
      <c r="K43" s="2485">
        <f t="shared" ref="K43:L43" si="9">F43</f>
        <v>0.14195143268111327</v>
      </c>
      <c r="L43" s="2485">
        <f t="shared" si="9"/>
        <v>2.4114784021743402E-2</v>
      </c>
      <c r="R43" s="286"/>
      <c r="T43" s="2330"/>
      <c r="X43" s="91">
        <f>D43</f>
        <v>1870.1036125324792</v>
      </c>
      <c r="Y43" s="91" t="s">
        <v>2739</v>
      </c>
      <c r="Z43" s="91">
        <f>'16'!D530*X43</f>
        <v>1512.9356214210311</v>
      </c>
      <c r="AA43" s="91">
        <f>'16'!D531*X43</f>
        <v>305.30296319584352</v>
      </c>
      <c r="AB43" s="91">
        <f>'16'!D532*X43</f>
        <v>51.865027915604848</v>
      </c>
      <c r="AC43" s="416">
        <f>Z43/SUM($Z$43:$AB$43)</f>
        <v>0.80901165651042506</v>
      </c>
      <c r="AD43" s="416">
        <f>AA43/SUM($Z$43:$AB$43)</f>
        <v>0.16325457111031655</v>
      </c>
      <c r="AE43" s="416">
        <f>AB43/SUM($Z$43:$AB$43)</f>
        <v>2.7733772379258517E-2</v>
      </c>
    </row>
    <row r="44" spans="2:31" ht="38" customHeight="1" x14ac:dyDescent="0.2">
      <c r="B44" s="2313" t="str">
        <f t="shared" si="8"/>
        <v>Déplacement de l'équipe sportive</v>
      </c>
      <c r="C44" s="2493">
        <f>SUM('13'!G217:H217)</f>
        <v>15079.062723529412</v>
      </c>
      <c r="D44" s="2090">
        <f>C44/SUM('16'!$C$342:$C$343,'16'!$E$342:$E$343)</f>
        <v>173.32256004056796</v>
      </c>
      <c r="E44" s="2486">
        <f>D44/$D$52*'16'!F530</f>
        <v>8.0586789778173545E-2</v>
      </c>
      <c r="F44" s="2477"/>
      <c r="G44" s="2482"/>
      <c r="I44" s="2484" t="str">
        <f>B44</f>
        <v>Déplacement de l'équipe sportive</v>
      </c>
      <c r="J44" s="2485">
        <f t="shared" ref="J44:J45" si="10">E44</f>
        <v>8.0586789778173545E-2</v>
      </c>
      <c r="K44" s="2485">
        <f t="shared" ref="K44:K45" si="11">F44</f>
        <v>0</v>
      </c>
      <c r="L44" s="2485">
        <f t="shared" ref="L44:L45" si="12">G44</f>
        <v>0</v>
      </c>
      <c r="R44" s="286"/>
      <c r="X44" s="91">
        <f>D26</f>
        <v>101.01375476483294</v>
      </c>
      <c r="Y44" s="91" t="s">
        <v>2738</v>
      </c>
      <c r="Z44" s="91">
        <f>'16'!D522*X44</f>
        <v>4.6956000000000016</v>
      </c>
      <c r="AA44" s="91">
        <f>'16'!D523*X44</f>
        <v>89.044225437809501</v>
      </c>
      <c r="AB44" s="91">
        <f>'16'!D524*X44</f>
        <v>7.2739293270234304</v>
      </c>
      <c r="AC44" s="416">
        <f>Z44/SUM($Z$44:$AB$44)</f>
        <v>4.6484758545325695E-2</v>
      </c>
      <c r="AD44" s="416">
        <f>AA44/SUM($Z$44:$AB$44)</f>
        <v>0.88150594584975761</v>
      </c>
      <c r="AE44" s="416">
        <f>AB44/SUM($Z$44:$AB$44)</f>
        <v>7.200929560491684E-2</v>
      </c>
    </row>
    <row r="45" spans="2:31" ht="38" customHeight="1" x14ac:dyDescent="0.2">
      <c r="B45" s="2313" t="str">
        <f t="shared" si="8"/>
        <v>Déplacement des salariés</v>
      </c>
      <c r="C45" s="2334">
        <f>C28*(1-'ANNEXE A'!$C$244)</f>
        <v>1210.4439983387545</v>
      </c>
      <c r="D45" s="2090">
        <f>C45/SUM('16'!$C$342:$C$343,'16'!$E$342:$E$343)</f>
        <v>13.913149406192581</v>
      </c>
      <c r="E45" s="2486">
        <v>0</v>
      </c>
      <c r="F45" s="2486">
        <f>D45/$D$52</f>
        <v>6.468956182546168E-3</v>
      </c>
      <c r="G45" s="2482">
        <f>E45</f>
        <v>0</v>
      </c>
      <c r="I45" s="2484" t="str">
        <f>B45</f>
        <v>Déplacement des salariés</v>
      </c>
      <c r="J45" s="2485">
        <f t="shared" si="10"/>
        <v>0</v>
      </c>
      <c r="K45" s="2485">
        <f t="shared" si="11"/>
        <v>6.468956182546168E-3</v>
      </c>
      <c r="L45" s="2485">
        <f t="shared" si="12"/>
        <v>0</v>
      </c>
      <c r="R45" s="286"/>
    </row>
    <row r="46" spans="2:31" ht="38" customHeight="1" x14ac:dyDescent="0.2">
      <c r="B46" s="2313" t="str">
        <f t="shared" si="8"/>
        <v>Construction et entretien des infras.</v>
      </c>
      <c r="C46" s="2334">
        <f>C29*(1-'ANNEXE A'!$C$244)</f>
        <v>2088.5432602654341</v>
      </c>
      <c r="D46" s="2090">
        <f>C46/SUM('16'!$C$342:$C$343,'16'!$E$342:$E$343)</f>
        <v>24.006244370867059</v>
      </c>
      <c r="E46" s="2486">
        <f t="shared" ref="E46:E51" si="13">D46/$D$52</f>
        <v>1.1161767793100422E-2</v>
      </c>
      <c r="F46" s="2468"/>
      <c r="G46" s="2469"/>
      <c r="I46" s="2484" t="str">
        <f>B48</f>
        <v>Retransmission</v>
      </c>
      <c r="J46" s="2485">
        <f>E48</f>
        <v>2.000992205853027E-2</v>
      </c>
      <c r="K46" s="2485"/>
      <c r="L46" s="2485"/>
      <c r="R46" s="286"/>
    </row>
    <row r="47" spans="2:31" ht="38" customHeight="1" x14ac:dyDescent="0.2">
      <c r="B47" s="2313" t="str">
        <f t="shared" si="8"/>
        <v>Alimentation et boissons</v>
      </c>
      <c r="C47" s="2334">
        <f>C30*(1-'ANNEXE A'!$C$244)</f>
        <v>1451.2892868725862</v>
      </c>
      <c r="D47" s="2090">
        <f>C47/SUM('16'!$C$342:$C$343,'16'!$E$342:$E$343)</f>
        <v>16.681486056006737</v>
      </c>
      <c r="E47" s="2486">
        <f t="shared" si="13"/>
        <v>7.7561017427177333E-3</v>
      </c>
      <c r="F47" s="2468"/>
      <c r="G47" s="2469"/>
      <c r="I47" s="2484" t="str">
        <f>B46</f>
        <v>Construction et entretien des infras.</v>
      </c>
      <c r="J47" s="2485">
        <f>E46</f>
        <v>1.1161767793100422E-2</v>
      </c>
      <c r="K47" s="2485"/>
      <c r="L47" s="2485"/>
      <c r="R47" s="286"/>
    </row>
    <row r="48" spans="2:31" ht="38" customHeight="1" x14ac:dyDescent="0.2">
      <c r="B48" s="2313" t="str">
        <f t="shared" si="8"/>
        <v>Retransmission</v>
      </c>
      <c r="C48" s="2334">
        <f>C31*(1-'ANNEXE A'!$C$244)</f>
        <v>581.96842481026295</v>
      </c>
      <c r="D48" s="2090">
        <f>'23'!E99</f>
        <v>43.036469462840316</v>
      </c>
      <c r="E48" s="2486">
        <f t="shared" si="13"/>
        <v>2.000992205853027E-2</v>
      </c>
      <c r="F48" s="2468"/>
      <c r="G48" s="2469"/>
      <c r="I48" s="2484" t="str">
        <f>B47</f>
        <v>Alimentation et boissons</v>
      </c>
      <c r="J48" s="2485">
        <f>E47</f>
        <v>7.7561017427177333E-3</v>
      </c>
      <c r="K48" s="2485"/>
      <c r="L48" s="2485"/>
      <c r="R48" s="286"/>
    </row>
    <row r="49" spans="2:18" ht="38" customHeight="1" x14ac:dyDescent="0.2">
      <c r="B49" s="2313" t="str">
        <f t="shared" si="8"/>
        <v>Consommation d'énergie des infras.</v>
      </c>
      <c r="C49" s="2334">
        <f>C32*(1-'ANNEXE A'!$C$244)</f>
        <v>493.28108961779986</v>
      </c>
      <c r="D49" s="2090">
        <f>C49/SUM('16'!$C$342:$C$343,'16'!$E$342:$E$343)</f>
        <v>5.6698975818137916</v>
      </c>
      <c r="E49" s="2487">
        <f t="shared" si="13"/>
        <v>2.6362341081418131E-3</v>
      </c>
      <c r="F49" s="2468"/>
      <c r="G49" s="2469"/>
      <c r="I49" s="2484" t="s">
        <v>2663</v>
      </c>
      <c r="J49" s="2490">
        <f>E49+E50+E51</f>
        <v>4.506765315582131E-3</v>
      </c>
      <c r="K49" s="2485"/>
      <c r="L49" s="2485"/>
      <c r="R49" s="286"/>
    </row>
    <row r="50" spans="2:18" ht="38" customHeight="1" x14ac:dyDescent="0.2">
      <c r="B50" s="2313" t="str">
        <f t="shared" si="8"/>
        <v>Autres</v>
      </c>
      <c r="C50" s="2334">
        <f>C33*(1-'ANNEXE A'!$C$244)</f>
        <v>194.01230545941127</v>
      </c>
      <c r="D50" s="2090">
        <f>C50/SUM('16'!$C$342:$C$343,'16'!$E$342:$E$343)</f>
        <v>2.2300264995334627</v>
      </c>
      <c r="E50" s="2487">
        <f t="shared" si="13"/>
        <v>1.036856810074789E-3</v>
      </c>
      <c r="F50" s="2468"/>
      <c r="G50" s="2469"/>
      <c r="I50"/>
      <c r="J50"/>
      <c r="K50"/>
      <c r="L50"/>
      <c r="R50" s="286"/>
    </row>
    <row r="51" spans="2:18" ht="38" customHeight="1" x14ac:dyDescent="0.2">
      <c r="B51" s="2313" t="str">
        <f t="shared" si="8"/>
        <v>Déchets</v>
      </c>
      <c r="C51" s="2334">
        <f>C34*(1-'ANNEXE A'!$C$244)</f>
        <v>155.99366302441018</v>
      </c>
      <c r="D51" s="2090">
        <f>C51/SUM('16'!$C$342:$C$343,'16'!$E$342:$E$343)</f>
        <v>1.7930306094759791</v>
      </c>
      <c r="E51" s="2487">
        <f t="shared" si="13"/>
        <v>8.3367439736552846E-4</v>
      </c>
      <c r="F51" s="2468"/>
      <c r="G51" s="2469"/>
      <c r="R51" s="286"/>
    </row>
    <row r="52" spans="2:18" ht="38" customHeight="1" thickBot="1" x14ac:dyDescent="0.25">
      <c r="B52" s="2315" t="str">
        <f t="shared" si="8"/>
        <v>Total</v>
      </c>
      <c r="C52" s="2335">
        <f>SUM(C43:C51)</f>
        <v>183953.60904224377</v>
      </c>
      <c r="D52" s="2316">
        <f>SUM(D43:D51)</f>
        <v>2150.7564765597767</v>
      </c>
      <c r="E52" s="2489">
        <f>SUM(E43:G51)</f>
        <v>1.0000000000000002</v>
      </c>
      <c r="F52" s="2470"/>
      <c r="G52" s="2471"/>
    </row>
    <row r="53" spans="2:18" ht="38" customHeight="1" x14ac:dyDescent="0.2">
      <c r="B53" s="3"/>
    </row>
    <row r="54" spans="2:18" ht="33" customHeight="1" x14ac:dyDescent="0.2">
      <c r="B54" s="3" t="s">
        <v>14</v>
      </c>
    </row>
    <row r="55" spans="2:18" ht="24" customHeight="1" x14ac:dyDescent="0.2">
      <c r="B55" s="3"/>
    </row>
    <row r="56" spans="2:18" ht="32" customHeight="1" x14ac:dyDescent="0.25">
      <c r="B56" s="2324" t="s">
        <v>2418</v>
      </c>
    </row>
    <row r="57" spans="2:18" ht="32" customHeight="1" thickBot="1" x14ac:dyDescent="0.25">
      <c r="B57" s="1800"/>
    </row>
    <row r="58" spans="2:18" ht="44" customHeight="1" thickBot="1" x14ac:dyDescent="0.25">
      <c r="B58" s="1886" t="s">
        <v>6</v>
      </c>
      <c r="C58" s="1887" t="s">
        <v>1317</v>
      </c>
      <c r="D58" s="1887" t="s">
        <v>2597</v>
      </c>
      <c r="E58" s="1883" t="s">
        <v>1337</v>
      </c>
      <c r="G58" s="74" t="s">
        <v>2685</v>
      </c>
      <c r="H58" s="74" t="s">
        <v>2686</v>
      </c>
      <c r="J58" s="74" t="str">
        <f>J76</f>
        <v>Poste</v>
      </c>
      <c r="K58" s="74" t="s">
        <v>2689</v>
      </c>
      <c r="L58" s="74" t="s">
        <v>922</v>
      </c>
    </row>
    <row r="59" spans="2:18" ht="32" customHeight="1" x14ac:dyDescent="0.2">
      <c r="B59" s="2419" t="s">
        <v>2677</v>
      </c>
      <c r="C59" s="2420">
        <f>'16'!$C$6</f>
        <v>300986.84456338198</v>
      </c>
      <c r="D59" s="2423">
        <f>C59/'ANNEXE A'!$C$247*1000</f>
        <v>15.977836299201208</v>
      </c>
      <c r="E59" s="2421">
        <f t="shared" ref="E59:E68" si="14">C59/$C$68</f>
        <v>0.67963021452258532</v>
      </c>
      <c r="G59" s="314">
        <f>K84+K101</f>
        <v>446298.35302781011</v>
      </c>
      <c r="H59" s="314">
        <f>L84+L101</f>
        <v>1741411.5617087302</v>
      </c>
      <c r="J59" s="76" t="str">
        <f t="shared" ref="J59:J66" si="15">J77</f>
        <v>Déplacements (spectateurs, pratiquants, etc.)</v>
      </c>
      <c r="K59" s="2509">
        <f>M77+M94</f>
        <v>1085520.2039085878</v>
      </c>
      <c r="L59" s="416">
        <f>K59/$K$66</f>
        <v>0.4961901925828745</v>
      </c>
    </row>
    <row r="60" spans="2:18" ht="32" customHeight="1" x14ac:dyDescent="0.2">
      <c r="B60" s="1854" t="s">
        <v>2678</v>
      </c>
      <c r="C60" s="1855">
        <f>'13'!$C$5</f>
        <v>31962.281025662298</v>
      </c>
      <c r="D60" s="2424">
        <f>C60/'ANNEXE A'!$C$247*1000</f>
        <v>1.6967123420889447</v>
      </c>
      <c r="E60" s="1888">
        <f t="shared" si="14"/>
        <v>7.2171034390600033E-2</v>
      </c>
      <c r="G60" s="416">
        <f>G59/SUM(G59:H59)</f>
        <v>0.20400252795012661</v>
      </c>
      <c r="H60" s="416">
        <f>H59/SUM(G59:H59)</f>
        <v>0.79599747204987348</v>
      </c>
      <c r="J60" s="76" t="str">
        <f t="shared" si="15"/>
        <v>Articles de sport</v>
      </c>
      <c r="K60" s="2509">
        <f t="shared" ref="K60:K66" si="16">M78+M95</f>
        <v>387722.67612584226</v>
      </c>
      <c r="L60" s="416">
        <f>K60/$K$66</f>
        <v>0.17722764499722746</v>
      </c>
    </row>
    <row r="61" spans="2:18" ht="32" customHeight="1" x14ac:dyDescent="0.2">
      <c r="B61" s="1854" t="s">
        <v>2664</v>
      </c>
      <c r="C61" s="1855">
        <f>'22'!$C$5</f>
        <v>21544.913294058635</v>
      </c>
      <c r="D61" s="2424">
        <f>C61/'ANNEXE A'!$C$247*1000</f>
        <v>1.1437081185136722</v>
      </c>
      <c r="E61" s="1888">
        <f t="shared" si="14"/>
        <v>4.8648551617438314E-2</v>
      </c>
      <c r="J61" s="76" t="str">
        <f t="shared" si="15"/>
        <v>Construction et entretien infrastructures</v>
      </c>
      <c r="K61" s="2509">
        <f t="shared" si="16"/>
        <v>344391.47306105826</v>
      </c>
      <c r="L61" s="416">
        <f t="shared" ref="L61:L66" si="17">K61/$K$66</f>
        <v>0.15742099569107287</v>
      </c>
    </row>
    <row r="62" spans="2:18" ht="32" customHeight="1" x14ac:dyDescent="0.2">
      <c r="B62" s="1854" t="s">
        <v>2683</v>
      </c>
      <c r="C62" s="1855">
        <f>'10.1 Stade'!$C$5+'10.2 SI'!$C$5+'10.3 Autres'!$C$5</f>
        <v>37174.362064717621</v>
      </c>
      <c r="D62" s="2424">
        <f>C62/'ANNEXE A'!$C$247*1000</f>
        <v>1.973394792250516</v>
      </c>
      <c r="E62" s="1888">
        <f t="shared" si="14"/>
        <v>8.3939946616052238E-2</v>
      </c>
      <c r="J62" s="76" t="str">
        <f t="shared" si="15"/>
        <v>Alimentation et boisson</v>
      </c>
      <c r="K62" s="2509">
        <f t="shared" si="16"/>
        <v>226270.79058180534</v>
      </c>
      <c r="L62" s="416">
        <f t="shared" si="17"/>
        <v>0.10342815062345892</v>
      </c>
    </row>
    <row r="63" spans="2:18" ht="32" customHeight="1" x14ac:dyDescent="0.2">
      <c r="B63" s="1854" t="s">
        <v>8</v>
      </c>
      <c r="C63" s="1855">
        <f>'9.1 Alimentaire'!$C$5</f>
        <v>25831.762471604598</v>
      </c>
      <c r="D63" s="2424">
        <f>C63/'ANNEXE A'!$C$247*1000</f>
        <v>1.3712747900655613</v>
      </c>
      <c r="E63" s="1888">
        <f t="shared" si="14"/>
        <v>5.832828439907492E-2</v>
      </c>
      <c r="J63" s="76" t="str">
        <f t="shared" si="15"/>
        <v>Consommation d'énergie des bâtiments</v>
      </c>
      <c r="K63" s="2509">
        <f t="shared" si="16"/>
        <v>107240.28087985193</v>
      </c>
      <c r="L63" s="416">
        <f t="shared" si="17"/>
        <v>4.9019424448129623E-2</v>
      </c>
    </row>
    <row r="64" spans="2:18" ht="32" customHeight="1" x14ac:dyDescent="0.2">
      <c r="B64" s="1854" t="s">
        <v>9</v>
      </c>
      <c r="C64" s="1855">
        <f>'23'!$C$5</f>
        <v>10358.562039735099</v>
      </c>
      <c r="D64" s="2424">
        <f>C64/'ANNEXE A'!$C$247*1000</f>
        <v>0.54988253325854086</v>
      </c>
      <c r="E64" s="1888">
        <f t="shared" si="14"/>
        <v>2.3389699145898016E-2</v>
      </c>
      <c r="J64" s="76" t="str">
        <f t="shared" si="15"/>
        <v>Déchets</v>
      </c>
      <c r="K64" s="2509">
        <f t="shared" si="16"/>
        <v>22321.698484832508</v>
      </c>
      <c r="L64" s="416">
        <f t="shared" si="17"/>
        <v>1.0203225909647463E-2</v>
      </c>
    </row>
    <row r="65" spans="2:21" ht="32" customHeight="1" x14ac:dyDescent="0.2">
      <c r="B65" s="1854" t="s">
        <v>10</v>
      </c>
      <c r="C65" s="1855">
        <f>'Fiche levier - 1 + 6 + 7'!$C$6</f>
        <v>8780</v>
      </c>
      <c r="D65" s="2424">
        <f>C65/'ANNEXE A'!$C$247*1000</f>
        <v>0.46608483141676049</v>
      </c>
      <c r="E65" s="1888">
        <f t="shared" si="14"/>
        <v>1.9825295993133457E-2</v>
      </c>
      <c r="J65" s="76" t="str">
        <f t="shared" si="15"/>
        <v>Autres</v>
      </c>
      <c r="K65" s="2509">
        <f t="shared" si="16"/>
        <v>14242.79169456222</v>
      </c>
      <c r="L65" s="416">
        <f t="shared" si="17"/>
        <v>6.5103657475892732E-3</v>
      </c>
    </row>
    <row r="66" spans="2:21" ht="32" customHeight="1" x14ac:dyDescent="0.2">
      <c r="B66" s="1854" t="s">
        <v>11</v>
      </c>
      <c r="C66" s="1855">
        <f>'9.2 Divers'!$C$5+'2'!$C$6</f>
        <v>3453.2603778779912</v>
      </c>
      <c r="D66" s="2424">
        <f>C66/'ANNEXE A'!$C$247*1000</f>
        <v>0.18331574955141711</v>
      </c>
      <c r="E66" s="1888">
        <f t="shared" si="14"/>
        <v>7.7974839558987543E-3</v>
      </c>
      <c r="J66" s="73" t="str">
        <f t="shared" si="15"/>
        <v>TOTAL</v>
      </c>
      <c r="K66" s="2510">
        <f t="shared" si="16"/>
        <v>2187709.9147365401</v>
      </c>
      <c r="L66" s="482">
        <f t="shared" si="17"/>
        <v>1</v>
      </c>
    </row>
    <row r="67" spans="2:21" ht="32" customHeight="1" x14ac:dyDescent="0.2">
      <c r="B67" s="1854" t="s">
        <v>12</v>
      </c>
      <c r="C67" s="1855">
        <f>'11'!$C$5</f>
        <v>2776.5596334039947</v>
      </c>
      <c r="D67" s="2424">
        <f>C67/'ANNEXE A'!$C$247*1000</f>
        <v>0.14739320371909831</v>
      </c>
      <c r="E67" s="1888">
        <f t="shared" si="14"/>
        <v>6.2694893593189423E-3</v>
      </c>
    </row>
    <row r="68" spans="2:21" ht="32" customHeight="1" thickBot="1" x14ac:dyDescent="0.25">
      <c r="B68" s="1857" t="s">
        <v>13</v>
      </c>
      <c r="C68" s="1858">
        <f>(SUM(C59:C67))</f>
        <v>442868.54547044222</v>
      </c>
      <c r="D68" s="2422">
        <f>C68/'ANNEXE A'!$C$247*1000</f>
        <v>23.509602660065717</v>
      </c>
      <c r="E68" s="2507">
        <f t="shared" si="14"/>
        <v>1</v>
      </c>
    </row>
    <row r="69" spans="2:21" ht="30" customHeight="1" x14ac:dyDescent="0.2">
      <c r="B69" s="3"/>
    </row>
    <row r="70" spans="2:21" ht="30" customHeight="1" x14ac:dyDescent="0.2">
      <c r="B70" s="3" t="s">
        <v>14</v>
      </c>
    </row>
    <row r="71" spans="2:21" ht="30" customHeight="1" x14ac:dyDescent="0.2">
      <c r="B71" s="3"/>
    </row>
    <row r="72" spans="2:21" ht="30" customHeight="1" x14ac:dyDescent="0.2">
      <c r="B72" s="1683" t="s">
        <v>2376</v>
      </c>
    </row>
    <row r="73" spans="2:21" ht="30" customHeight="1" x14ac:dyDescent="0.2">
      <c r="B73" s="1800"/>
    </row>
    <row r="74" spans="2:21" ht="30" customHeight="1" x14ac:dyDescent="0.2">
      <c r="B74" s="2176" t="s">
        <v>2377</v>
      </c>
      <c r="J74" s="2176" t="s">
        <v>2377</v>
      </c>
    </row>
    <row r="75" spans="2:21" ht="30" customHeight="1" thickBot="1" x14ac:dyDescent="0.25">
      <c r="B75" s="2176"/>
    </row>
    <row r="76" spans="2:21" ht="40" customHeight="1" thickBot="1" x14ac:dyDescent="0.25">
      <c r="B76" s="1886" t="s">
        <v>6</v>
      </c>
      <c r="C76" s="1887" t="s">
        <v>1317</v>
      </c>
      <c r="D76" s="1883" t="s">
        <v>1337</v>
      </c>
      <c r="E76"/>
      <c r="G76" s="74" t="s">
        <v>2681</v>
      </c>
      <c r="H76" s="74" t="s">
        <v>2682</v>
      </c>
      <c r="J76" s="60" t="s">
        <v>6</v>
      </c>
      <c r="K76" s="60" t="s">
        <v>2612</v>
      </c>
      <c r="L76" s="60" t="s">
        <v>2614</v>
      </c>
      <c r="M76" s="60" t="s">
        <v>13</v>
      </c>
      <c r="N76" s="60" t="s">
        <v>922</v>
      </c>
      <c r="P76" s="530" t="s">
        <v>2687</v>
      </c>
      <c r="T76" s="286"/>
      <c r="U76" s="286"/>
    </row>
    <row r="77" spans="2:21" ht="30" customHeight="1" x14ac:dyDescent="0.2">
      <c r="B77" s="1852" t="s">
        <v>2677</v>
      </c>
      <c r="C77" s="2292">
        <f>'16'!C352</f>
        <v>172138.25430775827</v>
      </c>
      <c r="D77" s="2293">
        <f t="shared" ref="D77:D85" si="18">C77/$C$86</f>
        <v>0.62601594505913105</v>
      </c>
      <c r="E77"/>
      <c r="F77" s="539"/>
      <c r="G77" s="314">
        <f>C86</f>
        <v>274974.23295104527</v>
      </c>
      <c r="H77" s="314">
        <f>L84</f>
        <v>1521311.7296246721</v>
      </c>
      <c r="J77" s="81" t="s">
        <v>2680</v>
      </c>
      <c r="K77" s="91">
        <f>C77+C78+C79</f>
        <v>207149.10926218153</v>
      </c>
      <c r="L77" s="502">
        <f>374041.765521583+263066.290513726</f>
        <v>637108.05603530898</v>
      </c>
      <c r="M77" s="91">
        <f t="shared" ref="M77:M83" si="19">SUM(K77:L77)</f>
        <v>844257.16529749054</v>
      </c>
      <c r="N77" s="416">
        <f t="shared" ref="N77:N83" si="20">M77/$M$84</f>
        <v>0.47000153811083595</v>
      </c>
      <c r="P77" s="1614">
        <f>K77/'13'!$C$339</f>
        <v>211.16117152108208</v>
      </c>
      <c r="T77" s="286"/>
      <c r="U77" s="286"/>
    </row>
    <row r="78" spans="2:21" ht="30" customHeight="1" x14ac:dyDescent="0.2">
      <c r="B78" s="1854" t="s">
        <v>2678</v>
      </c>
      <c r="C78" s="2292">
        <f>'13'!C347</f>
        <v>18475.697187050573</v>
      </c>
      <c r="D78" s="2293">
        <f t="shared" si="18"/>
        <v>6.7190649061069932E-2</v>
      </c>
      <c r="E78" s="2508"/>
      <c r="F78" s="539"/>
      <c r="G78" s="416">
        <f>G77/SUM(G77:H77)</f>
        <v>0.15307931959606041</v>
      </c>
      <c r="H78" s="416">
        <f>H77/SUM(G77:H77)</f>
        <v>0.84692068040393953</v>
      </c>
      <c r="J78" s="81" t="s">
        <v>2684</v>
      </c>
      <c r="K78" s="91">
        <v>0</v>
      </c>
      <c r="L78" s="502">
        <v>340451.19945870899</v>
      </c>
      <c r="M78" s="91">
        <f t="shared" si="19"/>
        <v>340451.19945870899</v>
      </c>
      <c r="N78" s="416">
        <f t="shared" si="20"/>
        <v>0.18953062404970961</v>
      </c>
      <c r="P78" s="1614">
        <f>K78/'13'!$C$339</f>
        <v>0</v>
      </c>
    </row>
    <row r="79" spans="2:21" ht="30" customHeight="1" x14ac:dyDescent="0.2">
      <c r="B79" s="1854" t="s">
        <v>2679</v>
      </c>
      <c r="C79" s="2292">
        <f>D61*'ANNEXE A'!$C$259/1000</f>
        <v>16535.157767372693</v>
      </c>
      <c r="D79" s="2293">
        <f t="shared" si="18"/>
        <v>6.0133480835335255E-2</v>
      </c>
      <c r="E79"/>
      <c r="F79" s="539"/>
      <c r="J79" s="81" t="s">
        <v>2683</v>
      </c>
      <c r="K79" s="91">
        <f>C80</f>
        <v>28530.351143768563</v>
      </c>
      <c r="L79" s="502">
        <v>266982.18960593198</v>
      </c>
      <c r="M79" s="91">
        <f t="shared" si="19"/>
        <v>295512.54074970057</v>
      </c>
      <c r="N79" s="416">
        <f t="shared" si="20"/>
        <v>0.16451308249715507</v>
      </c>
      <c r="P79" s="1614">
        <f>K79/'13'!$C$339</f>
        <v>29.082926752057659</v>
      </c>
    </row>
    <row r="80" spans="2:21" ht="30" customHeight="1" x14ac:dyDescent="0.2">
      <c r="B80" s="1854" t="s">
        <v>2691</v>
      </c>
      <c r="C80" s="2292">
        <f>D62*'ANNEXE A'!$C$259/1000</f>
        <v>28530.351143768563</v>
      </c>
      <c r="D80" s="2293">
        <f t="shared" si="18"/>
        <v>0.10375645324137674</v>
      </c>
      <c r="E80"/>
      <c r="F80" s="539"/>
      <c r="J80" s="81" t="s">
        <v>8</v>
      </c>
      <c r="K80" s="91">
        <f>C81</f>
        <v>19825.202452546786</v>
      </c>
      <c r="L80" s="502">
        <v>174145.429230879</v>
      </c>
      <c r="M80" s="91">
        <f t="shared" si="19"/>
        <v>193970.6316834258</v>
      </c>
      <c r="N80" s="416">
        <f t="shared" si="20"/>
        <v>0.10798427183903885</v>
      </c>
      <c r="P80" s="1614">
        <f>K80/'13'!$C$339</f>
        <v>20.209176811974299</v>
      </c>
      <c r="T80" s="220"/>
    </row>
    <row r="81" spans="2:24" ht="30" customHeight="1" x14ac:dyDescent="0.2">
      <c r="B81" s="1854" t="s">
        <v>8</v>
      </c>
      <c r="C81" s="2292">
        <f>D63*'ANNEXE A'!$C$259/1000</f>
        <v>19825.202452546786</v>
      </c>
      <c r="D81" s="2293">
        <f t="shared" si="18"/>
        <v>7.2098400783888517E-2</v>
      </c>
      <c r="E81"/>
      <c r="F81" s="539"/>
      <c r="J81" s="81" t="s">
        <v>2613</v>
      </c>
      <c r="K81" s="91">
        <f>C83</f>
        <v>6738.4204900730629</v>
      </c>
      <c r="L81" s="502">
        <v>85650.661806401302</v>
      </c>
      <c r="M81" s="91">
        <f t="shared" si="19"/>
        <v>92389.082296474371</v>
      </c>
      <c r="N81" s="416">
        <f t="shared" si="20"/>
        <v>5.1433393246583352E-2</v>
      </c>
      <c r="P81" s="1614">
        <f>K81/'13'!$C$339</f>
        <v>6.8689301631733564</v>
      </c>
      <c r="T81" s="220"/>
    </row>
    <row r="82" spans="2:24" ht="30" customHeight="1" x14ac:dyDescent="0.2">
      <c r="B82" s="1854" t="s">
        <v>9</v>
      </c>
      <c r="C82" s="2292">
        <f>D64*'ANNEXE A'!$C$259/1000</f>
        <v>7949.9255918273366</v>
      </c>
      <c r="D82" s="2293">
        <f t="shared" si="18"/>
        <v>2.8911529296793029E-2</v>
      </c>
      <c r="E82"/>
      <c r="F82" s="539"/>
      <c r="J82" s="81" t="s">
        <v>12</v>
      </c>
      <c r="K82" s="91">
        <f>C85</f>
        <v>2130.9369391388641</v>
      </c>
      <c r="L82" s="502">
        <v>16974.1934874418</v>
      </c>
      <c r="M82" s="91">
        <f t="shared" si="19"/>
        <v>19105.130426580665</v>
      </c>
      <c r="N82" s="416">
        <f t="shared" si="20"/>
        <v>1.0635906990658424E-2</v>
      </c>
      <c r="P82" s="1614">
        <f>K82/'13'!$C$339</f>
        <v>2.1722089083984342</v>
      </c>
    </row>
    <row r="83" spans="2:24" ht="30" customHeight="1" x14ac:dyDescent="0.2">
      <c r="B83" s="1854" t="s">
        <v>2709</v>
      </c>
      <c r="C83" s="2292">
        <f>D65*'ANNEXE A'!$C$259/1000</f>
        <v>6738.4204900730629</v>
      </c>
      <c r="D83" s="2293">
        <f t="shared" si="18"/>
        <v>2.4505643375220289E-2</v>
      </c>
      <c r="E83"/>
      <c r="F83" s="539"/>
      <c r="J83" s="81" t="s">
        <v>11</v>
      </c>
      <c r="K83" s="91">
        <f>C84+C82</f>
        <v>10600.212663336506</v>
      </c>
      <c r="L83" s="502">
        <v>0</v>
      </c>
      <c r="M83" s="91">
        <f t="shared" si="19"/>
        <v>10600.212663336506</v>
      </c>
      <c r="N83" s="416">
        <f t="shared" si="20"/>
        <v>5.9011832660189178E-3</v>
      </c>
      <c r="P83" s="1614">
        <f>K83/'13'!$C$339</f>
        <v>10.805517495755867</v>
      </c>
    </row>
    <row r="84" spans="2:24" ht="30" customHeight="1" x14ac:dyDescent="0.2">
      <c r="B84" s="1854" t="s">
        <v>11</v>
      </c>
      <c r="C84" s="2292">
        <f>D66*'ANNEXE A'!$C$259/1000</f>
        <v>2650.287071509169</v>
      </c>
      <c r="D84" s="2293">
        <f t="shared" si="18"/>
        <v>9.6383106266579154E-3</v>
      </c>
      <c r="E84"/>
      <c r="F84" s="539"/>
      <c r="J84" s="7" t="s">
        <v>198</v>
      </c>
      <c r="K84" s="352">
        <f>SUM(K77:K83)</f>
        <v>274974.23295104527</v>
      </c>
      <c r="L84" s="352">
        <f>SUM(L77:L83)</f>
        <v>1521311.7296246721</v>
      </c>
      <c r="M84" s="352">
        <f>SUM(M77:M83)</f>
        <v>1796285.9625757171</v>
      </c>
      <c r="N84" s="482">
        <f>SUM(N77:N83)</f>
        <v>1.0000000000000002</v>
      </c>
      <c r="O84"/>
      <c r="P84" s="2375">
        <f>K84/'13'!$C$339</f>
        <v>280.29993165244167</v>
      </c>
    </row>
    <row r="85" spans="2:24" ht="30" customHeight="1" x14ac:dyDescent="0.2">
      <c r="B85" s="1854" t="s">
        <v>12</v>
      </c>
      <c r="C85" s="2292">
        <f>D67*'ANNEXE A'!$C$259/1000</f>
        <v>2130.9369391388641</v>
      </c>
      <c r="D85" s="2293">
        <f t="shared" si="18"/>
        <v>7.7495877205274108E-3</v>
      </c>
    </row>
    <row r="86" spans="2:24" ht="30" customHeight="1" thickBot="1" x14ac:dyDescent="0.25">
      <c r="B86" s="1857" t="s">
        <v>13</v>
      </c>
      <c r="C86" s="2294">
        <f>(SUM(C77:C85))</f>
        <v>274974.23295104527</v>
      </c>
      <c r="D86" s="2340">
        <f>SUM(D77:D85)</f>
        <v>1.0000000000000002</v>
      </c>
      <c r="E86" s="2390"/>
      <c r="L86" s="539"/>
    </row>
    <row r="87" spans="2:24" ht="24" customHeight="1" x14ac:dyDescent="0.2">
      <c r="B87" s="3"/>
    </row>
    <row r="88" spans="2:24" ht="24" customHeight="1" x14ac:dyDescent="0.2">
      <c r="B88" s="3" t="s">
        <v>14</v>
      </c>
      <c r="D88" s="286"/>
    </row>
    <row r="89" spans="2:24" ht="24" customHeight="1" x14ac:dyDescent="0.2">
      <c r="B89" s="3"/>
    </row>
    <row r="90" spans="2:24" ht="24" customHeight="1" x14ac:dyDescent="0.2"/>
    <row r="91" spans="2:24" ht="24" customHeight="1" x14ac:dyDescent="0.2">
      <c r="B91" s="2176" t="s">
        <v>2642</v>
      </c>
      <c r="J91" s="2176" t="s">
        <v>2642</v>
      </c>
      <c r="S91" s="2176"/>
      <c r="T91" s="55"/>
      <c r="U91" s="55"/>
    </row>
    <row r="92" spans="2:24" ht="24" customHeight="1" thickBot="1" x14ac:dyDescent="0.25">
      <c r="S92" s="118"/>
      <c r="T92" s="55"/>
      <c r="U92" s="55"/>
    </row>
    <row r="93" spans="2:24" ht="39" customHeight="1" thickBot="1" x14ac:dyDescent="0.25">
      <c r="B93" s="1886" t="s">
        <v>6</v>
      </c>
      <c r="C93" s="1887" t="s">
        <v>1317</v>
      </c>
      <c r="D93" s="1883" t="s">
        <v>1337</v>
      </c>
      <c r="E93" s="287"/>
      <c r="G93" s="74" t="s">
        <v>2611</v>
      </c>
      <c r="H93" s="73" t="s">
        <v>2610</v>
      </c>
      <c r="J93" s="60" t="s">
        <v>6</v>
      </c>
      <c r="K93" s="60" t="s">
        <v>2612</v>
      </c>
      <c r="L93" s="60" t="s">
        <v>2614</v>
      </c>
      <c r="M93" s="60" t="s">
        <v>13</v>
      </c>
      <c r="N93" s="60" t="s">
        <v>922</v>
      </c>
      <c r="P93" s="530" t="s">
        <v>2687</v>
      </c>
      <c r="S93" s="55"/>
      <c r="T93" s="1193"/>
      <c r="U93" s="91" t="s">
        <v>2705</v>
      </c>
      <c r="V93" s="91" t="s">
        <v>2706</v>
      </c>
      <c r="W93" s="91" t="s">
        <v>198</v>
      </c>
      <c r="X93" s="1193"/>
    </row>
    <row r="94" spans="2:24" ht="31" customHeight="1" x14ac:dyDescent="0.2">
      <c r="B94" s="1852" t="s">
        <v>2677</v>
      </c>
      <c r="C94" s="2292">
        <f>'16'!D352</f>
        <v>128848.5902556237</v>
      </c>
      <c r="D94" s="2293">
        <f t="shared" ref="D94:D102" si="21">C94/$C$103</f>
        <v>0.75207501546128352</v>
      </c>
      <c r="G94" s="314">
        <f>C103</f>
        <v>171324.12007676481</v>
      </c>
      <c r="H94" s="314">
        <f>L101</f>
        <v>220099.83208405814</v>
      </c>
      <c r="J94" s="81" t="s">
        <v>2680</v>
      </c>
      <c r="K94" s="91">
        <f>C94+C95+C96</f>
        <v>148017.19396255026</v>
      </c>
      <c r="L94" s="502">
        <f>54743.9951975131+38501.849451034</f>
        <v>93245.844648547092</v>
      </c>
      <c r="M94" s="91">
        <f>SUM(K94:L94)</f>
        <v>241263.03861109735</v>
      </c>
      <c r="N94" s="416">
        <f t="shared" ref="N94:N100" si="22">M94/$M$101</f>
        <v>0.61637270095308438</v>
      </c>
      <c r="P94" s="1614">
        <f>K94/'13'!$E$339</f>
        <v>311.6151451843163</v>
      </c>
      <c r="S94" s="286"/>
      <c r="T94" s="1193" t="s">
        <v>742</v>
      </c>
      <c r="U94" s="1193">
        <v>64690.09214503791</v>
      </c>
      <c r="V94" s="1193">
        <v>104.29101952364654</v>
      </c>
      <c r="W94" s="2306">
        <v>0.2837337733637792</v>
      </c>
      <c r="X94" s="2306">
        <f>$N$94*W94</f>
        <v>0.1748857522398429</v>
      </c>
    </row>
    <row r="95" spans="2:24" ht="31" customHeight="1" x14ac:dyDescent="0.2">
      <c r="B95" s="1854" t="s">
        <v>2678</v>
      </c>
      <c r="C95" s="2292">
        <f>'13'!E347</f>
        <v>13486.583838611725</v>
      </c>
      <c r="D95" s="2293">
        <f t="shared" si="21"/>
        <v>7.8719702938318439E-2</v>
      </c>
      <c r="G95" s="416">
        <f>G94/SUM(G94:H94)</f>
        <v>0.43769452311485912</v>
      </c>
      <c r="H95" s="416">
        <f>H94/SUM(G94:H94)</f>
        <v>0.56230547688514099</v>
      </c>
      <c r="J95" s="81" t="s">
        <v>2684</v>
      </c>
      <c r="K95" s="91">
        <v>0</v>
      </c>
      <c r="L95" s="502">
        <v>47271.476667133298</v>
      </c>
      <c r="M95" s="91">
        <f>SUM(K95:L95)</f>
        <v>47271.476667133298</v>
      </c>
      <c r="N95" s="416">
        <f t="shared" si="22"/>
        <v>0.12076797141865001</v>
      </c>
      <c r="P95" s="1614">
        <f>K95/'13'!$E$339</f>
        <v>0</v>
      </c>
      <c r="S95" s="118"/>
      <c r="T95" s="1193" t="s">
        <v>748</v>
      </c>
      <c r="U95" s="1193">
        <v>64877.938694165394</v>
      </c>
      <c r="V95" s="1193">
        <v>87370.913845041054</v>
      </c>
      <c r="W95" s="2306">
        <v>0.66669577379172118</v>
      </c>
      <c r="X95" s="2306">
        <f>$N$94*W95</f>
        <v>0.41093307480600977</v>
      </c>
    </row>
    <row r="96" spans="2:24" ht="31" customHeight="1" x14ac:dyDescent="0.2">
      <c r="B96" s="1854" t="s">
        <v>2664</v>
      </c>
      <c r="C96" s="2292">
        <f>D61*'ANNEXE A'!$C$271/1000</f>
        <v>5682.0198683148556</v>
      </c>
      <c r="D96" s="2293">
        <f t="shared" si="21"/>
        <v>3.3165323515269921E-2</v>
      </c>
      <c r="J96" s="81" t="s">
        <v>2683</v>
      </c>
      <c r="K96" s="91">
        <f>C97</f>
        <v>9803.9598006599772</v>
      </c>
      <c r="L96" s="502">
        <v>39074.972510697698</v>
      </c>
      <c r="M96" s="91">
        <f t="shared" ref="M96:M100" si="23">SUM(K96:L96)</f>
        <v>48878.932311357676</v>
      </c>
      <c r="N96" s="416">
        <f t="shared" si="22"/>
        <v>0.12487465838900672</v>
      </c>
      <c r="P96" s="1614">
        <f>K96/'13'!$E$339</f>
        <v>20.639915369810478</v>
      </c>
      <c r="S96" s="55"/>
      <c r="T96" s="1193" t="s">
        <v>921</v>
      </c>
      <c r="U96" s="1193">
        <v>6484.6632325667324</v>
      </c>
      <c r="V96" s="1193">
        <v>4835.4093734156977</v>
      </c>
      <c r="W96" s="2306">
        <v>4.95704528444997E-2</v>
      </c>
      <c r="X96" s="2306">
        <f>$N$94*W96</f>
        <v>3.0553873907231785E-2</v>
      </c>
    </row>
    <row r="97" spans="1:24" ht="31" customHeight="1" x14ac:dyDescent="0.2">
      <c r="B97" s="1854" t="s">
        <v>2683</v>
      </c>
      <c r="C97" s="2292">
        <f>D62*'ANNEXE A'!$C$271/1000</f>
        <v>9803.9598006599772</v>
      </c>
      <c r="D97" s="2293">
        <f t="shared" si="21"/>
        <v>5.7224632446774795E-2</v>
      </c>
      <c r="J97" s="81" t="s">
        <v>8</v>
      </c>
      <c r="K97" s="91">
        <f>C98</f>
        <v>6812.5865996278308</v>
      </c>
      <c r="L97" s="502">
        <v>25487.5722987517</v>
      </c>
      <c r="M97" s="91">
        <f t="shared" si="23"/>
        <v>32300.15889837953</v>
      </c>
      <c r="N97" s="416">
        <f t="shared" si="22"/>
        <v>8.251962793811983E-2</v>
      </c>
      <c r="P97" s="1614">
        <f>K97/'13'!$E$339</f>
        <v>14.342287578163853</v>
      </c>
      <c r="T97" s="1193" t="s">
        <v>198</v>
      </c>
      <c r="U97" s="1193">
        <v>136052.69407177003</v>
      </c>
      <c r="V97" s="1193">
        <v>92310.614237980393</v>
      </c>
      <c r="W97" s="2306">
        <v>1</v>
      </c>
      <c r="X97" s="2306"/>
    </row>
    <row r="98" spans="1:24" ht="31" customHeight="1" x14ac:dyDescent="0.2">
      <c r="B98" s="1854" t="s">
        <v>8</v>
      </c>
      <c r="C98" s="2292">
        <f>D63*'ANNEXE A'!$C$271/1000</f>
        <v>6812.5865996278308</v>
      </c>
      <c r="D98" s="2293">
        <f t="shared" si="21"/>
        <v>3.9764316878296707E-2</v>
      </c>
      <c r="J98" s="81" t="s">
        <v>2613</v>
      </c>
      <c r="K98" s="91">
        <f>C100</f>
        <v>2315.54120283055</v>
      </c>
      <c r="L98" s="502">
        <v>12535.657380547</v>
      </c>
      <c r="M98" s="91">
        <f t="shared" si="23"/>
        <v>14851.198583377551</v>
      </c>
      <c r="N98" s="416">
        <f t="shared" si="22"/>
        <v>3.7941466027801206E-2</v>
      </c>
      <c r="P98" s="1614">
        <f>K98/'13'!$E$339</f>
        <v>4.8748235849064212</v>
      </c>
      <c r="S98" s="328"/>
      <c r="T98" s="55"/>
      <c r="U98" s="55"/>
    </row>
    <row r="99" spans="1:24" ht="31" customHeight="1" x14ac:dyDescent="0.2">
      <c r="B99" s="1854" t="s">
        <v>9</v>
      </c>
      <c r="C99" s="2292">
        <f>D64*'ANNEXE A'!$C$271/1000</f>
        <v>2731.8538957953401</v>
      </c>
      <c r="D99" s="2293">
        <f t="shared" si="21"/>
        <v>1.5945529996425983E-2</v>
      </c>
      <c r="J99" s="81" t="s">
        <v>12</v>
      </c>
      <c r="K99" s="91">
        <f>C102</f>
        <v>732.25947987050529</v>
      </c>
      <c r="L99" s="502">
        <v>2484.3085783813399</v>
      </c>
      <c r="M99" s="91">
        <f t="shared" si="23"/>
        <v>3216.5680582518453</v>
      </c>
      <c r="N99" s="416">
        <f t="shared" si="22"/>
        <v>8.2176066142479326E-3</v>
      </c>
      <c r="P99" s="1614">
        <f>K99/'13'!$E$339</f>
        <v>1.5415989049905374</v>
      </c>
      <c r="S99" s="55"/>
      <c r="T99" s="55"/>
      <c r="U99" s="55"/>
    </row>
    <row r="100" spans="1:24" ht="31" customHeight="1" x14ac:dyDescent="0.2">
      <c r="B100" s="1854" t="s">
        <v>10</v>
      </c>
      <c r="C100" s="2292">
        <f>D65*'ANNEXE A'!$C$271/1000</f>
        <v>2315.54120283055</v>
      </c>
      <c r="D100" s="2293">
        <f t="shared" si="21"/>
        <v>1.3515558707046215E-2</v>
      </c>
      <c r="J100" s="81" t="s">
        <v>11</v>
      </c>
      <c r="K100" s="91">
        <f>C101+C99</f>
        <v>3642.5790312257141</v>
      </c>
      <c r="L100" s="502">
        <v>0</v>
      </c>
      <c r="M100" s="91">
        <f t="shared" si="23"/>
        <v>3642.5790312257141</v>
      </c>
      <c r="N100" s="416">
        <f t="shared" si="22"/>
        <v>9.3059686590898777E-3</v>
      </c>
      <c r="P100" s="1614">
        <f>K100/'13'!$E$339</f>
        <v>7.6685874341593978</v>
      </c>
      <c r="S100" s="55"/>
      <c r="T100" s="55"/>
      <c r="U100" s="55"/>
    </row>
    <row r="101" spans="1:24" ht="31" customHeight="1" x14ac:dyDescent="0.2">
      <c r="B101" s="1854" t="s">
        <v>11</v>
      </c>
      <c r="C101" s="2292">
        <f>D66*'ANNEXE A'!$C$271/1000</f>
        <v>910.72513543037383</v>
      </c>
      <c r="D101" s="2293">
        <f t="shared" si="21"/>
        <v>5.315802205914189E-3</v>
      </c>
      <c r="J101" s="7" t="s">
        <v>198</v>
      </c>
      <c r="K101" s="352">
        <f>SUM(K94:K100)</f>
        <v>171324.12007676481</v>
      </c>
      <c r="L101" s="352">
        <f>SUM(L94:L100)</f>
        <v>220099.83208405814</v>
      </c>
      <c r="M101" s="352">
        <f>SUM(M94:M100)</f>
        <v>391423.95216082298</v>
      </c>
      <c r="N101" s="482">
        <f>SUM(N94:N100)</f>
        <v>1</v>
      </c>
      <c r="P101" s="2375">
        <f>K101/'13'!$E$339</f>
        <v>360.68235805634697</v>
      </c>
    </row>
    <row r="102" spans="1:24" ht="31" customHeight="1" x14ac:dyDescent="0.2">
      <c r="B102" s="1854" t="s">
        <v>12</v>
      </c>
      <c r="C102" s="2292">
        <f>D67*'ANNEXE A'!$C$271/1000</f>
        <v>732.25947987050529</v>
      </c>
      <c r="D102" s="2293">
        <f t="shared" si="21"/>
        <v>4.2741178506704334E-3</v>
      </c>
    </row>
    <row r="103" spans="1:24" ht="31" customHeight="1" thickBot="1" x14ac:dyDescent="0.25">
      <c r="B103" s="1857" t="s">
        <v>13</v>
      </c>
      <c r="C103" s="2294">
        <f>(SUM(C94:C102))</f>
        <v>171324.12007676481</v>
      </c>
      <c r="D103" s="2340">
        <f>SUM(D94:D102)</f>
        <v>1.0000000000000002</v>
      </c>
    </row>
    <row r="104" spans="1:24" ht="24" customHeight="1" x14ac:dyDescent="0.2"/>
    <row r="105" spans="1:24" ht="24" customHeight="1" x14ac:dyDescent="0.2">
      <c r="B105" s="3" t="s">
        <v>14</v>
      </c>
    </row>
    <row r="106" spans="1:24" ht="24" customHeight="1" x14ac:dyDescent="0.2">
      <c r="B106" s="3"/>
    </row>
    <row r="107" spans="1:24" ht="24" customHeight="1" x14ac:dyDescent="0.2">
      <c r="B107" s="3"/>
    </row>
    <row r="108" spans="1:24" ht="24" customHeight="1" x14ac:dyDescent="0.2">
      <c r="B108" s="3"/>
    </row>
    <row r="109" spans="1:24" ht="24" customHeight="1" x14ac:dyDescent="0.2">
      <c r="B109" s="3"/>
    </row>
    <row r="110" spans="1:24" ht="24" customHeight="1" x14ac:dyDescent="0.2">
      <c r="B110" s="3"/>
    </row>
    <row r="111" spans="1:24" ht="24" customHeight="1" x14ac:dyDescent="0.2">
      <c r="B111" s="3"/>
    </row>
    <row r="112" spans="1:24" s="2031" customFormat="1" ht="52" customHeight="1" x14ac:dyDescent="0.2">
      <c r="A112" s="2409" t="s">
        <v>2596</v>
      </c>
    </row>
    <row r="113" spans="2:8" ht="24" customHeight="1" x14ac:dyDescent="0.2">
      <c r="B113" s="4"/>
      <c r="C113" s="55"/>
      <c r="D113" s="55"/>
      <c r="E113" s="55"/>
      <c r="F113" s="55"/>
      <c r="G113" s="55"/>
      <c r="H113" s="55"/>
    </row>
    <row r="114" spans="2:8" ht="24" customHeight="1" x14ac:dyDescent="0.2">
      <c r="B114" s="1683" t="s">
        <v>2001</v>
      </c>
      <c r="C114" s="55"/>
      <c r="D114" s="55"/>
      <c r="E114" s="55"/>
      <c r="F114" s="55"/>
      <c r="G114" s="55"/>
      <c r="H114" s="55"/>
    </row>
    <row r="115" spans="2:8" ht="24" customHeight="1" thickBot="1" x14ac:dyDescent="0.25">
      <c r="B115" s="4"/>
      <c r="C115" s="55"/>
      <c r="D115" s="55"/>
      <c r="E115" s="55"/>
      <c r="F115" s="55"/>
      <c r="G115" s="55"/>
    </row>
    <row r="116" spans="2:8" ht="34" customHeight="1" thickBot="1" x14ac:dyDescent="0.25">
      <c r="B116" s="1844"/>
      <c r="C116" s="1845" t="s">
        <v>1318</v>
      </c>
      <c r="D116" s="1846" t="s">
        <v>1321</v>
      </c>
      <c r="E116" s="1847"/>
      <c r="G116"/>
    </row>
    <row r="117" spans="2:8" ht="44" customHeight="1" thickBot="1" x14ac:dyDescent="0.25">
      <c r="B117" s="1848" t="s">
        <v>6</v>
      </c>
      <c r="C117" s="1849" t="s">
        <v>1317</v>
      </c>
      <c r="D117" s="1850" t="s">
        <v>1319</v>
      </c>
      <c r="E117" s="1851" t="s">
        <v>1320</v>
      </c>
      <c r="G117"/>
      <c r="H117"/>
    </row>
    <row r="118" spans="2:8" ht="24" customHeight="1" x14ac:dyDescent="0.2">
      <c r="B118" s="2084" t="s">
        <v>2677</v>
      </c>
      <c r="C118" s="2085">
        <f>'16'!$C$6</f>
        <v>300986.84456338198</v>
      </c>
      <c r="D118" s="2085">
        <f>'Fiche levier - 16'!$C$8</f>
        <v>44845.896697971082</v>
      </c>
      <c r="E118" s="2086">
        <f t="shared" ref="E118:E127" si="24">(D118-C118)/C118</f>
        <v>-0.85100379797985681</v>
      </c>
      <c r="G118" s="287"/>
      <c r="H118"/>
    </row>
    <row r="119" spans="2:8" ht="24" customHeight="1" x14ac:dyDescent="0.2">
      <c r="B119" s="2087" t="s">
        <v>2683</v>
      </c>
      <c r="C119" s="2088">
        <f>'10.1 Stade'!$C$5+'10.2 SI'!$C$5+'10.3 Autres'!$C$5</f>
        <v>37174.362064717621</v>
      </c>
      <c r="D119" s="2088">
        <f>'Fiche levier - 10.1'!$C$7</f>
        <v>20492.639117873874</v>
      </c>
      <c r="E119" s="2089">
        <f t="shared" si="24"/>
        <v>-0.44874268233042408</v>
      </c>
      <c r="G119" s="287"/>
      <c r="H119"/>
    </row>
    <row r="120" spans="2:8" ht="24" customHeight="1" x14ac:dyDescent="0.2">
      <c r="B120" s="2087" t="s">
        <v>2678</v>
      </c>
      <c r="C120" s="2088">
        <f>'13'!$C$5</f>
        <v>31962.281025662298</v>
      </c>
      <c r="D120" s="2090">
        <f>'Fiche levier - 13'!$C$8</f>
        <v>1891.2859790039242</v>
      </c>
      <c r="E120" s="2089">
        <f t="shared" si="24"/>
        <v>-0.94082756554560598</v>
      </c>
      <c r="G120" s="287"/>
      <c r="H120"/>
    </row>
    <row r="121" spans="2:8" ht="24" customHeight="1" x14ac:dyDescent="0.2">
      <c r="B121" s="2087" t="s">
        <v>9</v>
      </c>
      <c r="C121" s="2088">
        <f>'23'!$C$5</f>
        <v>10358.562039735099</v>
      </c>
      <c r="D121" s="2088">
        <f>$C$188*(1-82%)</f>
        <v>1864.5411671523184</v>
      </c>
      <c r="E121" s="2091">
        <f t="shared" si="24"/>
        <v>-0.82</v>
      </c>
      <c r="G121" s="287"/>
      <c r="H121"/>
    </row>
    <row r="122" spans="2:8" ht="24" customHeight="1" x14ac:dyDescent="0.2">
      <c r="B122" s="2087" t="s">
        <v>8</v>
      </c>
      <c r="C122" s="2088">
        <f>'9.1 Alimentaire'!$C$5</f>
        <v>25831.762471604598</v>
      </c>
      <c r="D122" s="2090">
        <f>'Fiche levier - 9.1'!$C$7</f>
        <v>9140</v>
      </c>
      <c r="E122" s="2089">
        <f t="shared" si="24"/>
        <v>-0.64617203297502102</v>
      </c>
      <c r="G122" s="287"/>
      <c r="H122"/>
    </row>
    <row r="123" spans="2:8" ht="24" customHeight="1" x14ac:dyDescent="0.2">
      <c r="B123" s="2087" t="s">
        <v>2664</v>
      </c>
      <c r="C123" s="2088">
        <f>'22'!$C$5</f>
        <v>21544.913294058635</v>
      </c>
      <c r="D123" s="2090">
        <f>'Fiche levier - 22'!$C$7</f>
        <v>1938.5607461808454</v>
      </c>
      <c r="E123" s="2089">
        <f t="shared" si="24"/>
        <v>-0.91002234635516321</v>
      </c>
      <c r="G123" s="287"/>
      <c r="H123"/>
    </row>
    <row r="124" spans="2:8" ht="24" customHeight="1" x14ac:dyDescent="0.2">
      <c r="B124" s="2087" t="s">
        <v>10</v>
      </c>
      <c r="C124" s="2088">
        <f>'Fiche levier - 1 + 6 + 7'!$C$6</f>
        <v>8780</v>
      </c>
      <c r="D124" s="2090">
        <f>'Fiche levier - 1 + 6 + 7'!$C$7</f>
        <v>460</v>
      </c>
      <c r="E124" s="2089">
        <f t="shared" si="24"/>
        <v>-0.94760820045558092</v>
      </c>
      <c r="G124" s="287"/>
      <c r="H124"/>
    </row>
    <row r="125" spans="2:8" ht="24" customHeight="1" x14ac:dyDescent="0.2">
      <c r="B125" s="2087" t="s">
        <v>2172</v>
      </c>
      <c r="C125" s="2088">
        <f>'9.2 Divers'!$C$5+'2'!$C$6</f>
        <v>3453.2603778779912</v>
      </c>
      <c r="D125" s="2088">
        <f>('9.2 Divers'!$C$5+'2'!$C$6)*(1-80%)</f>
        <v>690.65207557559813</v>
      </c>
      <c r="E125" s="2091">
        <f t="shared" si="24"/>
        <v>-0.8</v>
      </c>
      <c r="G125" s="287"/>
    </row>
    <row r="126" spans="2:8" ht="24" customHeight="1" x14ac:dyDescent="0.2">
      <c r="B126" s="2087" t="s">
        <v>12</v>
      </c>
      <c r="C126" s="2088">
        <f>'11'!$C$5</f>
        <v>2776.5596334039947</v>
      </c>
      <c r="D126" s="2088">
        <f>'Fiche levier - 11'!$C$7</f>
        <v>1128.9776831160559</v>
      </c>
      <c r="E126" s="2091">
        <f t="shared" si="24"/>
        <v>-0.59338972247033761</v>
      </c>
      <c r="G126" s="287"/>
    </row>
    <row r="127" spans="2:8" ht="24" customHeight="1" thickBot="1" x14ac:dyDescent="0.25">
      <c r="B127" s="2092" t="s">
        <v>13</v>
      </c>
      <c r="C127" s="2093">
        <f>(SUM(C118:C126))</f>
        <v>442868.54547044227</v>
      </c>
      <c r="D127" s="2093">
        <f>SUM(D118:D126)</f>
        <v>82452.55346687368</v>
      </c>
      <c r="E127" s="2094">
        <f t="shared" si="24"/>
        <v>-0.813821608443003</v>
      </c>
      <c r="G127" s="287"/>
    </row>
    <row r="128" spans="2:8" ht="24" customHeight="1" x14ac:dyDescent="0.2"/>
    <row r="129" spans="2:7" ht="23" customHeight="1" x14ac:dyDescent="0.2">
      <c r="B129" s="2267" t="s">
        <v>2644</v>
      </c>
      <c r="C129" s="2100"/>
      <c r="D129" s="2100"/>
      <c r="E129" s="2100"/>
    </row>
    <row r="130" spans="2:7" ht="23" customHeight="1" x14ac:dyDescent="0.2">
      <c r="B130" s="2100"/>
      <c r="C130" s="2100"/>
      <c r="D130" s="2100"/>
      <c r="E130" s="2100"/>
    </row>
    <row r="131" spans="2:7" ht="23" customHeight="1" x14ac:dyDescent="0.2"/>
    <row r="132" spans="2:7" ht="23" customHeight="1" thickBot="1" x14ac:dyDescent="0.25">
      <c r="B132" s="55"/>
      <c r="C132" s="55"/>
      <c r="D132" s="55"/>
      <c r="E132" s="55"/>
      <c r="F132" s="346"/>
    </row>
    <row r="133" spans="2:7" ht="23" customHeight="1" thickBot="1" x14ac:dyDescent="0.25">
      <c r="B133" s="1859"/>
      <c r="C133" s="1860" t="s">
        <v>1322</v>
      </c>
      <c r="D133" s="1861" t="s">
        <v>1323</v>
      </c>
      <c r="E133" s="1844"/>
      <c r="F133" s="1844"/>
    </row>
    <row r="134" spans="2:7" ht="23" customHeight="1" x14ac:dyDescent="0.2">
      <c r="B134" s="1862" t="s">
        <v>1324</v>
      </c>
      <c r="C134" s="1863"/>
      <c r="D134" s="1864">
        <f>C127</f>
        <v>442868.54547044227</v>
      </c>
      <c r="E134" s="1844"/>
      <c r="F134" s="1844"/>
    </row>
    <row r="135" spans="2:7" ht="23" customHeight="1" x14ac:dyDescent="0.2">
      <c r="B135" s="1865" t="s">
        <v>2667</v>
      </c>
      <c r="C135" s="1866">
        <f>D134-D135</f>
        <v>186727.59760503139</v>
      </c>
      <c r="D135" s="1867">
        <f>C118-D118</f>
        <v>256140.94786541088</v>
      </c>
      <c r="E135" s="1844"/>
      <c r="F135" s="1844"/>
    </row>
    <row r="136" spans="2:7" ht="23" customHeight="1" x14ac:dyDescent="0.2">
      <c r="B136" s="1865" t="s">
        <v>1326</v>
      </c>
      <c r="C136" s="1866">
        <f>C135-D136</f>
        <v>156656.60255837301</v>
      </c>
      <c r="D136" s="1867">
        <f>C120-D120</f>
        <v>30070.995046658372</v>
      </c>
      <c r="E136" s="1844"/>
      <c r="F136" s="1844"/>
    </row>
    <row r="137" spans="2:7" ht="23" customHeight="1" x14ac:dyDescent="0.2">
      <c r="B137" s="1865" t="s">
        <v>2664</v>
      </c>
      <c r="C137" s="1866">
        <f>C136-D137</f>
        <v>137050.25001049522</v>
      </c>
      <c r="D137" s="1867">
        <f>C123-D123</f>
        <v>19606.352547877788</v>
      </c>
      <c r="E137" s="1844"/>
      <c r="F137" s="2303"/>
    </row>
    <row r="138" spans="2:7" ht="23" customHeight="1" x14ac:dyDescent="0.2">
      <c r="B138" s="1865" t="s">
        <v>1325</v>
      </c>
      <c r="C138" s="1866">
        <f>C137-D138</f>
        <v>120368.52706365148</v>
      </c>
      <c r="D138" s="1867">
        <f>C119-D119</f>
        <v>16681.722946843747</v>
      </c>
      <c r="E138" s="1844"/>
      <c r="F138" s="1844"/>
    </row>
    <row r="139" spans="2:7" ht="23" customHeight="1" x14ac:dyDescent="0.2">
      <c r="B139" s="1865" t="s">
        <v>1327</v>
      </c>
      <c r="C139" s="1866">
        <f t="shared" ref="C139:C143" si="25">C138-D139</f>
        <v>103676.76459204688</v>
      </c>
      <c r="D139" s="1867">
        <f>C122-D122</f>
        <v>16691.762471604598</v>
      </c>
      <c r="E139" s="1844"/>
      <c r="F139" s="1844"/>
    </row>
    <row r="140" spans="2:7" ht="23" customHeight="1" x14ac:dyDescent="0.2">
      <c r="B140" s="1865" t="s">
        <v>1328</v>
      </c>
      <c r="C140" s="1866">
        <f t="shared" si="25"/>
        <v>95356.764592046879</v>
      </c>
      <c r="D140" s="1867">
        <f>C124-D124</f>
        <v>8320</v>
      </c>
      <c r="E140" s="1844"/>
      <c r="F140" s="1844"/>
    </row>
    <row r="141" spans="2:7" ht="23" customHeight="1" x14ac:dyDescent="0.2">
      <c r="B141" s="1865" t="s">
        <v>1329</v>
      </c>
      <c r="C141" s="1866">
        <f t="shared" si="25"/>
        <v>86862.743719464095</v>
      </c>
      <c r="D141" s="1867">
        <f>C121-D121</f>
        <v>8494.0208725827815</v>
      </c>
      <c r="E141" s="1868"/>
      <c r="F141" s="1844"/>
    </row>
    <row r="142" spans="2:7" ht="23" customHeight="1" x14ac:dyDescent="0.2">
      <c r="B142" s="1865" t="s">
        <v>1330</v>
      </c>
      <c r="C142" s="1866">
        <f t="shared" si="25"/>
        <v>84100.135417161699</v>
      </c>
      <c r="D142" s="1867">
        <f>C125-D125</f>
        <v>2762.608302302393</v>
      </c>
      <c r="E142" s="1844"/>
      <c r="F142" s="1844"/>
    </row>
    <row r="143" spans="2:7" ht="23" customHeight="1" thickBot="1" x14ac:dyDescent="0.25">
      <c r="B143" s="1869" t="s">
        <v>1331</v>
      </c>
      <c r="C143" s="1870">
        <f t="shared" si="25"/>
        <v>82452.553466873753</v>
      </c>
      <c r="D143" s="1871">
        <f>C126-D126</f>
        <v>1647.5819502879388</v>
      </c>
      <c r="E143" s="1844"/>
      <c r="F143" s="1844"/>
    </row>
    <row r="144" spans="2:7" ht="23" customHeight="1" thickBot="1" x14ac:dyDescent="0.25">
      <c r="B144" s="1872" t="s">
        <v>1332</v>
      </c>
      <c r="C144" s="1873"/>
      <c r="D144" s="1874">
        <f>SUM(D134)-SUM(D135:D143)</f>
        <v>82452.553466873767</v>
      </c>
      <c r="E144" s="1875" t="s">
        <v>1333</v>
      </c>
      <c r="F144" s="1876">
        <f>(D144-D134)/D134</f>
        <v>-0.81382160844300289</v>
      </c>
      <c r="G144" s="2491"/>
    </row>
    <row r="145" spans="2:9" ht="24" customHeight="1" thickBot="1" x14ac:dyDescent="0.25">
      <c r="B145" s="1847"/>
      <c r="C145" s="1847"/>
      <c r="D145" s="1847">
        <f>D134/D144</f>
        <v>5.3711926053129408</v>
      </c>
      <c r="E145" s="1877" t="s">
        <v>2619</v>
      </c>
      <c r="F145" s="1878">
        <v>-0.83</v>
      </c>
    </row>
    <row r="146" spans="2:9" ht="24" customHeight="1" x14ac:dyDescent="0.2"/>
    <row r="147" spans="2:9" ht="24" customHeight="1" x14ac:dyDescent="0.2">
      <c r="B147" s="1683" t="s">
        <v>2003</v>
      </c>
      <c r="C147" s="55"/>
      <c r="D147" s="55"/>
      <c r="E147" s="55"/>
      <c r="F147" s="55"/>
      <c r="G147" s="55"/>
      <c r="H147" s="55"/>
    </row>
    <row r="148" spans="2:9" ht="36" customHeight="1" thickBot="1" x14ac:dyDescent="0.25">
      <c r="B148" s="4"/>
      <c r="C148" s="55"/>
      <c r="D148" s="55"/>
      <c r="E148" s="55"/>
      <c r="F148" s="55"/>
      <c r="G148" s="55"/>
      <c r="H148" s="55"/>
    </row>
    <row r="149" spans="2:9" ht="31" customHeight="1" thickBot="1" x14ac:dyDescent="0.25">
      <c r="B149" s="1844"/>
      <c r="C149" s="1879" t="s">
        <v>1318</v>
      </c>
      <c r="D149" s="1880" t="s">
        <v>1321</v>
      </c>
      <c r="E149" s="1847"/>
      <c r="H149"/>
    </row>
    <row r="150" spans="2:9" ht="39" customHeight="1" x14ac:dyDescent="0.2">
      <c r="B150" s="1848" t="s">
        <v>6</v>
      </c>
      <c r="C150" s="1881" t="s">
        <v>1317</v>
      </c>
      <c r="D150" s="1881" t="s">
        <v>1319</v>
      </c>
      <c r="E150" s="1882" t="s">
        <v>1320</v>
      </c>
      <c r="H150"/>
      <c r="I150"/>
    </row>
    <row r="151" spans="2:9" ht="21" customHeight="1" x14ac:dyDescent="0.2">
      <c r="B151" s="2087" t="s">
        <v>2677</v>
      </c>
      <c r="C151" s="2090">
        <f>'16'!$C$6</f>
        <v>300986.84456338198</v>
      </c>
      <c r="D151" s="2090">
        <f>'Fiche levier - 16'!$E$8</f>
        <v>103217.79500997849</v>
      </c>
      <c r="E151" s="2089">
        <f t="shared" ref="E151:E160" si="26">(D151-C151)/C151</f>
        <v>-0.65706874943418725</v>
      </c>
      <c r="H151" s="287"/>
      <c r="I151"/>
    </row>
    <row r="152" spans="2:9" ht="21" customHeight="1" x14ac:dyDescent="0.2">
      <c r="B152" s="2087" t="s">
        <v>2683</v>
      </c>
      <c r="C152" s="2088">
        <f>'10.1 Stade'!$C$5+'10.2 SI'!$C$5+'10.3 Autres'!$C$5</f>
        <v>37174.362064717621</v>
      </c>
      <c r="D152" s="2088">
        <f>'Fiche levier - 10.1'!$C$7</f>
        <v>20492.639117873874</v>
      </c>
      <c r="E152" s="2091">
        <f t="shared" si="26"/>
        <v>-0.44874268233042408</v>
      </c>
      <c r="H152" s="287"/>
      <c r="I152"/>
    </row>
    <row r="153" spans="2:9" ht="21" customHeight="1" x14ac:dyDescent="0.2">
      <c r="B153" s="2087" t="s">
        <v>2678</v>
      </c>
      <c r="C153" s="2088">
        <f>'13'!$C$5</f>
        <v>31962.281025662298</v>
      </c>
      <c r="D153" s="2090">
        <f>'Fiche levier - 13'!$E$8</f>
        <v>4601.3328407898016</v>
      </c>
      <c r="E153" s="2089">
        <f t="shared" si="26"/>
        <v>-0.85603865890874864</v>
      </c>
      <c r="H153" s="287"/>
      <c r="I153"/>
    </row>
    <row r="154" spans="2:9" ht="21" customHeight="1" x14ac:dyDescent="0.2">
      <c r="B154" s="2087" t="s">
        <v>9</v>
      </c>
      <c r="C154" s="2088">
        <f>'23'!$C$5</f>
        <v>10358.562039735099</v>
      </c>
      <c r="D154" s="2088">
        <f>$C$188*(1-82%)</f>
        <v>1864.5411671523184</v>
      </c>
      <c r="E154" s="2091">
        <f t="shared" si="26"/>
        <v>-0.82</v>
      </c>
      <c r="H154" s="287"/>
      <c r="I154"/>
    </row>
    <row r="155" spans="2:9" ht="21" customHeight="1" x14ac:dyDescent="0.2">
      <c r="B155" s="2087" t="s">
        <v>8</v>
      </c>
      <c r="C155" s="2088">
        <f>'9.1 Alimentaire'!$C$5</f>
        <v>25831.762471604598</v>
      </c>
      <c r="D155" s="2090">
        <f>'Fiche levier - 9.1'!$C$7</f>
        <v>9140</v>
      </c>
      <c r="E155" s="2089">
        <f t="shared" si="26"/>
        <v>-0.64617203297502102</v>
      </c>
      <c r="H155" s="287"/>
      <c r="I155"/>
    </row>
    <row r="156" spans="2:9" ht="21" customHeight="1" x14ac:dyDescent="0.2">
      <c r="B156" s="2087" t="s">
        <v>2664</v>
      </c>
      <c r="C156" s="2088">
        <f>'22'!$C$5</f>
        <v>21544.913294058635</v>
      </c>
      <c r="D156" s="2090">
        <f>'Fiche levier - 22'!$C$7</f>
        <v>1938.5607461808454</v>
      </c>
      <c r="E156" s="2089">
        <f t="shared" si="26"/>
        <v>-0.91002234635516321</v>
      </c>
      <c r="H156" s="287"/>
      <c r="I156"/>
    </row>
    <row r="157" spans="2:9" ht="21" customHeight="1" x14ac:dyDescent="0.2">
      <c r="B157" s="2087" t="s">
        <v>10</v>
      </c>
      <c r="C157" s="2088">
        <f>'Fiche levier - 1 + 6 + 7'!$C$6</f>
        <v>8780</v>
      </c>
      <c r="D157" s="2090">
        <f>'Fiche levier - 1 + 6 + 7'!$C$7</f>
        <v>460</v>
      </c>
      <c r="E157" s="2089">
        <f t="shared" si="26"/>
        <v>-0.94760820045558092</v>
      </c>
      <c r="H157" s="287"/>
      <c r="I157"/>
    </row>
    <row r="158" spans="2:9" ht="21" customHeight="1" x14ac:dyDescent="0.2">
      <c r="B158" s="2087" t="s">
        <v>2172</v>
      </c>
      <c r="C158" s="2088">
        <f>'9.2 Divers'!$C$5+'2'!$C$6</f>
        <v>3453.2603778779912</v>
      </c>
      <c r="D158" s="2088">
        <f>('9.2 Divers'!$C$5+'2'!$C$6)*(1-80%)</f>
        <v>690.65207557559813</v>
      </c>
      <c r="E158" s="2095">
        <f t="shared" si="26"/>
        <v>-0.8</v>
      </c>
      <c r="H158" s="287"/>
    </row>
    <row r="159" spans="2:9" ht="21" customHeight="1" x14ac:dyDescent="0.2">
      <c r="B159" s="2096" t="s">
        <v>12</v>
      </c>
      <c r="C159" s="2097">
        <f>'11'!$C$5</f>
        <v>2776.5596334039947</v>
      </c>
      <c r="D159" s="2098">
        <f>'Fiche levier - 11'!$C$7</f>
        <v>1128.9776831160559</v>
      </c>
      <c r="E159" s="2095">
        <f t="shared" si="26"/>
        <v>-0.59338972247033761</v>
      </c>
      <c r="H159" s="287"/>
    </row>
    <row r="160" spans="2:9" ht="21" customHeight="1" thickBot="1" x14ac:dyDescent="0.25">
      <c r="B160" s="2092" t="s">
        <v>13</v>
      </c>
      <c r="C160" s="2093">
        <f>(SUM(C151:C159))</f>
        <v>442868.54547044227</v>
      </c>
      <c r="D160" s="2093">
        <f>SUM(D151:D159)</f>
        <v>143534.49864066698</v>
      </c>
      <c r="E160" s="2094">
        <f t="shared" si="26"/>
        <v>-0.67589818669963175</v>
      </c>
      <c r="F160" s="287"/>
      <c r="H160" s="287"/>
    </row>
    <row r="161" spans="2:31" ht="21" customHeight="1" x14ac:dyDescent="0.2"/>
    <row r="162" spans="2:31" ht="21" customHeight="1" x14ac:dyDescent="0.2">
      <c r="B162" s="2267" t="s">
        <v>2644</v>
      </c>
      <c r="C162" s="2100"/>
      <c r="D162" s="2100"/>
      <c r="E162" s="2100"/>
    </row>
    <row r="163" spans="2:31" ht="21" customHeight="1" x14ac:dyDescent="0.2">
      <c r="B163" s="2100"/>
      <c r="C163" s="2100"/>
      <c r="D163" s="2100"/>
      <c r="E163" s="2100"/>
    </row>
    <row r="164" spans="2:31" ht="21" customHeight="1" x14ac:dyDescent="0.2">
      <c r="P164" s="1940"/>
      <c r="AE164" s="1940"/>
    </row>
    <row r="165" spans="2:31" ht="21" customHeight="1" thickBot="1" x14ac:dyDescent="0.25">
      <c r="F165" s="286"/>
    </row>
    <row r="166" spans="2:31" ht="21" customHeight="1" thickBot="1" x14ac:dyDescent="0.25">
      <c r="B166" s="1859"/>
      <c r="C166" s="1860" t="s">
        <v>1322</v>
      </c>
      <c r="D166" s="1861" t="s">
        <v>1323</v>
      </c>
      <c r="E166" s="1844"/>
      <c r="F166" s="1844"/>
      <c r="P166" s="1859"/>
      <c r="Q166" s="1860" t="s">
        <v>1322</v>
      </c>
      <c r="R166" s="1861" t="s">
        <v>1323</v>
      </c>
      <c r="S166" s="1844"/>
      <c r="T166" s="1844"/>
      <c r="V166" s="1933"/>
      <c r="W166" s="1934" t="s">
        <v>1322</v>
      </c>
      <c r="X166" s="1935" t="s">
        <v>1323</v>
      </c>
      <c r="Y166" s="1844"/>
      <c r="Z166" s="1844"/>
    </row>
    <row r="167" spans="2:31" ht="21" customHeight="1" x14ac:dyDescent="0.2">
      <c r="B167" s="1862" t="s">
        <v>1324</v>
      </c>
      <c r="C167" s="1863"/>
      <c r="D167" s="1864">
        <f>C160</f>
        <v>442868.54547044227</v>
      </c>
      <c r="E167" s="1844"/>
      <c r="F167" s="1844"/>
      <c r="P167" s="1929" t="s">
        <v>1324</v>
      </c>
      <c r="Q167" s="1853">
        <f t="shared" ref="Q167:Q176" si="27">C167</f>
        <v>0</v>
      </c>
      <c r="R167" s="1930">
        <f t="shared" ref="R167:R176" si="28">D167</f>
        <v>442868.54547044227</v>
      </c>
      <c r="S167" s="1844"/>
      <c r="T167" s="1844"/>
      <c r="V167" s="1929" t="s">
        <v>1324</v>
      </c>
      <c r="W167" s="1853">
        <f>Q167</f>
        <v>0</v>
      </c>
      <c r="X167" s="1930">
        <f>R167</f>
        <v>442868.54547044227</v>
      </c>
      <c r="Z167" s="1844"/>
    </row>
    <row r="168" spans="2:31" ht="21" customHeight="1" x14ac:dyDescent="0.2">
      <c r="B168" s="1865" t="s">
        <v>2667</v>
      </c>
      <c r="C168" s="1866">
        <f>D167-D168</f>
        <v>245099.49591703879</v>
      </c>
      <c r="D168" s="1867">
        <f>C151-D151</f>
        <v>197769.04955340349</v>
      </c>
      <c r="E168" s="1844"/>
      <c r="F168" s="1844"/>
      <c r="P168" s="1865" t="s">
        <v>2667</v>
      </c>
      <c r="Q168" s="1856">
        <f t="shared" si="27"/>
        <v>245099.49591703879</v>
      </c>
      <c r="R168" s="1867">
        <f t="shared" si="28"/>
        <v>197769.04955340349</v>
      </c>
      <c r="S168" s="1844"/>
      <c r="T168" s="1844"/>
      <c r="V168" s="1865" t="s">
        <v>1325</v>
      </c>
      <c r="W168" s="1856">
        <f>X167-X168</f>
        <v>426186.8225235985</v>
      </c>
      <c r="X168" s="1867">
        <f t="shared" ref="X168:X173" si="29">R171</f>
        <v>16681.722946843747</v>
      </c>
      <c r="Y168" s="443">
        <f>X168/$X$167</f>
        <v>3.7667436799159876E-2</v>
      </c>
      <c r="Z168" s="1844"/>
    </row>
    <row r="169" spans="2:31" ht="21" customHeight="1" x14ac:dyDescent="0.2">
      <c r="B169" s="1865" t="s">
        <v>1326</v>
      </c>
      <c r="C169" s="1866">
        <f>C168-D169</f>
        <v>217738.54773216631</v>
      </c>
      <c r="D169" s="1867">
        <f>C153-D153</f>
        <v>27360.948184872497</v>
      </c>
      <c r="E169" s="1844"/>
      <c r="F169" s="1844"/>
      <c r="P169" s="1865" t="s">
        <v>1326</v>
      </c>
      <c r="Q169" s="1856">
        <f t="shared" si="27"/>
        <v>217738.54773216631</v>
      </c>
      <c r="R169" s="1867">
        <f t="shared" si="28"/>
        <v>27360.948184872497</v>
      </c>
      <c r="S169" s="1844"/>
      <c r="T169" s="1844"/>
      <c r="V169" s="1865" t="s">
        <v>1327</v>
      </c>
      <c r="W169" s="1856">
        <f t="shared" ref="W169:W177" si="30">W168-X169</f>
        <v>409495.06005199393</v>
      </c>
      <c r="X169" s="1867">
        <f t="shared" si="29"/>
        <v>16691.762471604598</v>
      </c>
      <c r="Y169" s="443">
        <f t="shared" ref="Y169:Y177" si="31">X169/$X$167</f>
        <v>3.7690106110095441E-2</v>
      </c>
      <c r="Z169" s="1844"/>
    </row>
    <row r="170" spans="2:31" ht="21" customHeight="1" x14ac:dyDescent="0.2">
      <c r="B170" s="1865" t="s">
        <v>2664</v>
      </c>
      <c r="C170" s="1866">
        <f>C169-D170</f>
        <v>198132.19518428852</v>
      </c>
      <c r="D170" s="1867">
        <f>C156-D156</f>
        <v>19606.352547877788</v>
      </c>
      <c r="E170" s="1844"/>
      <c r="F170" s="1844"/>
      <c r="P170" s="1865" t="s">
        <v>2664</v>
      </c>
      <c r="Q170" s="1856">
        <f t="shared" si="27"/>
        <v>198132.19518428852</v>
      </c>
      <c r="R170" s="1867">
        <f t="shared" si="28"/>
        <v>19606.352547877788</v>
      </c>
      <c r="S170" s="1844"/>
      <c r="T170" s="1844"/>
      <c r="V170" s="1865" t="s">
        <v>1328</v>
      </c>
      <c r="W170" s="1856">
        <f t="shared" si="30"/>
        <v>401175.06005199393</v>
      </c>
      <c r="X170" s="1867">
        <f t="shared" si="29"/>
        <v>8320</v>
      </c>
      <c r="Y170" s="443">
        <f t="shared" si="31"/>
        <v>1.878661305955243E-2</v>
      </c>
      <c r="Z170" s="1844"/>
    </row>
    <row r="171" spans="2:31" ht="21" customHeight="1" x14ac:dyDescent="0.2">
      <c r="B171" s="1865" t="s">
        <v>1325</v>
      </c>
      <c r="C171" s="1866">
        <f t="shared" ref="C171:C175" si="32">C170-D171</f>
        <v>181450.47223744477</v>
      </c>
      <c r="D171" s="1867">
        <f>C152-D152</f>
        <v>16681.722946843747</v>
      </c>
      <c r="E171" s="1844"/>
      <c r="F171" s="1844"/>
      <c r="P171" s="1865" t="s">
        <v>1325</v>
      </c>
      <c r="Q171" s="1856">
        <f t="shared" si="27"/>
        <v>181450.47223744477</v>
      </c>
      <c r="R171" s="1867">
        <f t="shared" si="28"/>
        <v>16681.722946843747</v>
      </c>
      <c r="S171" s="1844"/>
      <c r="T171" s="1844"/>
      <c r="V171" s="1865" t="s">
        <v>1329</v>
      </c>
      <c r="W171" s="1856">
        <f t="shared" si="30"/>
        <v>392681.03917941113</v>
      </c>
      <c r="X171" s="1867">
        <f t="shared" si="29"/>
        <v>8494.0208725827815</v>
      </c>
      <c r="Y171" s="443">
        <f t="shared" si="31"/>
        <v>1.917955329963637E-2</v>
      </c>
      <c r="Z171" s="1844"/>
    </row>
    <row r="172" spans="2:31" ht="21" customHeight="1" x14ac:dyDescent="0.2">
      <c r="B172" s="1865" t="s">
        <v>1327</v>
      </c>
      <c r="C172" s="1866">
        <f t="shared" si="32"/>
        <v>164758.70976584018</v>
      </c>
      <c r="D172" s="1867">
        <f>C155-D155</f>
        <v>16691.762471604598</v>
      </c>
      <c r="E172" s="1844"/>
      <c r="F172" s="1844"/>
      <c r="P172" s="1865" t="s">
        <v>1327</v>
      </c>
      <c r="Q172" s="1856">
        <f t="shared" si="27"/>
        <v>164758.70976584018</v>
      </c>
      <c r="R172" s="1867">
        <f t="shared" si="28"/>
        <v>16691.762471604598</v>
      </c>
      <c r="S172" s="1844"/>
      <c r="T172" s="1844"/>
      <c r="V172" s="1865" t="s">
        <v>1330</v>
      </c>
      <c r="W172" s="1856">
        <f t="shared" si="30"/>
        <v>389918.43087710877</v>
      </c>
      <c r="X172" s="1867">
        <f t="shared" si="29"/>
        <v>2762.608302302393</v>
      </c>
      <c r="Y172" s="443">
        <f t="shared" si="31"/>
        <v>6.2379871647190027E-3</v>
      </c>
      <c r="Z172" s="1844"/>
    </row>
    <row r="173" spans="2:31" ht="21" customHeight="1" x14ac:dyDescent="0.2">
      <c r="B173" s="1865" t="s">
        <v>1328</v>
      </c>
      <c r="C173" s="1866">
        <f t="shared" si="32"/>
        <v>156438.70976584018</v>
      </c>
      <c r="D173" s="1867">
        <f>C157-D157</f>
        <v>8320</v>
      </c>
      <c r="E173" s="1844"/>
      <c r="F173" s="1844"/>
      <c r="P173" s="1865" t="s">
        <v>1328</v>
      </c>
      <c r="Q173" s="1856">
        <f t="shared" si="27"/>
        <v>156438.70976584018</v>
      </c>
      <c r="R173" s="1867">
        <f t="shared" si="28"/>
        <v>8320</v>
      </c>
      <c r="S173" s="1844"/>
      <c r="T173" s="1844"/>
      <c r="V173" s="1865" t="s">
        <v>1331</v>
      </c>
      <c r="W173" s="1856">
        <f t="shared" si="30"/>
        <v>388270.84892682085</v>
      </c>
      <c r="X173" s="1867">
        <f t="shared" si="29"/>
        <v>1647.5819502879388</v>
      </c>
      <c r="Y173" s="443">
        <f t="shared" si="31"/>
        <v>3.7202505509570014E-3</v>
      </c>
      <c r="Z173" s="1844"/>
    </row>
    <row r="174" spans="2:31" ht="21" customHeight="1" x14ac:dyDescent="0.2">
      <c r="B174" s="1865" t="s">
        <v>1329</v>
      </c>
      <c r="C174" s="1866">
        <f t="shared" si="32"/>
        <v>147944.68889325741</v>
      </c>
      <c r="D174" s="1867">
        <f>C154-D154</f>
        <v>8494.0208725827815</v>
      </c>
      <c r="E174" s="1868"/>
      <c r="F174" s="1844"/>
      <c r="P174" s="1865" t="s">
        <v>1329</v>
      </c>
      <c r="Q174" s="1856">
        <f t="shared" si="27"/>
        <v>147944.68889325741</v>
      </c>
      <c r="R174" s="1867">
        <f t="shared" si="28"/>
        <v>8494.0208725827815</v>
      </c>
      <c r="S174" s="1868"/>
      <c r="T174" s="1844"/>
      <c r="V174" s="1865" t="s">
        <v>2664</v>
      </c>
      <c r="W174" s="1856">
        <f t="shared" si="30"/>
        <v>368664.49637894309</v>
      </c>
      <c r="X174" s="1867">
        <f>R170</f>
        <v>19606.352547877788</v>
      </c>
      <c r="Y174" s="443">
        <f t="shared" si="31"/>
        <v>4.427126908968148E-2</v>
      </c>
      <c r="Z174" s="1844"/>
    </row>
    <row r="175" spans="2:31" ht="21" customHeight="1" x14ac:dyDescent="0.2">
      <c r="B175" s="1865" t="s">
        <v>1330</v>
      </c>
      <c r="C175" s="1866">
        <f t="shared" si="32"/>
        <v>145182.08059095501</v>
      </c>
      <c r="D175" s="1867">
        <f>C158-D158</f>
        <v>2762.608302302393</v>
      </c>
      <c r="E175" s="1844"/>
      <c r="F175" s="1844"/>
      <c r="P175" s="1865" t="s">
        <v>1330</v>
      </c>
      <c r="Q175" s="1856">
        <f t="shared" si="27"/>
        <v>145182.08059095501</v>
      </c>
      <c r="R175" s="1867">
        <f t="shared" si="28"/>
        <v>2762.608302302393</v>
      </c>
      <c r="S175" s="1844"/>
      <c r="T175" s="1844"/>
      <c r="V175" s="1865" t="s">
        <v>1326</v>
      </c>
      <c r="W175" s="1856">
        <f t="shared" si="30"/>
        <v>341303.54819407058</v>
      </c>
      <c r="X175" s="1867">
        <f>R169</f>
        <v>27360.948184872497</v>
      </c>
      <c r="Y175" s="443">
        <f t="shared" si="31"/>
        <v>6.1781195491786421E-2</v>
      </c>
      <c r="Z175" s="1844"/>
    </row>
    <row r="176" spans="2:31" ht="21" customHeight="1" thickBot="1" x14ac:dyDescent="0.25">
      <c r="B176" s="1869" t="s">
        <v>1331</v>
      </c>
      <c r="C176" s="1870">
        <f>C175-D176</f>
        <v>143534.49864066707</v>
      </c>
      <c r="D176" s="1871">
        <f>C159-D159</f>
        <v>1647.5819502879388</v>
      </c>
      <c r="E176" s="1844"/>
      <c r="F176" s="1844"/>
      <c r="P176" s="1865" t="s">
        <v>1331</v>
      </c>
      <c r="Q176" s="1856">
        <f t="shared" si="27"/>
        <v>143534.49864066707</v>
      </c>
      <c r="R176" s="1867">
        <f t="shared" si="28"/>
        <v>1647.5819502879388</v>
      </c>
      <c r="S176" s="1844"/>
      <c r="T176" s="1844"/>
      <c r="V176" s="1865" t="s">
        <v>2667</v>
      </c>
      <c r="W176" s="1856">
        <f t="shared" si="30"/>
        <v>143534.49864066709</v>
      </c>
      <c r="X176" s="1867">
        <f>R168</f>
        <v>197769.04955340349</v>
      </c>
      <c r="Y176" s="443">
        <f t="shared" si="31"/>
        <v>0.44656377513404344</v>
      </c>
      <c r="Z176" s="1844"/>
    </row>
    <row r="177" spans="2:26" ht="24" customHeight="1" thickBot="1" x14ac:dyDescent="0.25">
      <c r="B177" s="1872" t="s">
        <v>1332</v>
      </c>
      <c r="C177" s="1873"/>
      <c r="D177" s="1874">
        <f>SUM(D167)-SUM(D168:D176)</f>
        <v>143534.49864066712</v>
      </c>
      <c r="E177" s="1875" t="s">
        <v>1333</v>
      </c>
      <c r="F177" s="1876">
        <f>(D177-D167)/D167</f>
        <v>-0.67589818669963131</v>
      </c>
      <c r="G177" s="2491"/>
      <c r="P177" s="1869" t="s">
        <v>2032</v>
      </c>
      <c r="Q177" s="1870">
        <f>Q176-R177</f>
        <v>75287.652729975205</v>
      </c>
      <c r="R177" s="1931">
        <f>(Q176-R178)</f>
        <v>68246.84591069186</v>
      </c>
      <c r="V177" s="1937" t="s">
        <v>2690</v>
      </c>
      <c r="W177" s="1938">
        <f t="shared" si="30"/>
        <v>75287.652729975234</v>
      </c>
      <c r="X177" s="1939">
        <f>R177</f>
        <v>68246.84591069186</v>
      </c>
      <c r="Y177" s="443">
        <f t="shared" si="31"/>
        <v>0.15410181330036851</v>
      </c>
      <c r="Z177" s="539"/>
    </row>
    <row r="178" spans="2:26" ht="19" thickBot="1" x14ac:dyDescent="0.25">
      <c r="B178" s="1847"/>
      <c r="C178" s="1847"/>
      <c r="D178" s="1847">
        <f>D167/D177</f>
        <v>3.0854501855971641</v>
      </c>
      <c r="E178" s="1877" t="s">
        <v>2619</v>
      </c>
      <c r="F178" s="1878">
        <v>-0.83</v>
      </c>
      <c r="P178" s="1872" t="s">
        <v>2031</v>
      </c>
      <c r="Q178" s="1932"/>
      <c r="R178" s="1874">
        <f>R167*(1-83%)</f>
        <v>75287.652729975205</v>
      </c>
      <c r="S178" s="1875" t="s">
        <v>1333</v>
      </c>
      <c r="T178" s="1876">
        <f>(R178-R167)/R167</f>
        <v>-0.83000000000000007</v>
      </c>
      <c r="V178" s="1927" t="s">
        <v>2031</v>
      </c>
      <c r="W178" s="1936"/>
      <c r="X178" s="1928">
        <f>X167*(1-83%)</f>
        <v>75287.652729975205</v>
      </c>
      <c r="Y178" s="1875" t="s">
        <v>1333</v>
      </c>
      <c r="Z178" s="1876">
        <f>(X178-X167)/X167</f>
        <v>-0.83000000000000007</v>
      </c>
    </row>
    <row r="179" spans="2:26" ht="18" x14ac:dyDescent="0.2">
      <c r="P179" s="1847"/>
      <c r="Q179" s="1847"/>
      <c r="R179" s="1847"/>
      <c r="S179"/>
      <c r="T179"/>
      <c r="W179" s="2542"/>
    </row>
    <row r="181" spans="2:26" ht="23" x14ac:dyDescent="0.2">
      <c r="B181" s="1683" t="s">
        <v>2002</v>
      </c>
      <c r="C181" s="55"/>
      <c r="D181" s="55"/>
      <c r="E181" s="55"/>
      <c r="F181" s="55"/>
      <c r="G181" s="55"/>
      <c r="H181" s="55"/>
    </row>
    <row r="182" spans="2:26" ht="30" customHeight="1" thickBot="1" x14ac:dyDescent="0.25">
      <c r="B182" s="4"/>
      <c r="C182" s="55"/>
      <c r="D182" s="55"/>
      <c r="E182" s="55"/>
      <c r="F182" s="55"/>
      <c r="G182" s="55"/>
      <c r="H182" s="55"/>
    </row>
    <row r="183" spans="2:26" ht="35" customHeight="1" thickBot="1" x14ac:dyDescent="0.25">
      <c r="B183" s="1844"/>
      <c r="C183" s="1879" t="s">
        <v>1318</v>
      </c>
      <c r="D183" s="1880" t="s">
        <v>1321</v>
      </c>
      <c r="E183" s="1847"/>
      <c r="H183"/>
    </row>
    <row r="184" spans="2:26" ht="41" customHeight="1" x14ac:dyDescent="0.2">
      <c r="B184" s="1848" t="s">
        <v>6</v>
      </c>
      <c r="C184" s="1881" t="s">
        <v>1317</v>
      </c>
      <c r="D184" s="1881" t="s">
        <v>1319</v>
      </c>
      <c r="E184" s="1882" t="s">
        <v>1320</v>
      </c>
      <c r="H184"/>
      <c r="I184"/>
    </row>
    <row r="185" spans="2:26" ht="23" customHeight="1" x14ac:dyDescent="0.2">
      <c r="B185" s="2087" t="s">
        <v>2677</v>
      </c>
      <c r="C185" s="2088">
        <f>'16'!$C$6</f>
        <v>300986.84456338198</v>
      </c>
      <c r="D185" s="2090">
        <f>'Fiche levier - 16'!$G$8</f>
        <v>43827.462973191447</v>
      </c>
      <c r="E185" s="2089">
        <f t="shared" ref="E185:E194" si="33">(D185-C185)/C185</f>
        <v>-0.85438744661160015</v>
      </c>
      <c r="F185" s="286"/>
      <c r="H185" s="287"/>
      <c r="I185"/>
    </row>
    <row r="186" spans="2:26" ht="23" customHeight="1" x14ac:dyDescent="0.2">
      <c r="B186" s="2087" t="s">
        <v>2683</v>
      </c>
      <c r="C186" s="2088">
        <f>'10.1 Stade'!$C$5+'10.2 SI'!$C$5+'10.3 Autres'!$C$5</f>
        <v>37174.362064717621</v>
      </c>
      <c r="D186" s="2088">
        <f>'Fiche levier - 10.1'!$C$7</f>
        <v>20492.639117873874</v>
      </c>
      <c r="E186" s="2091">
        <f t="shared" si="33"/>
        <v>-0.44874268233042408</v>
      </c>
      <c r="H186" s="287"/>
      <c r="I186"/>
    </row>
    <row r="187" spans="2:26" ht="23" customHeight="1" x14ac:dyDescent="0.2">
      <c r="B187" s="2087" t="s">
        <v>2678</v>
      </c>
      <c r="C187" s="2088">
        <f>'13'!$C$5</f>
        <v>31962.281025662298</v>
      </c>
      <c r="D187" s="2090">
        <f>'Fiche levier - 13'!$G$8</f>
        <v>1463.3579311728706</v>
      </c>
      <c r="E187" s="2089">
        <f>(D187-C187)/C187</f>
        <v>-0.95421609834423415</v>
      </c>
      <c r="H187" s="287"/>
      <c r="I187"/>
    </row>
    <row r="188" spans="2:26" ht="23" customHeight="1" x14ac:dyDescent="0.2">
      <c r="B188" s="2087" t="s">
        <v>9</v>
      </c>
      <c r="C188" s="2088">
        <f>'23'!$C$5</f>
        <v>10358.562039735099</v>
      </c>
      <c r="D188" s="2088">
        <f>$C$188*(1-82%)</f>
        <v>1864.5411671523184</v>
      </c>
      <c r="E188" s="2091">
        <f>(D188-C188)/C188</f>
        <v>-0.82</v>
      </c>
      <c r="H188" s="287"/>
      <c r="I188"/>
    </row>
    <row r="189" spans="2:26" ht="23" customHeight="1" x14ac:dyDescent="0.2">
      <c r="B189" s="2087" t="s">
        <v>8</v>
      </c>
      <c r="C189" s="2088">
        <f>'9.1 Alimentaire'!$C$5</f>
        <v>25831.762471604598</v>
      </c>
      <c r="D189" s="2090">
        <f>'Fiche levier - 9.1'!$C$7</f>
        <v>9140</v>
      </c>
      <c r="E189" s="2089">
        <f t="shared" si="33"/>
        <v>-0.64617203297502102</v>
      </c>
      <c r="H189" s="287"/>
      <c r="I189"/>
    </row>
    <row r="190" spans="2:26" ht="23" customHeight="1" x14ac:dyDescent="0.2">
      <c r="B190" s="2087" t="s">
        <v>2664</v>
      </c>
      <c r="C190" s="2088">
        <f>'22'!$C$5</f>
        <v>21544.913294058635</v>
      </c>
      <c r="D190" s="2090">
        <f>'Fiche levier - 22'!$C$7</f>
        <v>1938.5607461808454</v>
      </c>
      <c r="E190" s="2089">
        <f t="shared" si="33"/>
        <v>-0.91002234635516321</v>
      </c>
      <c r="H190" s="287"/>
      <c r="I190"/>
    </row>
    <row r="191" spans="2:26" ht="23" customHeight="1" x14ac:dyDescent="0.2">
      <c r="B191" s="2087" t="s">
        <v>10</v>
      </c>
      <c r="C191" s="2088">
        <f>'Fiche levier - 1 + 6 + 7'!$C$6</f>
        <v>8780</v>
      </c>
      <c r="D191" s="2090">
        <f>'Fiche levier - 1 + 6 + 7'!$C$7</f>
        <v>460</v>
      </c>
      <c r="E191" s="2089">
        <f t="shared" si="33"/>
        <v>-0.94760820045558092</v>
      </c>
      <c r="H191" s="287"/>
      <c r="I191"/>
    </row>
    <row r="192" spans="2:26" ht="23" customHeight="1" x14ac:dyDescent="0.2">
      <c r="B192" s="2087" t="s">
        <v>2172</v>
      </c>
      <c r="C192" s="2088">
        <f>'9.2 Divers'!$C$5+'2'!$C$6</f>
        <v>3453.2603778779912</v>
      </c>
      <c r="D192" s="2088">
        <f>('9.2 Divers'!$C$5+'2'!$C$6)*(1-80%)</f>
        <v>690.65207557559813</v>
      </c>
      <c r="E192" s="2095">
        <f t="shared" si="33"/>
        <v>-0.8</v>
      </c>
      <c r="H192" s="287"/>
    </row>
    <row r="193" spans="2:8" ht="23" customHeight="1" x14ac:dyDescent="0.2">
      <c r="B193" s="2096" t="s">
        <v>12</v>
      </c>
      <c r="C193" s="2097">
        <f>'11'!$C$5</f>
        <v>2776.5596334039947</v>
      </c>
      <c r="D193" s="2098">
        <f>'Fiche levier - 11'!$C$7</f>
        <v>1128.9776831160559</v>
      </c>
      <c r="E193" s="2095">
        <f t="shared" si="33"/>
        <v>-0.59338972247033761</v>
      </c>
      <c r="H193" s="287"/>
    </row>
    <row r="194" spans="2:8" ht="23" customHeight="1" thickBot="1" x14ac:dyDescent="0.25">
      <c r="B194" s="2092" t="s">
        <v>13</v>
      </c>
      <c r="C194" s="2099">
        <f>(SUM(C185:C193))</f>
        <v>442868.54547044227</v>
      </c>
      <c r="D194" s="2093">
        <f>SUM(D185:D193)</f>
        <v>81006.19169426299</v>
      </c>
      <c r="E194" s="2094">
        <f t="shared" si="33"/>
        <v>-0.81708750254951334</v>
      </c>
      <c r="H194" s="287"/>
    </row>
    <row r="195" spans="2:8" ht="23" customHeight="1" x14ac:dyDescent="0.2"/>
    <row r="196" spans="2:8" ht="23" customHeight="1" x14ac:dyDescent="0.2">
      <c r="B196" s="2267" t="s">
        <v>2644</v>
      </c>
      <c r="C196" s="2100"/>
      <c r="D196" s="2100"/>
      <c r="E196" s="2100"/>
    </row>
    <row r="197" spans="2:8" ht="23" customHeight="1" x14ac:dyDescent="0.2">
      <c r="B197" s="2100"/>
      <c r="C197" s="2100"/>
      <c r="D197" s="2100"/>
      <c r="E197" s="2100"/>
    </row>
    <row r="198" spans="2:8" ht="23" customHeight="1" x14ac:dyDescent="0.2"/>
    <row r="199" spans="2:8" ht="23" customHeight="1" thickBot="1" x14ac:dyDescent="0.25">
      <c r="F199" s="286"/>
    </row>
    <row r="200" spans="2:8" ht="23" customHeight="1" thickBot="1" x14ac:dyDescent="0.25">
      <c r="B200" s="1859"/>
      <c r="C200" s="1860" t="s">
        <v>1322</v>
      </c>
      <c r="D200" s="1861" t="s">
        <v>1323</v>
      </c>
      <c r="E200" s="1844"/>
      <c r="F200" s="1844"/>
    </row>
    <row r="201" spans="2:8" ht="23" customHeight="1" x14ac:dyDescent="0.2">
      <c r="B201" s="1862" t="s">
        <v>1324</v>
      </c>
      <c r="C201" s="1863"/>
      <c r="D201" s="1864">
        <f>C194</f>
        <v>442868.54547044227</v>
      </c>
      <c r="E201" s="1844"/>
      <c r="F201" s="1844"/>
    </row>
    <row r="202" spans="2:8" ht="23" customHeight="1" x14ac:dyDescent="0.2">
      <c r="B202" s="1865" t="s">
        <v>2667</v>
      </c>
      <c r="C202" s="1866">
        <f>D201-D202</f>
        <v>185709.16388025176</v>
      </c>
      <c r="D202" s="1867">
        <f>C185-D185</f>
        <v>257159.38159019052</v>
      </c>
      <c r="E202" s="1844"/>
      <c r="F202" s="1844"/>
    </row>
    <row r="203" spans="2:8" ht="23" customHeight="1" x14ac:dyDescent="0.2">
      <c r="B203" s="1865" t="s">
        <v>1326</v>
      </c>
      <c r="C203" s="1866">
        <f>C202-D203</f>
        <v>155210.24078576232</v>
      </c>
      <c r="D203" s="1867">
        <f>C187-D187</f>
        <v>30498.923094489426</v>
      </c>
      <c r="E203" s="1844"/>
      <c r="F203" s="1844"/>
    </row>
    <row r="204" spans="2:8" ht="23" customHeight="1" x14ac:dyDescent="0.2">
      <c r="B204" s="1865" t="s">
        <v>2664</v>
      </c>
      <c r="C204" s="1866">
        <f>C203-D204</f>
        <v>135603.88823788453</v>
      </c>
      <c r="D204" s="1867">
        <f>C190-D190</f>
        <v>19606.352547877788</v>
      </c>
      <c r="E204" s="1844"/>
      <c r="F204" s="1844"/>
    </row>
    <row r="205" spans="2:8" ht="23" customHeight="1" x14ac:dyDescent="0.2">
      <c r="B205" s="1865" t="s">
        <v>1325</v>
      </c>
      <c r="C205" s="1866">
        <f t="shared" ref="C205:C210" si="34">C204-D205</f>
        <v>118922.16529104079</v>
      </c>
      <c r="D205" s="1867">
        <f>C186-D186</f>
        <v>16681.722946843747</v>
      </c>
      <c r="E205" s="1844"/>
      <c r="F205" s="1844"/>
    </row>
    <row r="206" spans="2:8" ht="23" customHeight="1" x14ac:dyDescent="0.2">
      <c r="B206" s="1865" t="s">
        <v>1327</v>
      </c>
      <c r="C206" s="1866">
        <f t="shared" si="34"/>
        <v>102230.40281943619</v>
      </c>
      <c r="D206" s="1867">
        <f>C189-D189</f>
        <v>16691.762471604598</v>
      </c>
      <c r="E206" s="1844"/>
      <c r="F206" s="1844"/>
    </row>
    <row r="207" spans="2:8" ht="23" customHeight="1" x14ac:dyDescent="0.2">
      <c r="B207" s="1865" t="s">
        <v>1328</v>
      </c>
      <c r="C207" s="1866">
        <f t="shared" si="34"/>
        <v>93910.402819436189</v>
      </c>
      <c r="D207" s="1867">
        <f>C191-D191</f>
        <v>8320</v>
      </c>
      <c r="E207" s="1844"/>
      <c r="F207" s="1844"/>
    </row>
    <row r="208" spans="2:8" ht="23" customHeight="1" x14ac:dyDescent="0.2">
      <c r="B208" s="1865" t="s">
        <v>1329</v>
      </c>
      <c r="C208" s="1866">
        <f t="shared" si="34"/>
        <v>85416.381946853406</v>
      </c>
      <c r="D208" s="1867">
        <f>C188-D188</f>
        <v>8494.0208725827815</v>
      </c>
      <c r="E208" s="1868"/>
      <c r="F208" s="1844"/>
    </row>
    <row r="209" spans="2:18" ht="23" customHeight="1" x14ac:dyDescent="0.2">
      <c r="B209" s="1865" t="s">
        <v>1330</v>
      </c>
      <c r="C209" s="1866">
        <f t="shared" si="34"/>
        <v>82653.773644551009</v>
      </c>
      <c r="D209" s="1867">
        <f>C192-D192</f>
        <v>2762.608302302393</v>
      </c>
      <c r="E209" s="1844"/>
      <c r="F209" s="1844"/>
    </row>
    <row r="210" spans="2:18" ht="23" customHeight="1" thickBot="1" x14ac:dyDescent="0.25">
      <c r="B210" s="1869" t="s">
        <v>1331</v>
      </c>
      <c r="C210" s="1870">
        <f t="shared" si="34"/>
        <v>81006.191694263063</v>
      </c>
      <c r="D210" s="1871">
        <f>C193-D193</f>
        <v>1647.5819502879388</v>
      </c>
      <c r="E210" s="1844"/>
      <c r="F210" s="1844"/>
    </row>
    <row r="211" spans="2:18" ht="22" customHeight="1" thickBot="1" x14ac:dyDescent="0.25">
      <c r="B211" s="1872" t="s">
        <v>1332</v>
      </c>
      <c r="C211" s="1873"/>
      <c r="D211" s="1874">
        <f>SUM(D201)-SUM(D202:D210)</f>
        <v>81006.191694263078</v>
      </c>
      <c r="E211" s="1875" t="s">
        <v>1333</v>
      </c>
      <c r="F211" s="1876">
        <f>(D211-D201)/D201</f>
        <v>-0.81708750254951323</v>
      </c>
      <c r="G211" s="2491"/>
    </row>
    <row r="212" spans="2:18" ht="22" customHeight="1" thickBot="1" x14ac:dyDescent="0.25">
      <c r="B212" s="1847"/>
      <c r="C212" s="1847"/>
      <c r="D212" s="1847"/>
      <c r="E212" s="1877" t="s">
        <v>2619</v>
      </c>
      <c r="F212" s="1878">
        <v>-0.83</v>
      </c>
    </row>
    <row r="213" spans="2:18" ht="22" customHeight="1" x14ac:dyDescent="0.2"/>
    <row r="214" spans="2:18" ht="22" customHeight="1" x14ac:dyDescent="0.2"/>
    <row r="215" spans="2:18" ht="22" customHeight="1" x14ac:dyDescent="0.2"/>
    <row r="216" spans="2:18" ht="22" customHeight="1" x14ac:dyDescent="0.2">
      <c r="F216" s="287"/>
    </row>
    <row r="217" spans="2:18" ht="22" customHeight="1" x14ac:dyDescent="0.2"/>
    <row r="218" spans="2:18" ht="22" customHeight="1" x14ac:dyDescent="0.2"/>
    <row r="219" spans="2:18" ht="22" customHeight="1" x14ac:dyDescent="0.2"/>
    <row r="220" spans="2:18" ht="23" x14ac:dyDescent="0.2">
      <c r="B220" s="1683" t="s">
        <v>2618</v>
      </c>
    </row>
    <row r="221" spans="2:18" ht="27" customHeight="1" thickBot="1" x14ac:dyDescent="0.25"/>
    <row r="222" spans="2:18" s="558" customFormat="1" ht="27" customHeight="1" x14ac:dyDescent="0.2">
      <c r="B222" s="2427"/>
      <c r="C222" s="2428">
        <v>2022</v>
      </c>
      <c r="D222" s="2428">
        <v>2024</v>
      </c>
      <c r="E222" s="2428">
        <v>2026</v>
      </c>
      <c r="F222" s="2428">
        <v>2028</v>
      </c>
      <c r="G222" s="2428">
        <v>2030</v>
      </c>
      <c r="H222" s="2428">
        <v>2032</v>
      </c>
      <c r="I222" s="2428">
        <v>2034</v>
      </c>
      <c r="J222" s="2428">
        <v>2036</v>
      </c>
      <c r="K222" s="2428">
        <v>2038</v>
      </c>
      <c r="L222" s="2428">
        <v>2040</v>
      </c>
      <c r="M222" s="2428">
        <v>2042</v>
      </c>
      <c r="N222" s="2428">
        <v>2044</v>
      </c>
      <c r="O222" s="2428">
        <v>2046</v>
      </c>
      <c r="P222" s="2428">
        <v>2048</v>
      </c>
      <c r="Q222" s="2428">
        <v>2050</v>
      </c>
      <c r="R222" s="2429" t="str">
        <f>E117</f>
        <v>Pourcentage de baisse</v>
      </c>
    </row>
    <row r="223" spans="2:18" ht="27" customHeight="1" x14ac:dyDescent="0.2">
      <c r="B223" s="2430" t="s">
        <v>2615</v>
      </c>
      <c r="C223" s="314">
        <f>C127</f>
        <v>442868.54547044227</v>
      </c>
      <c r="D223" s="314">
        <f>$C$223*($Q223/$C$223)^((D222-$C$222)/($Q$222-$C$222))</f>
        <v>392759.70650156529</v>
      </c>
      <c r="E223" s="314">
        <f>$C$223*($Q223/$C$223)^((E222-$C$222)/($Q$222-$C$222))</f>
        <v>348320.48613281181</v>
      </c>
      <c r="F223" s="314">
        <f t="shared" ref="F223:P223" si="35">$C$223*($Q$223/$C$223)^((F222-$C222)/($Q$222-$C$222))</f>
        <v>308909.38925608649</v>
      </c>
      <c r="G223" s="314">
        <f t="shared" si="35"/>
        <v>273957.50341880147</v>
      </c>
      <c r="H223" s="314">
        <f t="shared" si="35"/>
        <v>242960.28638107778</v>
      </c>
      <c r="I223" s="314">
        <f>$C$223*($Q$223/$C$223)^((I222-$C222)/($Q$222-$C$222))</f>
        <v>215470.28287864078</v>
      </c>
      <c r="J223" s="314">
        <f>$C$223*($Q$223/$C$223)^((J222-$C222)/($Q$222-$C$222))</f>
        <v>191090.66545542778</v>
      </c>
      <c r="K223" s="314">
        <f>$C$223*($Q$223/$C$223)^((K222-$C222)/($Q$222-$C$222))</f>
        <v>169469.50612565406</v>
      </c>
      <c r="L223" s="314">
        <f>$C$223*($Q$223/$C$223)^((L222-$C222)/($Q$222-$C$222))</f>
        <v>150294.69617484827</v>
      </c>
      <c r="M223" s="314">
        <f t="shared" si="35"/>
        <v>133289.44076547667</v>
      </c>
      <c r="N223" s="314">
        <f t="shared" si="35"/>
        <v>118208.26331027018</v>
      </c>
      <c r="O223" s="314">
        <f t="shared" si="35"/>
        <v>104833.46193503849</v>
      </c>
      <c r="P223" s="314">
        <f t="shared" si="35"/>
        <v>92971.966878819047</v>
      </c>
      <c r="Q223" s="314">
        <f>D127</f>
        <v>82452.55346687368</v>
      </c>
      <c r="R223" s="725">
        <f>E127</f>
        <v>-0.813821608443003</v>
      </c>
    </row>
    <row r="224" spans="2:18" ht="27" customHeight="1" x14ac:dyDescent="0.2">
      <c r="B224" s="2430" t="s">
        <v>2616</v>
      </c>
      <c r="C224" s="314">
        <f>C160</f>
        <v>442868.54547044227</v>
      </c>
      <c r="D224" s="314">
        <f>$C$224*($Q224/$C$224)^((D222-$C$222)/($Q$222-$C$222))</f>
        <v>408623.66205678857</v>
      </c>
      <c r="E224" s="314">
        <f t="shared" ref="E224:P224" si="36">$C$224*($Q224/$C$224)^((E222-$C$222)/($Q$222-$C$222))</f>
        <v>377026.76990828337</v>
      </c>
      <c r="F224" s="314">
        <f t="shared" si="36"/>
        <v>347873.11266306066</v>
      </c>
      <c r="G224" s="314">
        <f t="shared" si="36"/>
        <v>320973.76677874924</v>
      </c>
      <c r="H224" s="314">
        <f t="shared" si="36"/>
        <v>296154.41725709051</v>
      </c>
      <c r="I224" s="314">
        <f>$C$224*($Q224/$C$224)^((I222-$C$222)/($Q$222-$C$222))</f>
        <v>273254.22803585243</v>
      </c>
      <c r="J224" s="314">
        <f>$C$224*($Q224/$C$224)^((J222-$C$222)/($Q$222-$C$222))</f>
        <v>252124.79972787554</v>
      </c>
      <c r="K224" s="314">
        <f>$C$224*($Q224/$C$224)^((K222-$C$222)/($Q$222-$C$222))</f>
        <v>232629.20795311916</v>
      </c>
      <c r="L224" s="314">
        <f>$C$224*($Q224/$C$224)^((L222-$C$222)/($Q$222-$C$222))</f>
        <v>214641.11603184076</v>
      </c>
      <c r="M224" s="314">
        <f t="shared" si="36"/>
        <v>198043.95628892229</v>
      </c>
      <c r="N224" s="314">
        <f t="shared" si="36"/>
        <v>182730.17466397391</v>
      </c>
      <c r="O224" s="314">
        <f t="shared" si="36"/>
        <v>168600.53373208706</v>
      </c>
      <c r="P224" s="314">
        <f t="shared" si="36"/>
        <v>155563.46961862213</v>
      </c>
      <c r="Q224" s="314">
        <f>D160</f>
        <v>143534.49864066698</v>
      </c>
      <c r="R224" s="725">
        <f>E160</f>
        <v>-0.67589818669963175</v>
      </c>
    </row>
    <row r="225" spans="2:19" ht="27" customHeight="1" x14ac:dyDescent="0.2">
      <c r="B225" s="2430" t="s">
        <v>2617</v>
      </c>
      <c r="C225" s="314">
        <f>C194</f>
        <v>442868.54547044227</v>
      </c>
      <c r="D225" s="314">
        <f>$C$225*($Q225/$C$225)^((D222-$C$222)/($Q$222-$C$222))</f>
        <v>390217.64324568521</v>
      </c>
      <c r="E225" s="314">
        <f t="shared" ref="E225:P225" si="37">$C$225*($Q225/$C$225)^((E222-$C$222)/($Q$222-$C$222))</f>
        <v>343826.20002616459</v>
      </c>
      <c r="F225" s="314">
        <f t="shared" si="37"/>
        <v>302950.05331166385</v>
      </c>
      <c r="G225" s="314">
        <f t="shared" si="37"/>
        <v>266933.51115928846</v>
      </c>
      <c r="H225" s="314">
        <f t="shared" si="37"/>
        <v>235198.83426633041</v>
      </c>
      <c r="I225" s="314">
        <f>$C$225*($Q225/$C$225)^((I222-$C$222)/($Q$222-$C$222))</f>
        <v>207236.96848699637</v>
      </c>
      <c r="J225" s="314">
        <f>$C$225*($Q225/$C$225)^((J222-$C$222)/($Q$222-$C$222))</f>
        <v>182599.37912382916</v>
      </c>
      <c r="K225" s="314">
        <f>$C$225*($Q225/$C$225)^((K222-$C$222)/($Q$222-$C$222))</f>
        <v>160890.85600815504</v>
      </c>
      <c r="L225" s="314">
        <f>$C$225*($Q225/$C$225)^((L222-$C$222)/($Q$222-$C$222))</f>
        <v>141763.17395626224</v>
      </c>
      <c r="M225" s="314">
        <f t="shared" si="37"/>
        <v>124909.50690904915</v>
      </c>
      <c r="N225" s="314">
        <f t="shared" si="37"/>
        <v>110059.5061526737</v>
      </c>
      <c r="O225" s="314">
        <f t="shared" si="37"/>
        <v>96974.963670222292</v>
      </c>
      <c r="P225" s="314">
        <f t="shared" si="37"/>
        <v>85445.99106046847</v>
      </c>
      <c r="Q225" s="314">
        <f>Q226</f>
        <v>75287.652729975205</v>
      </c>
      <c r="R225" s="725">
        <f>E194</f>
        <v>-0.81708750254951334</v>
      </c>
    </row>
    <row r="226" spans="2:19" ht="27" customHeight="1" thickBot="1" x14ac:dyDescent="0.25">
      <c r="B226" s="2518" t="s">
        <v>2731</v>
      </c>
      <c r="C226" s="2520">
        <f>$C$225*(1-83%)</f>
        <v>75287.652729975205</v>
      </c>
      <c r="D226" s="2520">
        <f t="shared" ref="D226:Q226" si="38">$C$225*(1-83%)</f>
        <v>75287.652729975205</v>
      </c>
      <c r="E226" s="2520">
        <f t="shared" si="38"/>
        <v>75287.652729975205</v>
      </c>
      <c r="F226" s="2520">
        <f t="shared" si="38"/>
        <v>75287.652729975205</v>
      </c>
      <c r="G226" s="2520">
        <f t="shared" si="38"/>
        <v>75287.652729975205</v>
      </c>
      <c r="H226" s="2520">
        <f t="shared" si="38"/>
        <v>75287.652729975205</v>
      </c>
      <c r="I226" s="2520">
        <f t="shared" si="38"/>
        <v>75287.652729975205</v>
      </c>
      <c r="J226" s="2520">
        <f t="shared" si="38"/>
        <v>75287.652729975205</v>
      </c>
      <c r="K226" s="2520">
        <f t="shared" si="38"/>
        <v>75287.652729975205</v>
      </c>
      <c r="L226" s="2520">
        <f t="shared" si="38"/>
        <v>75287.652729975205</v>
      </c>
      <c r="M226" s="2520">
        <f t="shared" si="38"/>
        <v>75287.652729975205</v>
      </c>
      <c r="N226" s="2520">
        <f t="shared" si="38"/>
        <v>75287.652729975205</v>
      </c>
      <c r="O226" s="2520">
        <f t="shared" si="38"/>
        <v>75287.652729975205</v>
      </c>
      <c r="P226" s="2520">
        <f t="shared" si="38"/>
        <v>75287.652729975205</v>
      </c>
      <c r="Q226" s="2520">
        <f t="shared" si="38"/>
        <v>75287.652729975205</v>
      </c>
      <c r="R226" s="636">
        <f>(Q226-C225)/C225</f>
        <v>-0.83000000000000007</v>
      </c>
    </row>
    <row r="227" spans="2:19" customFormat="1" ht="27" customHeight="1" x14ac:dyDescent="0.2"/>
    <row r="228" spans="2:19" x14ac:dyDescent="0.2">
      <c r="C228" s="220"/>
      <c r="D228" s="220"/>
      <c r="E228" s="220"/>
      <c r="F228" s="220"/>
      <c r="G228" s="220"/>
      <c r="H228" s="220"/>
      <c r="I228" s="220"/>
      <c r="J228" s="220"/>
      <c r="K228" s="220"/>
      <c r="L228" s="220"/>
      <c r="M228" s="220"/>
      <c r="N228" s="220"/>
      <c r="O228" s="220"/>
      <c r="P228" s="220"/>
      <c r="Q228" s="220"/>
      <c r="R228" s="220"/>
      <c r="S228" s="220"/>
    </row>
    <row r="282" spans="2:5" s="2367" customFormat="1" x14ac:dyDescent="0.2"/>
    <row r="286" spans="2:5" ht="20" x14ac:dyDescent="0.2">
      <c r="B286" s="3212" t="s">
        <v>2751</v>
      </c>
      <c r="C286" s="3213"/>
      <c r="D286" s="3213"/>
      <c r="E286" s="3213"/>
    </row>
    <row r="287" spans="2:5" x14ac:dyDescent="0.2">
      <c r="B287" s="3213"/>
      <c r="C287" s="3213"/>
      <c r="D287" s="3213"/>
      <c r="E287" s="3213"/>
    </row>
    <row r="288" spans="2:5" x14ac:dyDescent="0.2">
      <c r="B288" s="3213"/>
      <c r="C288" s="3213"/>
      <c r="D288" s="3213"/>
      <c r="E288" s="3213"/>
    </row>
    <row r="289" spans="2:5" x14ac:dyDescent="0.2">
      <c r="B289" s="81"/>
      <c r="C289" s="81" t="str">
        <f t="shared" ref="C289:D289" si="39">C166</f>
        <v xml:space="preserve">Négatif </v>
      </c>
      <c r="D289" s="81" t="str">
        <f t="shared" si="39"/>
        <v>Émissions (ktCO2e)</v>
      </c>
      <c r="E289" s="81"/>
    </row>
    <row r="290" spans="2:5" x14ac:dyDescent="0.2">
      <c r="B290" s="81" t="str">
        <f>V167</f>
        <v xml:space="preserve">Émissions en 2022 </v>
      </c>
      <c r="C290" s="81">
        <f t="shared" ref="C290" si="40">C167</f>
        <v>0</v>
      </c>
      <c r="D290" s="314">
        <f>ROUND(D167,-4)</f>
        <v>440000</v>
      </c>
      <c r="E290" s="81" t="s">
        <v>2745</v>
      </c>
    </row>
    <row r="291" spans="2:5" ht="17" x14ac:dyDescent="0.2">
      <c r="B291" s="76" t="s">
        <v>2692</v>
      </c>
      <c r="C291" s="314">
        <f>D290-D291</f>
        <v>423000</v>
      </c>
      <c r="D291" s="314">
        <f>ROUND(C152-D152,-3)</f>
        <v>17000</v>
      </c>
      <c r="E291" s="673">
        <f>E152</f>
        <v>-0.44874268233042408</v>
      </c>
    </row>
    <row r="292" spans="2:5" x14ac:dyDescent="0.2">
      <c r="B292" s="81" t="s">
        <v>2693</v>
      </c>
      <c r="C292" s="314">
        <f>C291-D292</f>
        <v>415000</v>
      </c>
      <c r="D292" s="314">
        <f>ROUND(C157-D157,-3)</f>
        <v>8000</v>
      </c>
      <c r="E292" s="673">
        <f>E157</f>
        <v>-0.94760820045558092</v>
      </c>
    </row>
    <row r="293" spans="2:5" x14ac:dyDescent="0.2">
      <c r="B293" s="81" t="str">
        <f>V169</f>
        <v>Alimentation et boissons</v>
      </c>
      <c r="C293" s="314">
        <f t="shared" ref="C293:C296" si="41">C292-D293</f>
        <v>398000</v>
      </c>
      <c r="D293" s="314">
        <f>ROUND(C155-D155,-3)</f>
        <v>17000</v>
      </c>
      <c r="E293" s="673">
        <f>E155</f>
        <v>-0.64617203297502102</v>
      </c>
    </row>
    <row r="294" spans="2:5" x14ac:dyDescent="0.2">
      <c r="B294" s="81" t="s">
        <v>2746</v>
      </c>
      <c r="C294" s="314">
        <f t="shared" si="41"/>
        <v>385000</v>
      </c>
      <c r="D294" s="314">
        <f>ROUND(C188-D188+C192-D192+C193-D193,-3)</f>
        <v>13000</v>
      </c>
      <c r="E294" s="673">
        <f>((D188+D192+D193)-(C188+C192+C193))/(C188+C192+C193)</f>
        <v>-0.77790655444796164</v>
      </c>
    </row>
    <row r="295" spans="2:5" x14ac:dyDescent="0.2">
      <c r="B295" s="81" t="s">
        <v>2744</v>
      </c>
      <c r="C295" s="314">
        <f t="shared" si="41"/>
        <v>338000</v>
      </c>
      <c r="D295" s="314">
        <f>ROUND((C153+C156)-(D153+D156),-3)</f>
        <v>47000</v>
      </c>
      <c r="E295" s="416">
        <f>((D153+D156)-(C153+C156))/(C153+C156)</f>
        <v>-0.87777543431089111</v>
      </c>
    </row>
    <row r="296" spans="2:5" x14ac:dyDescent="0.2">
      <c r="B296" s="81" t="s">
        <v>2677</v>
      </c>
      <c r="C296" s="314">
        <f t="shared" si="41"/>
        <v>140000</v>
      </c>
      <c r="D296" s="314">
        <f>ROUND(C151-D151,-3)</f>
        <v>198000</v>
      </c>
      <c r="E296" s="673">
        <f>E151</f>
        <v>-0.65706874943418725</v>
      </c>
    </row>
    <row r="297" spans="2:5" ht="17" x14ac:dyDescent="0.2">
      <c r="B297" s="76" t="s">
        <v>2747</v>
      </c>
      <c r="C297" s="314"/>
      <c r="D297" s="314">
        <f>ROUND(D177,-3)</f>
        <v>144000</v>
      </c>
      <c r="E297" s="416">
        <f>(D297-D290)/D290</f>
        <v>-0.67272727272727273</v>
      </c>
    </row>
    <row r="303" spans="2:5" x14ac:dyDescent="0.2">
      <c r="B303" s="5"/>
      <c r="C303" s="5" t="str">
        <f t="shared" ref="C303:D303" si="42">C289</f>
        <v xml:space="preserve">Négatif </v>
      </c>
      <c r="D303" s="5" t="str">
        <f t="shared" si="42"/>
        <v>Émissions (ktCO2e)</v>
      </c>
      <c r="E303" s="5"/>
    </row>
    <row r="304" spans="2:5" x14ac:dyDescent="0.2">
      <c r="B304" s="5" t="str">
        <f t="shared" ref="B304:E304" si="43">B290</f>
        <v xml:space="preserve">Émissions en 2022 </v>
      </c>
      <c r="C304" s="1193">
        <f t="shared" si="43"/>
        <v>0</v>
      </c>
      <c r="D304" s="1193">
        <f t="shared" si="43"/>
        <v>440000</v>
      </c>
      <c r="E304" s="5" t="str">
        <f t="shared" si="43"/>
        <v>Pourcentage de baisse du poste</v>
      </c>
    </row>
    <row r="305" spans="2:5" x14ac:dyDescent="0.2">
      <c r="B305" s="5" t="str">
        <f t="shared" ref="B305:E305" si="44">B291</f>
        <v>Construction et entretien des infras.</v>
      </c>
      <c r="C305" s="1193">
        <f t="shared" si="44"/>
        <v>423000</v>
      </c>
      <c r="D305" s="1193">
        <f t="shared" si="44"/>
        <v>17000</v>
      </c>
      <c r="E305" s="2306">
        <f t="shared" si="44"/>
        <v>-0.44874268233042408</v>
      </c>
    </row>
    <row r="306" spans="2:5" x14ac:dyDescent="0.2">
      <c r="B306" s="5" t="str">
        <f t="shared" ref="B306:E306" si="45">B292</f>
        <v>Consommation d'énergie des infras.</v>
      </c>
      <c r="C306" s="1193">
        <f t="shared" si="45"/>
        <v>415000</v>
      </c>
      <c r="D306" s="1193">
        <f t="shared" si="45"/>
        <v>8000</v>
      </c>
      <c r="E306" s="2306">
        <f t="shared" si="45"/>
        <v>-0.94760820045558092</v>
      </c>
    </row>
    <row r="307" spans="2:5" x14ac:dyDescent="0.2">
      <c r="B307" s="5" t="str">
        <f t="shared" ref="B307:E307" si="46">B293</f>
        <v>Alimentation et boissons</v>
      </c>
      <c r="C307" s="1193">
        <f t="shared" si="46"/>
        <v>398000</v>
      </c>
      <c r="D307" s="1193">
        <f t="shared" si="46"/>
        <v>17000</v>
      </c>
      <c r="E307" s="2306">
        <f t="shared" si="46"/>
        <v>-0.64617203297502102</v>
      </c>
    </row>
    <row r="308" spans="2:5" x14ac:dyDescent="0.2">
      <c r="B308" s="5" t="str">
        <f t="shared" ref="B308:E308" si="47">B294</f>
        <v>Retransmission, déchets et autres</v>
      </c>
      <c r="C308" s="1193">
        <f t="shared" si="47"/>
        <v>385000</v>
      </c>
      <c r="D308" s="1193">
        <f t="shared" si="47"/>
        <v>13000</v>
      </c>
      <c r="E308" s="2306">
        <f t="shared" si="47"/>
        <v>-0.77790655444796164</v>
      </c>
    </row>
    <row r="309" spans="2:5" x14ac:dyDescent="0.2">
      <c r="B309" s="5" t="str">
        <f t="shared" ref="B309:E309" si="48">B295</f>
        <v>Déplacements des équipes et salariés</v>
      </c>
      <c r="C309" s="1193">
        <f t="shared" si="48"/>
        <v>338000</v>
      </c>
      <c r="D309" s="1193">
        <f t="shared" si="48"/>
        <v>47000</v>
      </c>
      <c r="E309" s="2306">
        <f t="shared" si="48"/>
        <v>-0.87777543431089111</v>
      </c>
    </row>
    <row r="310" spans="2:5" x14ac:dyDescent="0.2">
      <c r="B310" s="5" t="str">
        <f t="shared" ref="B310:E310" si="49">B296</f>
        <v>Déplacements des spectateurs</v>
      </c>
      <c r="C310" s="1193">
        <f t="shared" si="49"/>
        <v>140000</v>
      </c>
      <c r="D310" s="1193">
        <f t="shared" si="49"/>
        <v>198000</v>
      </c>
      <c r="E310" s="2306">
        <f t="shared" si="49"/>
        <v>-0.65706874943418725</v>
      </c>
    </row>
    <row r="311" spans="2:5" x14ac:dyDescent="0.2">
      <c r="B311" s="5" t="s">
        <v>2747</v>
      </c>
      <c r="C311" s="1193">
        <f>C297</f>
        <v>0</v>
      </c>
      <c r="D311" s="1193">
        <f t="shared" ref="D311:E311" si="50">D297</f>
        <v>144000</v>
      </c>
      <c r="E311" s="2306">
        <f t="shared" si="50"/>
        <v>-0.67272727272727273</v>
      </c>
    </row>
    <row r="312" spans="2:5" x14ac:dyDescent="0.2">
      <c r="B312" s="5" t="s">
        <v>2748</v>
      </c>
      <c r="C312" s="1193">
        <f>C310-D312</f>
        <v>74800.000000000015</v>
      </c>
      <c r="D312" s="1193">
        <f>C310-D313</f>
        <v>65199.999999999985</v>
      </c>
      <c r="E312" s="2306"/>
    </row>
    <row r="313" spans="2:5" x14ac:dyDescent="0.2">
      <c r="B313" s="5" t="str">
        <f>B297</f>
        <v>Émissions après transformation 2050</v>
      </c>
      <c r="C313" s="1193">
        <f>C297</f>
        <v>0</v>
      </c>
      <c r="D313" s="918">
        <f>D304*(1-83%)</f>
        <v>74800.000000000015</v>
      </c>
      <c r="E313" s="2306">
        <f>(D313-D304)/D304</f>
        <v>-0.83</v>
      </c>
    </row>
    <row r="314" spans="2:5" x14ac:dyDescent="0.2">
      <c r="D314" s="2545"/>
    </row>
    <row r="317" spans="2:5" x14ac:dyDescent="0.2">
      <c r="B317" s="5">
        <f>B303</f>
        <v>0</v>
      </c>
      <c r="C317" s="5" t="str">
        <f t="shared" ref="C317:E317" si="51">C303</f>
        <v xml:space="preserve">Négatif </v>
      </c>
      <c r="D317" s="5" t="str">
        <f t="shared" si="51"/>
        <v>Émissions (ktCO2e)</v>
      </c>
      <c r="E317" s="5">
        <f t="shared" si="51"/>
        <v>0</v>
      </c>
    </row>
    <row r="318" spans="2:5" x14ac:dyDescent="0.2">
      <c r="B318" s="5" t="str">
        <f t="shared" ref="B318:E318" si="52">B304</f>
        <v xml:space="preserve">Émissions en 2022 </v>
      </c>
      <c r="C318" s="1193">
        <f t="shared" si="52"/>
        <v>0</v>
      </c>
      <c r="D318" s="1193">
        <f t="shared" si="52"/>
        <v>440000</v>
      </c>
      <c r="E318" s="5" t="str">
        <f t="shared" si="52"/>
        <v>Pourcentage de baisse du poste</v>
      </c>
    </row>
    <row r="319" spans="2:5" x14ac:dyDescent="0.2">
      <c r="B319" s="5" t="str">
        <f t="shared" ref="B319:E319" si="53">B305</f>
        <v>Construction et entretien des infras.</v>
      </c>
      <c r="C319" s="1193">
        <f t="shared" si="53"/>
        <v>423000</v>
      </c>
      <c r="D319" s="1193">
        <f t="shared" si="53"/>
        <v>17000</v>
      </c>
      <c r="E319" s="5">
        <f t="shared" si="53"/>
        <v>-0.44874268233042408</v>
      </c>
    </row>
    <row r="320" spans="2:5" x14ac:dyDescent="0.2">
      <c r="B320" s="5" t="str">
        <f t="shared" ref="B320:E320" si="54">B306</f>
        <v>Consommation d'énergie des infras.</v>
      </c>
      <c r="C320" s="1193">
        <f t="shared" si="54"/>
        <v>415000</v>
      </c>
      <c r="D320" s="1193">
        <f t="shared" si="54"/>
        <v>8000</v>
      </c>
      <c r="E320" s="5">
        <f t="shared" si="54"/>
        <v>-0.94760820045558092</v>
      </c>
    </row>
    <row r="321" spans="2:5" x14ac:dyDescent="0.2">
      <c r="B321" s="5" t="str">
        <f t="shared" ref="B321:E321" si="55">B307</f>
        <v>Alimentation et boissons</v>
      </c>
      <c r="C321" s="1193">
        <f t="shared" si="55"/>
        <v>398000</v>
      </c>
      <c r="D321" s="1193">
        <f t="shared" si="55"/>
        <v>17000</v>
      </c>
      <c r="E321" s="5">
        <f t="shared" si="55"/>
        <v>-0.64617203297502102</v>
      </c>
    </row>
    <row r="322" spans="2:5" x14ac:dyDescent="0.2">
      <c r="B322" s="5" t="str">
        <f t="shared" ref="B322:E322" si="56">B308</f>
        <v>Retransmission, déchets et autres</v>
      </c>
      <c r="C322" s="1193">
        <f t="shared" si="56"/>
        <v>385000</v>
      </c>
      <c r="D322" s="1193">
        <f t="shared" si="56"/>
        <v>13000</v>
      </c>
      <c r="E322" s="5">
        <f t="shared" si="56"/>
        <v>-0.77790655444796164</v>
      </c>
    </row>
    <row r="323" spans="2:5" x14ac:dyDescent="0.2">
      <c r="B323" s="5" t="str">
        <f t="shared" ref="B323:E323" si="57">B309</f>
        <v>Déplacements des équipes et salariés</v>
      </c>
      <c r="C323" s="1193">
        <f t="shared" si="57"/>
        <v>338000</v>
      </c>
      <c r="D323" s="1193">
        <f t="shared" si="57"/>
        <v>47000</v>
      </c>
      <c r="E323" s="5">
        <f t="shared" si="57"/>
        <v>-0.87777543431089111</v>
      </c>
    </row>
    <row r="324" spans="2:5" x14ac:dyDescent="0.2">
      <c r="B324" s="5" t="str">
        <f t="shared" ref="B324:E324" si="58">B310</f>
        <v>Déplacements des spectateurs</v>
      </c>
      <c r="C324" s="1193">
        <f t="shared" si="58"/>
        <v>140000</v>
      </c>
      <c r="D324" s="1193">
        <f t="shared" si="58"/>
        <v>198000</v>
      </c>
      <c r="E324" s="5">
        <f t="shared" si="58"/>
        <v>-0.65706874943418725</v>
      </c>
    </row>
    <row r="325" spans="2:5" x14ac:dyDescent="0.2">
      <c r="B325" s="5" t="str">
        <f t="shared" ref="B325:E326" si="59">B312</f>
        <v>Rapprocher et modérer</v>
      </c>
      <c r="C325" s="1193">
        <f t="shared" si="59"/>
        <v>74800.000000000015</v>
      </c>
      <c r="D325" s="1193">
        <f t="shared" si="59"/>
        <v>65199.999999999985</v>
      </c>
      <c r="E325" s="5">
        <f t="shared" si="59"/>
        <v>0</v>
      </c>
    </row>
    <row r="326" spans="2:5" x14ac:dyDescent="0.2">
      <c r="B326" s="5" t="str">
        <f t="shared" si="59"/>
        <v>Émissions après transformation 2050</v>
      </c>
      <c r="C326" s="1193">
        <f t="shared" si="59"/>
        <v>0</v>
      </c>
      <c r="D326" s="1193">
        <f t="shared" si="59"/>
        <v>74800.000000000015</v>
      </c>
      <c r="E326" s="5">
        <f t="shared" si="59"/>
        <v>-0.83</v>
      </c>
    </row>
    <row r="412" spans="3:8" x14ac:dyDescent="0.2">
      <c r="E412" s="220"/>
    </row>
    <row r="413" spans="3:8" x14ac:dyDescent="0.2">
      <c r="E413" s="539"/>
    </row>
    <row r="414" spans="3:8" x14ac:dyDescent="0.2">
      <c r="E414" s="220"/>
    </row>
    <row r="415" spans="3:8" x14ac:dyDescent="0.2">
      <c r="E415" s="539"/>
    </row>
    <row r="416" spans="3:8" x14ac:dyDescent="0.2">
      <c r="C416"/>
      <c r="D416"/>
      <c r="E416"/>
      <c r="F416"/>
      <c r="G416"/>
      <c r="H416"/>
    </row>
    <row r="417" spans="3:8" x14ac:dyDescent="0.2">
      <c r="C417"/>
      <c r="D417"/>
      <c r="E417"/>
      <c r="F417"/>
      <c r="G417"/>
      <c r="H417"/>
    </row>
    <row r="418" spans="3:8" x14ac:dyDescent="0.2">
      <c r="C418"/>
      <c r="D418"/>
      <c r="E418"/>
      <c r="F418"/>
      <c r="G418"/>
      <c r="H418"/>
    </row>
    <row r="419" spans="3:8" x14ac:dyDescent="0.2">
      <c r="C419"/>
      <c r="D419"/>
      <c r="E419"/>
      <c r="F419"/>
      <c r="G419"/>
      <c r="H419"/>
    </row>
    <row r="420" spans="3:8" x14ac:dyDescent="0.2">
      <c r="C420"/>
      <c r="D420"/>
      <c r="E420"/>
      <c r="F420"/>
      <c r="G420"/>
      <c r="H420"/>
    </row>
    <row r="421" spans="3:8" x14ac:dyDescent="0.2">
      <c r="C421"/>
      <c r="D421"/>
      <c r="E421"/>
      <c r="F421"/>
      <c r="G421"/>
      <c r="H421"/>
    </row>
    <row r="422" spans="3:8" x14ac:dyDescent="0.2">
      <c r="C422"/>
      <c r="D422"/>
      <c r="E422"/>
      <c r="F422"/>
      <c r="G422"/>
      <c r="H422"/>
    </row>
    <row r="423" spans="3:8" x14ac:dyDescent="0.2">
      <c r="C423"/>
      <c r="D423"/>
      <c r="E423"/>
      <c r="F423"/>
      <c r="G423"/>
      <c r="H423"/>
    </row>
    <row r="424" spans="3:8" x14ac:dyDescent="0.2">
      <c r="C424"/>
      <c r="D424"/>
      <c r="E424"/>
      <c r="F424"/>
      <c r="G424"/>
      <c r="H424"/>
    </row>
    <row r="425" spans="3:8" x14ac:dyDescent="0.2">
      <c r="C425"/>
      <c r="D425"/>
      <c r="E425"/>
      <c r="F425"/>
      <c r="G425"/>
      <c r="H425"/>
    </row>
    <row r="426" spans="3:8" x14ac:dyDescent="0.2">
      <c r="C426"/>
      <c r="D426"/>
      <c r="E426"/>
      <c r="F426"/>
      <c r="G426"/>
      <c r="H426"/>
    </row>
    <row r="427" spans="3:8" x14ac:dyDescent="0.2">
      <c r="C427"/>
      <c r="D427"/>
      <c r="E427"/>
      <c r="F427"/>
      <c r="G427"/>
      <c r="H427"/>
    </row>
    <row r="428" spans="3:8" x14ac:dyDescent="0.2">
      <c r="C428"/>
      <c r="D428"/>
      <c r="E428"/>
      <c r="F428"/>
      <c r="G428"/>
      <c r="H428"/>
    </row>
    <row r="429" spans="3:8" x14ac:dyDescent="0.2">
      <c r="C429"/>
      <c r="D429"/>
      <c r="E429"/>
      <c r="F429"/>
      <c r="G429"/>
      <c r="H429"/>
    </row>
    <row r="430" spans="3:8" x14ac:dyDescent="0.2">
      <c r="C430"/>
      <c r="D430"/>
      <c r="E430"/>
      <c r="F430"/>
      <c r="G430"/>
      <c r="H430"/>
    </row>
    <row r="431" spans="3:8" x14ac:dyDescent="0.2">
      <c r="C431"/>
      <c r="D431"/>
      <c r="E431"/>
      <c r="F431"/>
      <c r="G431"/>
      <c r="H431"/>
    </row>
    <row r="432" spans="3:8" x14ac:dyDescent="0.2">
      <c r="C432"/>
      <c r="D432"/>
      <c r="E432"/>
      <c r="F432"/>
      <c r="G432"/>
      <c r="H432"/>
    </row>
    <row r="433" spans="3:8" x14ac:dyDescent="0.2">
      <c r="C433"/>
      <c r="D433"/>
      <c r="E433"/>
      <c r="F433"/>
      <c r="G433"/>
      <c r="H433"/>
    </row>
    <row r="434" spans="3:8" x14ac:dyDescent="0.2">
      <c r="C434"/>
      <c r="D434"/>
      <c r="E434"/>
      <c r="F434"/>
      <c r="G434"/>
      <c r="H434"/>
    </row>
    <row r="435" spans="3:8" x14ac:dyDescent="0.2">
      <c r="C435"/>
      <c r="D435"/>
      <c r="E435"/>
      <c r="F435"/>
      <c r="G435"/>
      <c r="H435"/>
    </row>
    <row r="436" spans="3:8" x14ac:dyDescent="0.2">
      <c r="C436"/>
      <c r="D436"/>
      <c r="E436"/>
      <c r="F436"/>
      <c r="G436"/>
      <c r="H436"/>
    </row>
    <row r="437" spans="3:8" x14ac:dyDescent="0.2">
      <c r="C437"/>
      <c r="D437"/>
      <c r="E437"/>
      <c r="F437"/>
      <c r="G437"/>
      <c r="H437"/>
    </row>
    <row r="438" spans="3:8" x14ac:dyDescent="0.2">
      <c r="C438"/>
      <c r="D438"/>
      <c r="E438"/>
      <c r="F438"/>
      <c r="G438"/>
      <c r="H438"/>
    </row>
    <row r="439" spans="3:8" x14ac:dyDescent="0.2">
      <c r="C439"/>
      <c r="D439"/>
      <c r="E439"/>
      <c r="F439"/>
      <c r="G439"/>
      <c r="H439"/>
    </row>
    <row r="440" spans="3:8" x14ac:dyDescent="0.2">
      <c r="C440"/>
      <c r="D440"/>
      <c r="E440"/>
      <c r="F440"/>
      <c r="G440"/>
      <c r="H440"/>
    </row>
    <row r="441" spans="3:8" x14ac:dyDescent="0.2">
      <c r="C441"/>
      <c r="D441"/>
      <c r="E441"/>
      <c r="F441"/>
      <c r="G441"/>
      <c r="H441"/>
    </row>
    <row r="442" spans="3:8" x14ac:dyDescent="0.2">
      <c r="C442"/>
      <c r="D442"/>
      <c r="E442"/>
      <c r="F442"/>
      <c r="G442"/>
      <c r="H442"/>
    </row>
    <row r="443" spans="3:8" x14ac:dyDescent="0.2">
      <c r="C443"/>
      <c r="D443"/>
      <c r="E443"/>
      <c r="F443"/>
      <c r="G443"/>
      <c r="H443"/>
    </row>
    <row r="444" spans="3:8" x14ac:dyDescent="0.2">
      <c r="C444"/>
      <c r="D444"/>
      <c r="E444"/>
      <c r="F444"/>
      <c r="G444"/>
      <c r="H444"/>
    </row>
    <row r="445" spans="3:8" x14ac:dyDescent="0.2">
      <c r="C445"/>
      <c r="D445"/>
      <c r="E445"/>
      <c r="F445"/>
      <c r="G445"/>
      <c r="H445"/>
    </row>
    <row r="446" spans="3:8" x14ac:dyDescent="0.2">
      <c r="C446"/>
      <c r="D446"/>
      <c r="E446"/>
      <c r="F446"/>
      <c r="G446"/>
      <c r="H446"/>
    </row>
    <row r="447" spans="3:8" x14ac:dyDescent="0.2">
      <c r="C447"/>
      <c r="D447"/>
      <c r="E447"/>
      <c r="F447"/>
      <c r="G447"/>
      <c r="H447"/>
    </row>
    <row r="448" spans="3:8" x14ac:dyDescent="0.2">
      <c r="C448"/>
      <c r="D448"/>
      <c r="E448"/>
      <c r="F448"/>
      <c r="G448"/>
      <c r="H448"/>
    </row>
    <row r="449" spans="3:8" x14ac:dyDescent="0.2">
      <c r="C449"/>
      <c r="D449"/>
      <c r="E449"/>
      <c r="F449"/>
      <c r="G449"/>
      <c r="H449"/>
    </row>
    <row r="450" spans="3:8" x14ac:dyDescent="0.2">
      <c r="C450"/>
      <c r="D450"/>
      <c r="E450"/>
      <c r="F450"/>
      <c r="G450"/>
      <c r="H450"/>
    </row>
  </sheetData>
  <mergeCells count="17">
    <mergeCell ref="X41:AE41"/>
    <mergeCell ref="A1:XFD1"/>
    <mergeCell ref="B7:B8"/>
    <mergeCell ref="C7:C8"/>
    <mergeCell ref="D7:D8"/>
    <mergeCell ref="E7:G7"/>
    <mergeCell ref="J7:L7"/>
    <mergeCell ref="J24:L24"/>
    <mergeCell ref="B24:B25"/>
    <mergeCell ref="C24:C25"/>
    <mergeCell ref="D24:D25"/>
    <mergeCell ref="E24:G24"/>
    <mergeCell ref="B41:B42"/>
    <mergeCell ref="C41:C42"/>
    <mergeCell ref="D41:D42"/>
    <mergeCell ref="E41:G41"/>
    <mergeCell ref="J41:L41"/>
  </mergeCells>
  <conditionalFormatting sqref="F211 F177 F144">
    <cfRule type="colorScale" priority="3">
      <colorScale>
        <cfvo type="min"/>
        <cfvo type="percentile" val="50"/>
        <cfvo type="max"/>
        <color rgb="FF63BE7B"/>
        <color rgb="FFFFEB84"/>
        <color rgb="FFF8696B"/>
      </colorScale>
    </cfRule>
  </conditionalFormatting>
  <conditionalFormatting sqref="T178">
    <cfRule type="colorScale" priority="2">
      <colorScale>
        <cfvo type="min"/>
        <cfvo type="percentile" val="50"/>
        <cfvo type="max"/>
        <color rgb="FF63BE7B"/>
        <color rgb="FFFFEB84"/>
        <color rgb="FFF8696B"/>
      </colorScale>
    </cfRule>
  </conditionalFormatting>
  <conditionalFormatting sqref="Z178">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ignoredErrors>
    <ignoredError sqref="C28:C34 D48" formula="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AF427-4C63-D34A-B183-7BC336177C87}">
  <sheetPr>
    <tabColor theme="7" tint="0.39997558519241921"/>
  </sheetPr>
  <dimension ref="A1:AE187"/>
  <sheetViews>
    <sheetView topLeftCell="A14" zoomScale="50" zoomScaleNormal="37" workbookViewId="0">
      <selection activeCell="E200" sqref="E200"/>
    </sheetView>
  </sheetViews>
  <sheetFormatPr baseColWidth="10" defaultColWidth="9.85546875" defaultRowHeight="14" outlineLevelRow="1" x14ac:dyDescent="0.2"/>
  <cols>
    <col min="1" max="1" width="10" style="126" customWidth="1"/>
    <col min="2" max="2" width="42.42578125" style="126" customWidth="1"/>
    <col min="3" max="3" width="32.7109375" style="126" customWidth="1"/>
    <col min="4" max="4" width="36.85546875" style="126" customWidth="1"/>
    <col min="5" max="7" width="30.140625" style="126" customWidth="1"/>
    <col min="8" max="8" width="32.7109375" style="126" customWidth="1"/>
    <col min="9" max="11" width="29.7109375" style="126" customWidth="1"/>
    <col min="12" max="33" width="13.85546875" style="126" customWidth="1"/>
    <col min="34" max="16384" width="9.85546875" style="126"/>
  </cols>
  <sheetData>
    <row r="1" spans="1:17" ht="29" customHeight="1" x14ac:dyDescent="0.2">
      <c r="A1"/>
      <c r="B1"/>
      <c r="F1" s="55"/>
      <c r="G1" s="55"/>
      <c r="H1" s="55"/>
    </row>
    <row r="2" spans="1:17" ht="29" customHeight="1" x14ac:dyDescent="0.2">
      <c r="B2" s="2686" t="s">
        <v>1523</v>
      </c>
      <c r="C2" s="2686"/>
      <c r="D2" s="2686"/>
      <c r="F2" s="55"/>
      <c r="G2" s="55"/>
      <c r="H2" s="55"/>
    </row>
    <row r="3" spans="1:17" ht="29" customHeight="1" x14ac:dyDescent="0.2">
      <c r="F3" s="55"/>
      <c r="G3" s="55"/>
      <c r="H3" s="55"/>
    </row>
    <row r="4" spans="1:17" ht="29" customHeight="1" thickBot="1" x14ac:dyDescent="0.25">
      <c r="F4" s="55"/>
      <c r="G4" s="55"/>
      <c r="H4" s="55"/>
    </row>
    <row r="5" spans="1:17" ht="29" customHeight="1" x14ac:dyDescent="0.2">
      <c r="B5" s="2822" t="s">
        <v>17</v>
      </c>
      <c r="C5" s="2823"/>
      <c r="D5" s="2824"/>
      <c r="F5" s="55"/>
      <c r="G5" s="55"/>
      <c r="H5" s="55"/>
    </row>
    <row r="6" spans="1:17" ht="29" customHeight="1" x14ac:dyDescent="0.2">
      <c r="B6" s="127" t="s">
        <v>216</v>
      </c>
      <c r="C6" s="609">
        <f>'10.1 Stade'!$C$5+'10.2 SI'!C5+'10.3 Autres'!C5</f>
        <v>37174.362064717621</v>
      </c>
      <c r="D6" s="129" t="s">
        <v>19</v>
      </c>
      <c r="F6" s="55"/>
      <c r="G6" s="55"/>
      <c r="H6" s="55"/>
    </row>
    <row r="7" spans="1:17" ht="29" customHeight="1" x14ac:dyDescent="0.2">
      <c r="B7" s="127" t="s">
        <v>217</v>
      </c>
      <c r="C7" s="609">
        <f>C182+C169+C156+'10.2 SI'!C5+'10.3 Autres'!C5</f>
        <v>20492.639117873874</v>
      </c>
      <c r="D7" s="129" t="s">
        <v>19</v>
      </c>
      <c r="F7" s="346"/>
      <c r="G7" s="55"/>
      <c r="H7" s="55"/>
    </row>
    <row r="8" spans="1:17" ht="29" customHeight="1" thickBot="1" x14ac:dyDescent="0.25">
      <c r="B8" s="130" t="s">
        <v>218</v>
      </c>
      <c r="C8" s="2825">
        <f>(C7-C6)/C6</f>
        <v>-0.44874268233042408</v>
      </c>
      <c r="D8" s="2826"/>
      <c r="E8" s="55"/>
      <c r="F8" s="55"/>
      <c r="G8" s="55"/>
      <c r="H8" s="55"/>
    </row>
    <row r="9" spans="1:17" ht="29" customHeight="1" thickBot="1" x14ac:dyDescent="0.25">
      <c r="D9" s="542"/>
      <c r="E9" s="542"/>
      <c r="G9" s="2"/>
      <c r="H9" s="2"/>
      <c r="I9" s="2"/>
      <c r="J9" s="2"/>
      <c r="K9" s="2"/>
      <c r="L9" s="543"/>
      <c r="M9" s="543"/>
      <c r="N9" s="543"/>
      <c r="O9" s="543"/>
      <c r="P9" s="543"/>
      <c r="Q9" s="543"/>
    </row>
    <row r="10" spans="1:17" ht="36" customHeight="1" x14ac:dyDescent="0.2">
      <c r="A10"/>
      <c r="B10" s="2827" t="s">
        <v>2157</v>
      </c>
      <c r="C10" s="2828"/>
      <c r="D10" s="2828"/>
      <c r="E10" s="2828"/>
      <c r="F10" s="2829"/>
      <c r="G10" s="2"/>
      <c r="K10" s="2"/>
      <c r="L10" s="2"/>
    </row>
    <row r="11" spans="1:17" ht="36" customHeight="1" thickBot="1" x14ac:dyDescent="0.25">
      <c r="A11"/>
      <c r="B11" s="2830"/>
      <c r="C11" s="2831"/>
      <c r="D11" s="2831"/>
      <c r="E11" s="2831"/>
      <c r="F11" s="2832"/>
      <c r="G11" s="2"/>
      <c r="H11" s="2"/>
      <c r="I11" s="2"/>
      <c r="J11" s="2"/>
      <c r="K11" s="2"/>
      <c r="L11" s="2"/>
    </row>
    <row r="12" spans="1:17" customFormat="1" ht="31" customHeight="1" thickBot="1" x14ac:dyDescent="0.25"/>
    <row r="13" spans="1:17" ht="38" customHeight="1" thickBot="1" x14ac:dyDescent="0.25">
      <c r="B13" s="55"/>
      <c r="C13" s="2835" t="s">
        <v>2090</v>
      </c>
      <c r="D13" s="2836"/>
      <c r="E13" s="2836"/>
      <c r="F13" s="1978">
        <v>2050</v>
      </c>
      <c r="H13" s="2"/>
      <c r="I13" s="2"/>
      <c r="J13" s="2"/>
      <c r="K13" s="2"/>
      <c r="L13" s="2"/>
    </row>
    <row r="14" spans="1:17" ht="97" customHeight="1" thickBot="1" x14ac:dyDescent="0.25">
      <c r="B14" s="2018" t="s">
        <v>1524</v>
      </c>
      <c r="C14" s="2841" t="s">
        <v>2091</v>
      </c>
      <c r="D14" s="2842"/>
      <c r="E14" s="2842"/>
      <c r="F14" s="2021">
        <v>0</v>
      </c>
      <c r="H14" s="2"/>
      <c r="I14" s="2"/>
      <c r="J14" s="2"/>
      <c r="K14" s="2"/>
      <c r="L14" s="2"/>
    </row>
    <row r="15" spans="1:17" ht="38" customHeight="1" x14ac:dyDescent="0.2">
      <c r="B15" s="2833" t="s">
        <v>2133</v>
      </c>
      <c r="C15" s="2839" t="s">
        <v>2134</v>
      </c>
      <c r="D15" s="2840"/>
      <c r="E15" s="2840"/>
      <c r="F15" s="2019">
        <f>-C82</f>
        <v>-0.77808591089718937</v>
      </c>
      <c r="G15" s="2001"/>
      <c r="I15"/>
      <c r="J15"/>
      <c r="K15"/>
      <c r="L15"/>
      <c r="M15"/>
    </row>
    <row r="16" spans="1:17" ht="38" customHeight="1" thickBot="1" x14ac:dyDescent="0.25">
      <c r="B16" s="2834"/>
      <c r="C16" s="2837" t="s">
        <v>2601</v>
      </c>
      <c r="D16" s="2838"/>
      <c r="E16" s="2838"/>
      <c r="F16" s="2408">
        <f>C94</f>
        <v>-0.66112266112266116</v>
      </c>
      <c r="G16" s="2001"/>
      <c r="I16"/>
      <c r="J16"/>
      <c r="K16"/>
      <c r="L16"/>
      <c r="M16"/>
    </row>
    <row r="17" spans="2:13" ht="23" customHeight="1" x14ac:dyDescent="0.2">
      <c r="D17" s="571"/>
      <c r="E17" s="576"/>
      <c r="F17" s="547"/>
      <c r="H17" s="55"/>
      <c r="I17"/>
      <c r="J17"/>
      <c r="K17"/>
      <c r="L17"/>
      <c r="M17"/>
    </row>
    <row r="18" spans="2:13" ht="23" customHeight="1" x14ac:dyDescent="0.2">
      <c r="D18" s="571"/>
      <c r="E18" s="576"/>
      <c r="F18" s="547"/>
      <c r="H18" s="55"/>
      <c r="I18"/>
      <c r="J18"/>
      <c r="K18"/>
      <c r="L18"/>
      <c r="M18"/>
    </row>
    <row r="19" spans="2:13" ht="23" customHeight="1" x14ac:dyDescent="0.2">
      <c r="B19" s="144" t="s">
        <v>2092</v>
      </c>
      <c r="C19" s="790"/>
      <c r="D19" s="790"/>
      <c r="E19" s="790"/>
      <c r="F19" s="790"/>
      <c r="H19" s="55"/>
      <c r="I19"/>
      <c r="J19"/>
      <c r="K19"/>
      <c r="L19"/>
      <c r="M19"/>
    </row>
    <row r="20" spans="2:13" ht="23" hidden="1" customHeight="1" outlineLevel="1" x14ac:dyDescent="0.2">
      <c r="B20" s="548"/>
      <c r="H20" s="55"/>
      <c r="I20"/>
      <c r="J20"/>
      <c r="K20"/>
      <c r="L20"/>
      <c r="M20"/>
    </row>
    <row r="21" spans="2:13" ht="23" hidden="1" customHeight="1" outlineLevel="1" x14ac:dyDescent="0.2">
      <c r="B21" s="679" t="s">
        <v>2093</v>
      </c>
      <c r="H21" s="55"/>
      <c r="I21"/>
      <c r="J21"/>
      <c r="K21"/>
      <c r="L21"/>
      <c r="M21"/>
    </row>
    <row r="22" spans="2:13" s="1980" customFormat="1" ht="29" hidden="1" customHeight="1" outlineLevel="1" x14ac:dyDescent="0.2">
      <c r="B22" s="126" t="s">
        <v>2169</v>
      </c>
      <c r="C22" s="1977"/>
      <c r="D22" s="1977"/>
      <c r="E22" s="1977"/>
      <c r="F22" s="1977"/>
      <c r="H22" s="409"/>
      <c r="I22"/>
      <c r="J22"/>
      <c r="K22"/>
      <c r="L22"/>
      <c r="M22"/>
    </row>
    <row r="23" spans="2:13" ht="23" hidden="1" customHeight="1" outlineLevel="1" x14ac:dyDescent="0.2">
      <c r="B23" s="2821" t="s">
        <v>2149</v>
      </c>
      <c r="C23" s="2821"/>
      <c r="D23" s="2821"/>
      <c r="E23" s="2821"/>
      <c r="F23" s="2821"/>
      <c r="G23" s="2821"/>
      <c r="H23" s="86"/>
      <c r="I23"/>
      <c r="J23"/>
      <c r="K23"/>
      <c r="L23"/>
      <c r="M23"/>
    </row>
    <row r="24" spans="2:13" ht="23" hidden="1" customHeight="1" outlineLevel="1" x14ac:dyDescent="0.2">
      <c r="B24" s="2821"/>
      <c r="C24" s="2821"/>
      <c r="D24" s="2821"/>
      <c r="E24" s="2821"/>
      <c r="F24" s="2821"/>
      <c r="G24" s="2821"/>
      <c r="H24" s="55"/>
      <c r="I24"/>
      <c r="J24"/>
      <c r="K24"/>
      <c r="L24"/>
      <c r="M24"/>
    </row>
    <row r="25" spans="2:13" s="1980" customFormat="1" ht="29" hidden="1" customHeight="1" outlineLevel="1" x14ac:dyDescent="0.2">
      <c r="B25" s="1983" t="s">
        <v>2115</v>
      </c>
      <c r="C25" s="543"/>
      <c r="D25" s="543"/>
      <c r="E25" s="543"/>
      <c r="F25" s="543"/>
      <c r="H25" s="409"/>
      <c r="I25"/>
      <c r="J25"/>
      <c r="K25"/>
      <c r="L25"/>
      <c r="M25"/>
    </row>
    <row r="26" spans="2:13" ht="23" hidden="1" customHeight="1" outlineLevel="1" x14ac:dyDescent="0.2">
      <c r="B26" s="679" t="s">
        <v>2102</v>
      </c>
      <c r="C26" s="327"/>
      <c r="D26" s="327"/>
      <c r="E26" s="327"/>
      <c r="H26" s="55"/>
      <c r="I26"/>
      <c r="J26"/>
      <c r="K26"/>
      <c r="L26"/>
      <c r="M26"/>
    </row>
    <row r="27" spans="2:13" ht="23" hidden="1" customHeight="1" outlineLevel="1" x14ac:dyDescent="0.2">
      <c r="B27" s="2002" t="s">
        <v>2158</v>
      </c>
      <c r="C27" s="327"/>
      <c r="D27" s="327"/>
      <c r="E27" s="327"/>
      <c r="H27" s="55"/>
    </row>
    <row r="28" spans="2:13" ht="23" hidden="1" customHeight="1" outlineLevel="1" x14ac:dyDescent="0.2">
      <c r="B28" s="1981" t="s">
        <v>2153</v>
      </c>
      <c r="C28" s="327"/>
      <c r="E28" s="327"/>
      <c r="H28" s="55"/>
    </row>
    <row r="29" spans="2:13" ht="23" hidden="1" customHeight="1" outlineLevel="1" x14ac:dyDescent="0.2">
      <c r="B29" s="1981" t="s">
        <v>2151</v>
      </c>
      <c r="C29" s="327"/>
      <c r="D29" s="327"/>
      <c r="E29" s="327"/>
      <c r="H29" s="55"/>
    </row>
    <row r="30" spans="2:13" ht="23" hidden="1" customHeight="1" outlineLevel="1" x14ac:dyDescent="0.2">
      <c r="B30" s="1981" t="s">
        <v>2152</v>
      </c>
      <c r="C30" s="327"/>
      <c r="D30" s="327"/>
      <c r="E30" s="327"/>
      <c r="I30" s="2821"/>
      <c r="J30" s="2821"/>
      <c r="K30" s="2821"/>
    </row>
    <row r="31" spans="2:13" ht="23" hidden="1" customHeight="1" outlineLevel="1" x14ac:dyDescent="0.2">
      <c r="B31" s="1981" t="s">
        <v>2154</v>
      </c>
      <c r="C31" s="327"/>
      <c r="D31" s="327"/>
      <c r="I31" s="1963"/>
      <c r="J31" s="1963"/>
      <c r="K31" s="1963"/>
    </row>
    <row r="32" spans="2:13" ht="29" hidden="1" customHeight="1" outlineLevel="1" x14ac:dyDescent="0.2">
      <c r="B32" s="1981" t="s">
        <v>2155</v>
      </c>
      <c r="C32" s="2"/>
      <c r="D32" s="327"/>
      <c r="H32" s="55"/>
    </row>
    <row r="33" spans="1:9" ht="29" hidden="1" customHeight="1" outlineLevel="1" x14ac:dyDescent="0.2">
      <c r="B33" s="1981" t="s">
        <v>2116</v>
      </c>
      <c r="C33" s="2"/>
      <c r="D33" s="327"/>
      <c r="H33" s="55"/>
    </row>
    <row r="34" spans="1:9" ht="23" hidden="1" customHeight="1" outlineLevel="1" x14ac:dyDescent="0.2">
      <c r="B34" s="2002" t="s">
        <v>2159</v>
      </c>
      <c r="D34" s="327"/>
      <c r="E34" s="327"/>
      <c r="H34" s="55"/>
      <c r="I34" s="134"/>
    </row>
    <row r="35" spans="1:9" ht="23" hidden="1" customHeight="1" outlineLevel="1" x14ac:dyDescent="0.2">
      <c r="B35" s="1981" t="s">
        <v>2150</v>
      </c>
      <c r="D35" s="327"/>
      <c r="E35" s="327"/>
      <c r="H35" s="55"/>
      <c r="I35" s="134"/>
    </row>
    <row r="36" spans="1:9" ht="23" hidden="1" customHeight="1" outlineLevel="1" x14ac:dyDescent="0.2">
      <c r="B36" s="1982" t="s">
        <v>2094</v>
      </c>
      <c r="C36" s="548"/>
      <c r="D36" s="327"/>
      <c r="E36" s="327"/>
      <c r="H36" s="55"/>
      <c r="I36" s="134"/>
    </row>
    <row r="37" spans="1:9" ht="23" hidden="1" customHeight="1" outlineLevel="1" x14ac:dyDescent="0.2">
      <c r="B37" s="1981" t="s">
        <v>2103</v>
      </c>
      <c r="C37" s="548"/>
      <c r="D37" s="327"/>
      <c r="E37" s="327"/>
      <c r="H37" s="55"/>
      <c r="I37" s="134"/>
    </row>
    <row r="38" spans="1:9" ht="23" hidden="1" customHeight="1" outlineLevel="1" x14ac:dyDescent="0.2">
      <c r="B38" s="1982" t="s">
        <v>2095</v>
      </c>
      <c r="C38" s="55"/>
      <c r="D38" s="55"/>
      <c r="E38" s="55"/>
    </row>
    <row r="39" spans="1:9" ht="23" hidden="1" customHeight="1" outlineLevel="1" x14ac:dyDescent="0.2">
      <c r="B39" s="2002" t="s">
        <v>2156</v>
      </c>
      <c r="C39" s="55"/>
      <c r="D39" s="55"/>
      <c r="E39" s="55"/>
    </row>
    <row r="40" spans="1:9" ht="25" customHeight="1" collapsed="1" x14ac:dyDescent="0.2">
      <c r="A40"/>
      <c r="C40" s="55"/>
      <c r="D40" s="55"/>
      <c r="E40" s="55"/>
      <c r="G40" s="2"/>
      <c r="H40" s="2"/>
      <c r="I40" s="2"/>
    </row>
    <row r="41" spans="1:9" ht="29" customHeight="1" x14ac:dyDescent="0.2">
      <c r="B41" s="144" t="s">
        <v>2096</v>
      </c>
      <c r="C41" s="2"/>
      <c r="D41" s="2"/>
      <c r="E41" s="2"/>
      <c r="F41" s="2"/>
      <c r="G41" s="2"/>
    </row>
    <row r="42" spans="1:9" ht="29" hidden="1" customHeight="1" outlineLevel="1" x14ac:dyDescent="0.2">
      <c r="B42" s="144"/>
      <c r="C42" s="2"/>
      <c r="D42" s="2"/>
      <c r="E42" s="2"/>
      <c r="F42" s="2"/>
      <c r="G42" s="2"/>
    </row>
    <row r="43" spans="1:9" ht="29" hidden="1" customHeight="1" outlineLevel="1" x14ac:dyDescent="0.2">
      <c r="B43" s="145" t="s">
        <v>1471</v>
      </c>
      <c r="C43" s="2"/>
      <c r="D43" s="2"/>
      <c r="E43" s="2"/>
      <c r="F43" s="2"/>
      <c r="G43" s="2"/>
    </row>
    <row r="44" spans="1:9" ht="29" hidden="1" customHeight="1" outlineLevel="1" x14ac:dyDescent="0.2">
      <c r="B44" s="464" t="s">
        <v>1357</v>
      </c>
      <c r="C44" s="2"/>
      <c r="D44" s="2"/>
      <c r="E44" s="2"/>
      <c r="F44" s="2"/>
      <c r="G44" s="2"/>
    </row>
    <row r="45" spans="1:9" ht="59" hidden="1" customHeight="1" outlineLevel="1" x14ac:dyDescent="0.2">
      <c r="B45" s="2804" t="s">
        <v>2117</v>
      </c>
      <c r="C45" s="2804"/>
      <c r="D45" s="2804"/>
      <c r="E45" s="2804"/>
      <c r="F45" s="2804"/>
      <c r="G45" s="2804"/>
      <c r="H45" s="1998"/>
    </row>
    <row r="46" spans="1:9" ht="29" hidden="1" customHeight="1" outlineLevel="1" x14ac:dyDescent="0.2">
      <c r="B46" s="1998"/>
      <c r="C46" s="1998"/>
      <c r="D46" s="1998"/>
      <c r="E46" s="1998"/>
      <c r="F46" s="1998"/>
      <c r="G46" s="1998"/>
      <c r="H46" s="1998"/>
    </row>
    <row r="47" spans="1:9" ht="29" hidden="1" customHeight="1" outlineLevel="1" x14ac:dyDescent="0.2">
      <c r="B47" s="145" t="s">
        <v>2122</v>
      </c>
      <c r="C47" s="2"/>
      <c r="D47" s="2"/>
      <c r="E47" s="2"/>
      <c r="F47" s="2"/>
      <c r="G47" s="2"/>
    </row>
    <row r="48" spans="1:9" ht="29" hidden="1" customHeight="1" outlineLevel="1" x14ac:dyDescent="0.2">
      <c r="B48" s="55"/>
      <c r="C48" s="2"/>
      <c r="D48" s="2"/>
      <c r="E48" s="2"/>
      <c r="F48" s="2"/>
      <c r="G48" s="2"/>
    </row>
    <row r="49" spans="1:24" ht="29" hidden="1" customHeight="1" outlineLevel="1" x14ac:dyDescent="0.2">
      <c r="B49" s="548" t="s">
        <v>2123</v>
      </c>
      <c r="C49" s="2"/>
      <c r="D49" s="2"/>
      <c r="E49" s="2"/>
      <c r="F49" s="2"/>
      <c r="G49" s="2"/>
    </row>
    <row r="50" spans="1:24" ht="29" hidden="1" customHeight="1" outlineLevel="1" thickBot="1" x14ac:dyDescent="0.25">
      <c r="B50" s="55"/>
      <c r="C50" s="2"/>
      <c r="D50" s="2"/>
      <c r="E50" s="2"/>
      <c r="F50" s="2"/>
      <c r="G50" s="2"/>
      <c r="I50"/>
      <c r="J50"/>
      <c r="K50"/>
      <c r="L50"/>
      <c r="M50"/>
      <c r="N50"/>
      <c r="O50"/>
      <c r="P50"/>
      <c r="Q50"/>
    </row>
    <row r="51" spans="1:24" ht="33" hidden="1" customHeight="1" outlineLevel="1" x14ac:dyDescent="0.2">
      <c r="B51" s="1964" t="s">
        <v>26</v>
      </c>
      <c r="C51" s="2805" t="s">
        <v>2589</v>
      </c>
      <c r="D51" s="2806"/>
      <c r="E51" s="2806"/>
      <c r="F51" s="2806"/>
      <c r="G51" s="2806"/>
      <c r="H51" s="2807"/>
      <c r="I51"/>
      <c r="K51" s="374"/>
      <c r="L51" s="539"/>
      <c r="M51"/>
      <c r="N51"/>
      <c r="O51"/>
      <c r="P51"/>
      <c r="Q51"/>
    </row>
    <row r="52" spans="1:24" ht="51" hidden="1" customHeight="1" outlineLevel="1" x14ac:dyDescent="0.2">
      <c r="B52" s="1965" t="s">
        <v>27</v>
      </c>
      <c r="C52" s="2817" t="s">
        <v>2131</v>
      </c>
      <c r="D52" s="2818"/>
      <c r="E52" s="2818"/>
      <c r="F52" s="2818"/>
      <c r="G52" s="2818"/>
      <c r="H52" s="2819"/>
      <c r="I52"/>
      <c r="J52" s="2"/>
      <c r="K52" s="2"/>
      <c r="L52" s="539"/>
      <c r="M52"/>
      <c r="N52" s="2"/>
      <c r="O52" s="2"/>
      <c r="P52" s="2"/>
      <c r="Q52"/>
      <c r="R52"/>
      <c r="S52"/>
      <c r="T52"/>
      <c r="U52"/>
    </row>
    <row r="53" spans="1:24" ht="66" hidden="1" customHeight="1" outlineLevel="1" thickBot="1" x14ac:dyDescent="0.25">
      <c r="A53" s="2"/>
      <c r="B53" s="1966" t="s">
        <v>28</v>
      </c>
      <c r="C53" s="2814" t="s">
        <v>2170</v>
      </c>
      <c r="D53" s="2815"/>
      <c r="E53" s="2815"/>
      <c r="F53" s="2815"/>
      <c r="G53" s="2815"/>
      <c r="H53" s="2816"/>
      <c r="I53"/>
      <c r="J53"/>
      <c r="K53"/>
      <c r="L53"/>
      <c r="M53"/>
      <c r="Q53"/>
      <c r="R53"/>
      <c r="S53"/>
      <c r="T53"/>
      <c r="U53"/>
    </row>
    <row r="54" spans="1:24" ht="29" hidden="1" customHeight="1" outlineLevel="1" x14ac:dyDescent="0.2">
      <c r="A54" s="2"/>
      <c r="B54" s="2"/>
      <c r="C54" s="2"/>
      <c r="D54" s="2"/>
      <c r="E54" s="2"/>
      <c r="G54" s="2"/>
      <c r="H54" s="2"/>
      <c r="I54"/>
      <c r="Q54"/>
      <c r="R54"/>
      <c r="S54"/>
      <c r="T54"/>
      <c r="U54"/>
    </row>
    <row r="55" spans="1:24" ht="29" hidden="1" customHeight="1" outlineLevel="1" x14ac:dyDescent="0.2">
      <c r="B55" s="1967" t="s">
        <v>2120</v>
      </c>
      <c r="C55" s="1"/>
      <c r="D55"/>
      <c r="E55" s="2"/>
      <c r="I55"/>
      <c r="Q55"/>
      <c r="R55"/>
      <c r="S55" s="2000"/>
      <c r="T55" s="2004"/>
      <c r="U55"/>
      <c r="X55" s="547"/>
    </row>
    <row r="56" spans="1:24" ht="29" hidden="1" customHeight="1" outlineLevel="1" x14ac:dyDescent="0.2">
      <c r="A56" s="2"/>
      <c r="B56" s="126" t="s">
        <v>2121</v>
      </c>
      <c r="D56" s="232"/>
      <c r="E56" s="2"/>
      <c r="I56"/>
      <c r="Q56"/>
      <c r="R56"/>
      <c r="S56"/>
      <c r="T56" s="2004"/>
      <c r="U56"/>
    </row>
    <row r="57" spans="1:24" ht="29" hidden="1" customHeight="1" outlineLevel="1" x14ac:dyDescent="0.2">
      <c r="A57" s="2"/>
      <c r="B57" s="2820" t="s">
        <v>2132</v>
      </c>
      <c r="C57" s="2820"/>
      <c r="E57" s="2"/>
      <c r="I57"/>
      <c r="Q57"/>
      <c r="R57"/>
      <c r="S57"/>
      <c r="T57" s="2003"/>
      <c r="U57"/>
    </row>
    <row r="58" spans="1:24" ht="29" hidden="1" customHeight="1" outlineLevel="1" x14ac:dyDescent="0.2">
      <c r="A58" s="2"/>
      <c r="B58" s="2014" t="str">
        <f>'10.1 Stade'!B139</f>
        <v>Béton</v>
      </c>
      <c r="C58" s="2014">
        <f>'10.1 Stade'!C139</f>
        <v>0.2760169391716365</v>
      </c>
      <c r="E58" s="2"/>
      <c r="H58" s="539"/>
      <c r="I58"/>
    </row>
    <row r="59" spans="1:24" ht="29" hidden="1" customHeight="1" outlineLevel="1" x14ac:dyDescent="0.2">
      <c r="A59" s="2"/>
      <c r="B59" s="2014" t="str">
        <f>'10.1 Stade'!B140</f>
        <v>Acier</v>
      </c>
      <c r="C59" s="2014">
        <f>'10.1 Stade'!C140</f>
        <v>0.39945337505920814</v>
      </c>
      <c r="E59" s="2"/>
      <c r="H59" s="2003"/>
      <c r="I59"/>
    </row>
    <row r="60" spans="1:24" ht="29" hidden="1" customHeight="1" outlineLevel="1" x14ac:dyDescent="0.2">
      <c r="A60" s="2"/>
      <c r="B60" s="2014" t="str">
        <f>'10.1 Stade'!B141</f>
        <v>Divers éléments techniques, parachèvement et autres</v>
      </c>
      <c r="C60" s="2014">
        <f>'10.1 Stade'!C141</f>
        <v>0.32452968576915536</v>
      </c>
      <c r="D60"/>
      <c r="E60" s="2"/>
      <c r="H60" s="2003"/>
      <c r="I60"/>
      <c r="J60"/>
      <c r="K60"/>
      <c r="L60" s="2003"/>
      <c r="M60"/>
      <c r="N60"/>
      <c r="O60"/>
      <c r="P60" s="2003"/>
      <c r="Q60"/>
    </row>
    <row r="61" spans="1:24" ht="29" hidden="1" customHeight="1" outlineLevel="1" x14ac:dyDescent="0.2">
      <c r="A61" s="2"/>
      <c r="B61" s="2015" t="str">
        <f>'10.1 Stade'!B142</f>
        <v>TOTAL</v>
      </c>
      <c r="C61" s="2015">
        <f>'10.1 Stade'!C142</f>
        <v>1</v>
      </c>
      <c r="D61"/>
      <c r="E61" s="2"/>
      <c r="F61" s="2013"/>
      <c r="G61" s="2013"/>
      <c r="H61" s="2003"/>
      <c r="I61"/>
      <c r="J61"/>
      <c r="K61"/>
      <c r="L61" s="2003"/>
      <c r="M61"/>
      <c r="N61"/>
      <c r="O61"/>
      <c r="P61" s="2003"/>
      <c r="Q61"/>
    </row>
    <row r="62" spans="1:24" ht="29" hidden="1" customHeight="1" outlineLevel="1" x14ac:dyDescent="0.2">
      <c r="A62"/>
      <c r="B62"/>
      <c r="C62"/>
      <c r="D62"/>
      <c r="E62" s="2"/>
      <c r="F62" s="2013"/>
      <c r="G62" s="2013"/>
      <c r="H62" s="2003"/>
      <c r="I62"/>
      <c r="J62"/>
      <c r="K62"/>
      <c r="L62" s="2003"/>
      <c r="M62"/>
      <c r="N62"/>
      <c r="O62"/>
      <c r="P62" s="2003"/>
      <c r="Q62"/>
    </row>
    <row r="63" spans="1:24" ht="29" hidden="1" customHeight="1" outlineLevel="1" x14ac:dyDescent="0.2">
      <c r="A63" s="2"/>
      <c r="B63" s="1967" t="s">
        <v>2086</v>
      </c>
      <c r="E63" s="2"/>
      <c r="F63" s="2013"/>
      <c r="G63" s="2013"/>
      <c r="H63" s="2003"/>
      <c r="I63"/>
      <c r="J63"/>
      <c r="K63"/>
      <c r="L63" s="2003"/>
      <c r="M63"/>
      <c r="N63"/>
      <c r="O63"/>
      <c r="P63" s="2003"/>
      <c r="Q63"/>
    </row>
    <row r="64" spans="1:24" ht="29" hidden="1" customHeight="1" outlineLevel="1" x14ac:dyDescent="0.2">
      <c r="A64" s="2"/>
      <c r="B64" s="474" t="s">
        <v>2124</v>
      </c>
      <c r="E64" s="2"/>
      <c r="F64" s="2013"/>
      <c r="G64" s="2013"/>
      <c r="H64" s="2003"/>
      <c r="I64"/>
      <c r="J64"/>
      <c r="K64"/>
      <c r="L64" s="2003"/>
      <c r="M64"/>
      <c r="N64"/>
      <c r="O64"/>
      <c r="P64" s="2003"/>
      <c r="Q64"/>
    </row>
    <row r="65" spans="1:17" ht="29" hidden="1" customHeight="1" outlineLevel="1" x14ac:dyDescent="0.2">
      <c r="A65" s="2"/>
      <c r="B65" s="55" t="s">
        <v>2139</v>
      </c>
      <c r="J65"/>
      <c r="K65"/>
      <c r="L65" s="2003"/>
      <c r="M65"/>
      <c r="N65"/>
      <c r="O65"/>
      <c r="P65" s="2003"/>
      <c r="Q65"/>
    </row>
    <row r="66" spans="1:17" ht="29" hidden="1" customHeight="1" outlineLevel="1" x14ac:dyDescent="0.2">
      <c r="A66" s="2"/>
      <c r="B66"/>
      <c r="C66" s="2397">
        <v>2050</v>
      </c>
      <c r="D66"/>
      <c r="F66" s="2"/>
      <c r="J66"/>
      <c r="K66"/>
      <c r="L66" s="2003"/>
      <c r="M66"/>
      <c r="N66"/>
      <c r="O66"/>
      <c r="P66" s="2003"/>
      <c r="Q66"/>
    </row>
    <row r="67" spans="1:17" ht="29" hidden="1" customHeight="1" outlineLevel="1" x14ac:dyDescent="0.2">
      <c r="A67" s="2"/>
      <c r="B67" s="2401" t="s">
        <v>2130</v>
      </c>
      <c r="C67" s="2403">
        <v>0.8</v>
      </c>
      <c r="D67"/>
      <c r="F67" s="2"/>
      <c r="J67"/>
      <c r="K67"/>
      <c r="L67" s="2003"/>
      <c r="M67"/>
      <c r="N67"/>
      <c r="O67"/>
      <c r="P67" s="2003"/>
      <c r="Q67"/>
    </row>
    <row r="68" spans="1:17" ht="29" hidden="1" customHeight="1" outlineLevel="1" x14ac:dyDescent="0.2">
      <c r="A68" s="2"/>
      <c r="B68" s="2345" t="s">
        <v>2126</v>
      </c>
      <c r="C68" s="2396">
        <f>C59*(1-C67)</f>
        <v>7.9890675011841605E-2</v>
      </c>
      <c r="D68"/>
      <c r="E68" s="2"/>
      <c r="F68" s="2"/>
      <c r="J68"/>
      <c r="K68"/>
      <c r="L68" s="2003"/>
      <c r="M68"/>
      <c r="N68"/>
      <c r="O68"/>
      <c r="P68" s="2003"/>
      <c r="Q68"/>
    </row>
    <row r="69" spans="1:17" ht="29" hidden="1" customHeight="1" outlineLevel="1" x14ac:dyDescent="0.2">
      <c r="A69" s="2"/>
      <c r="B69" s="2016"/>
      <c r="C69"/>
      <c r="D69" s="1979"/>
      <c r="E69" s="2"/>
      <c r="F69" s="2"/>
      <c r="J69"/>
      <c r="K69"/>
      <c r="L69" s="2003"/>
      <c r="M69"/>
      <c r="N69"/>
      <c r="O69"/>
      <c r="P69" s="2003"/>
      <c r="Q69"/>
    </row>
    <row r="70" spans="1:17" ht="29" hidden="1" customHeight="1" outlineLevel="1" x14ac:dyDescent="0.2">
      <c r="A70" s="2"/>
      <c r="B70" s="474" t="s">
        <v>2127</v>
      </c>
      <c r="C70"/>
      <c r="D70" s="1979"/>
      <c r="E70" s="2"/>
      <c r="F70" s="2"/>
      <c r="J70"/>
      <c r="K70"/>
      <c r="L70" s="2003"/>
      <c r="M70"/>
      <c r="N70"/>
      <c r="O70"/>
      <c r="P70" s="2003"/>
      <c r="Q70"/>
    </row>
    <row r="71" spans="1:17" ht="29" hidden="1" customHeight="1" outlineLevel="1" x14ac:dyDescent="0.2">
      <c r="A71" s="2"/>
      <c r="B71" s="55" t="s">
        <v>2140</v>
      </c>
      <c r="C71"/>
      <c r="D71" s="1979"/>
      <c r="E71" s="2"/>
      <c r="F71" s="2"/>
      <c r="J71"/>
      <c r="K71"/>
      <c r="L71" s="2003"/>
      <c r="M71"/>
      <c r="N71"/>
      <c r="O71"/>
      <c r="P71" s="2003"/>
      <c r="Q71"/>
    </row>
    <row r="72" spans="1:17" ht="29" hidden="1" customHeight="1" outlineLevel="1" x14ac:dyDescent="0.2">
      <c r="A72" s="2"/>
      <c r="B72"/>
      <c r="C72" s="2397">
        <v>2050</v>
      </c>
      <c r="D72"/>
      <c r="F72" s="2"/>
      <c r="G72" s="2"/>
      <c r="H72" s="2003"/>
      <c r="I72"/>
      <c r="J72"/>
      <c r="K72"/>
      <c r="L72" s="2003"/>
      <c r="M72"/>
      <c r="N72"/>
      <c r="O72"/>
      <c r="P72" s="2003"/>
      <c r="Q72"/>
    </row>
    <row r="73" spans="1:17" ht="29" hidden="1" customHeight="1" outlineLevel="1" x14ac:dyDescent="0.2">
      <c r="A73" s="2"/>
      <c r="B73" s="2401" t="s">
        <v>2125</v>
      </c>
      <c r="C73" s="2402">
        <v>0.75</v>
      </c>
      <c r="D73"/>
      <c r="F73" s="2"/>
      <c r="G73" s="220"/>
      <c r="H73" s="2003"/>
      <c r="I73"/>
      <c r="J73"/>
      <c r="K73"/>
      <c r="L73" s="2003"/>
      <c r="M73"/>
      <c r="N73"/>
      <c r="O73"/>
      <c r="P73" s="2003"/>
      <c r="Q73"/>
    </row>
    <row r="74" spans="1:17" ht="29" hidden="1" customHeight="1" outlineLevel="1" x14ac:dyDescent="0.2">
      <c r="A74" s="2"/>
      <c r="B74" s="2345" t="s">
        <v>2126</v>
      </c>
      <c r="C74" s="2396">
        <f>C58*(1-C73)</f>
        <v>6.9004234792909125E-2</v>
      </c>
      <c r="D74"/>
      <c r="F74" s="2"/>
      <c r="G74" s="2"/>
      <c r="H74" s="2003"/>
      <c r="I74"/>
      <c r="J74"/>
      <c r="K74"/>
      <c r="L74" s="2003"/>
      <c r="M74"/>
      <c r="N74"/>
      <c r="O74"/>
      <c r="P74" s="2003"/>
      <c r="Q74"/>
    </row>
    <row r="75" spans="1:17" ht="29" hidden="1" customHeight="1" outlineLevel="1" x14ac:dyDescent="0.2">
      <c r="A75" s="2"/>
      <c r="B75" s="2016"/>
      <c r="C75"/>
      <c r="E75" s="2"/>
      <c r="F75" s="2"/>
      <c r="G75" s="2"/>
      <c r="H75" s="2003"/>
      <c r="I75"/>
      <c r="J75"/>
      <c r="K75"/>
      <c r="L75" s="2003"/>
      <c r="M75"/>
      <c r="N75"/>
      <c r="O75"/>
      <c r="P75" s="2003"/>
      <c r="Q75"/>
    </row>
    <row r="76" spans="1:17" ht="29" hidden="1" customHeight="1" outlineLevel="1" x14ac:dyDescent="0.2">
      <c r="A76" s="2"/>
      <c r="B76" s="474" t="s">
        <v>2128</v>
      </c>
      <c r="C76"/>
      <c r="D76" s="1979"/>
      <c r="E76" s="2"/>
      <c r="F76" s="2"/>
      <c r="G76" s="2"/>
      <c r="H76" s="2003"/>
      <c r="I76"/>
      <c r="J76"/>
      <c r="K76"/>
      <c r="L76" s="2003"/>
      <c r="M76"/>
      <c r="N76"/>
      <c r="O76"/>
      <c r="P76" s="2003"/>
      <c r="Q76"/>
    </row>
    <row r="77" spans="1:17" ht="29" hidden="1" customHeight="1" outlineLevel="1" x14ac:dyDescent="0.2">
      <c r="A77" s="2"/>
      <c r="B77" s="55" t="s">
        <v>2129</v>
      </c>
      <c r="C77"/>
      <c r="D77" s="1979"/>
      <c r="E77" s="2"/>
      <c r="F77" s="2"/>
      <c r="G77" s="2"/>
      <c r="H77" s="2003"/>
      <c r="I77"/>
      <c r="J77"/>
      <c r="K77"/>
      <c r="L77" s="2003"/>
      <c r="M77"/>
      <c r="N77"/>
      <c r="O77"/>
      <c r="P77" s="2003"/>
      <c r="Q77"/>
    </row>
    <row r="78" spans="1:17" ht="29" hidden="1" customHeight="1" outlineLevel="1" x14ac:dyDescent="0.2">
      <c r="A78" s="2"/>
      <c r="B78"/>
      <c r="C78" s="2397">
        <v>2050</v>
      </c>
      <c r="D78"/>
      <c r="E78" s="2"/>
      <c r="F78" s="2"/>
      <c r="G78" s="2"/>
      <c r="H78" s="2003"/>
      <c r="I78"/>
      <c r="J78"/>
      <c r="K78"/>
      <c r="L78" s="2003"/>
      <c r="M78"/>
      <c r="N78"/>
      <c r="O78"/>
      <c r="P78" s="2003"/>
      <c r="Q78"/>
    </row>
    <row r="79" spans="1:17" ht="29" hidden="1" customHeight="1" outlineLevel="1" x14ac:dyDescent="0.2">
      <c r="A79" s="2"/>
      <c r="B79" s="2401" t="s">
        <v>2130</v>
      </c>
      <c r="C79" s="504">
        <f>AVERAGE(C73,C67)</f>
        <v>0.77500000000000002</v>
      </c>
      <c r="D79"/>
      <c r="E79" s="2"/>
      <c r="F79" s="2"/>
      <c r="G79" s="2"/>
      <c r="H79" s="2003"/>
      <c r="I79"/>
      <c r="J79"/>
      <c r="K79"/>
      <c r="L79" s="2003"/>
      <c r="M79"/>
      <c r="N79"/>
      <c r="O79"/>
      <c r="P79" s="2003"/>
      <c r="Q79"/>
    </row>
    <row r="80" spans="1:17" ht="29" hidden="1" customHeight="1" outlineLevel="1" x14ac:dyDescent="0.2">
      <c r="A80" s="2"/>
      <c r="B80" s="2345" t="s">
        <v>2126</v>
      </c>
      <c r="C80" s="2396">
        <f>C60*(1-C79)</f>
        <v>7.3019179298059955E-2</v>
      </c>
      <c r="D80"/>
      <c r="E80" s="2"/>
      <c r="F80" s="2"/>
      <c r="G80" s="2"/>
      <c r="H80" s="2003"/>
      <c r="I80"/>
      <c r="J80"/>
      <c r="K80"/>
      <c r="L80" s="2003"/>
      <c r="M80"/>
      <c r="N80"/>
      <c r="O80"/>
      <c r="P80" s="2003"/>
      <c r="Q80"/>
    </row>
    <row r="81" spans="1:17" ht="29" hidden="1" customHeight="1" outlineLevel="1" thickBot="1" x14ac:dyDescent="0.25">
      <c r="A81" s="2"/>
      <c r="B81" s="2016"/>
      <c r="C81"/>
      <c r="D81" s="1979"/>
      <c r="E81" s="2"/>
      <c r="F81" s="2"/>
      <c r="H81" s="2"/>
      <c r="I81" s="2003"/>
      <c r="J81"/>
      <c r="K81"/>
      <c r="L81" s="2003"/>
      <c r="M81"/>
      <c r="N81"/>
      <c r="O81"/>
      <c r="P81" s="2003"/>
      <c r="Q81"/>
    </row>
    <row r="82" spans="1:17" customFormat="1" ht="35" hidden="1" customHeight="1" outlineLevel="1" thickBot="1" x14ac:dyDescent="0.25">
      <c r="B82" s="2020" t="s">
        <v>2141</v>
      </c>
      <c r="C82" s="2017">
        <f>100%-(C80+C74+C68)</f>
        <v>0.77808591089718937</v>
      </c>
      <c r="E82" s="2406"/>
      <c r="F82" s="2004"/>
      <c r="G82" s="126"/>
      <c r="H82" s="126"/>
    </row>
    <row r="83" spans="1:17" customFormat="1" ht="29" hidden="1" customHeight="1" outlineLevel="1" x14ac:dyDescent="0.2">
      <c r="B83" s="126"/>
      <c r="E83" s="126"/>
      <c r="F83" s="2004"/>
      <c r="G83" s="2389"/>
      <c r="H83" s="126"/>
    </row>
    <row r="84" spans="1:17" ht="29" hidden="1" customHeight="1" outlineLevel="1" x14ac:dyDescent="0.2">
      <c r="A84" s="2"/>
      <c r="B84" s="825"/>
      <c r="C84" s="551"/>
      <c r="D84" s="1979"/>
      <c r="E84" s="2"/>
      <c r="F84" s="2"/>
      <c r="G84" s="2"/>
      <c r="H84" s="2"/>
      <c r="I84"/>
      <c r="J84"/>
      <c r="K84"/>
      <c r="L84"/>
      <c r="M84"/>
      <c r="N84"/>
      <c r="O84"/>
      <c r="P84"/>
      <c r="Q84"/>
    </row>
    <row r="85" spans="1:17" ht="29" hidden="1" customHeight="1" outlineLevel="1" x14ac:dyDescent="0.2">
      <c r="A85" s="2"/>
      <c r="B85" s="548" t="s">
        <v>2135</v>
      </c>
      <c r="C85" s="2"/>
      <c r="D85" s="656"/>
      <c r="E85" s="2"/>
    </row>
    <row r="86" spans="1:17" ht="29" hidden="1" customHeight="1" outlineLevel="1" thickBot="1" x14ac:dyDescent="0.25">
      <c r="A86" s="2"/>
      <c r="B86" s="2"/>
      <c r="C86" s="2"/>
      <c r="D86" s="2"/>
      <c r="E86" s="2"/>
    </row>
    <row r="87" spans="1:17" ht="75" hidden="1" customHeight="1" outlineLevel="1" x14ac:dyDescent="0.2">
      <c r="A87" s="2"/>
      <c r="B87" s="1964" t="s">
        <v>27</v>
      </c>
      <c r="C87" s="2811" t="s">
        <v>2089</v>
      </c>
      <c r="D87" s="2812"/>
      <c r="E87" s="2812"/>
      <c r="F87" s="2812"/>
      <c r="G87" s="2812"/>
      <c r="H87" s="2813"/>
      <c r="I87"/>
      <c r="J87"/>
      <c r="K87"/>
      <c r="L87"/>
      <c r="M87"/>
      <c r="N87"/>
      <c r="O87"/>
      <c r="P87"/>
      <c r="Q87"/>
    </row>
    <row r="88" spans="1:17" ht="52" hidden="1" customHeight="1" outlineLevel="1" thickBot="1" x14ac:dyDescent="0.25">
      <c r="A88" s="2"/>
      <c r="B88" s="1966" t="s">
        <v>28</v>
      </c>
      <c r="C88" s="2808" t="s">
        <v>2171</v>
      </c>
      <c r="D88" s="2809"/>
      <c r="E88" s="2809"/>
      <c r="F88" s="2809"/>
      <c r="G88" s="2809"/>
      <c r="H88" s="2810"/>
      <c r="I88"/>
      <c r="J88"/>
      <c r="K88"/>
      <c r="L88"/>
      <c r="M88"/>
      <c r="N88"/>
      <c r="O88"/>
      <c r="P88"/>
      <c r="Q88"/>
    </row>
    <row r="89" spans="1:17" ht="22" hidden="1" customHeight="1" outlineLevel="1" x14ac:dyDescent="0.2">
      <c r="A89" s="2"/>
      <c r="B89" s="551"/>
      <c r="C89" s="2"/>
      <c r="D89" s="2"/>
      <c r="E89" s="2"/>
      <c r="F89" s="2"/>
      <c r="G89" s="2"/>
      <c r="H89" s="2"/>
      <c r="I89"/>
      <c r="J89"/>
      <c r="K89"/>
      <c r="L89"/>
      <c r="M89"/>
      <c r="N89"/>
      <c r="O89"/>
      <c r="P89"/>
      <c r="Q89"/>
    </row>
    <row r="90" spans="1:17" ht="24" hidden="1" customHeight="1" outlineLevel="1" thickBot="1" x14ac:dyDescent="0.25">
      <c r="A90" s="2"/>
      <c r="B90" s="551" t="s">
        <v>2136</v>
      </c>
      <c r="C90" s="551"/>
      <c r="D90" s="551"/>
      <c r="E90" s="551"/>
      <c r="F90" s="551"/>
      <c r="G90" s="551"/>
      <c r="H90" s="551"/>
      <c r="I90" s="551"/>
      <c r="J90" s="551"/>
      <c r="K90" s="551"/>
      <c r="L90" s="551"/>
      <c r="M90" s="551"/>
      <c r="N90" s="551"/>
      <c r="O90" s="551"/>
      <c r="P90" s="551"/>
      <c r="Q90" s="551"/>
    </row>
    <row r="91" spans="1:17" ht="24" hidden="1" customHeight="1" outlineLevel="1" thickBot="1" x14ac:dyDescent="0.25">
      <c r="A91" s="2"/>
      <c r="B91" s="55"/>
      <c r="C91" s="1969">
        <v>2022</v>
      </c>
      <c r="D91" s="1969">
        <v>2050</v>
      </c>
      <c r="E91" s="1"/>
      <c r="F91" s="55"/>
      <c r="G91" s="55"/>
      <c r="H91" s="2"/>
      <c r="I91" s="2"/>
      <c r="J91" s="2"/>
      <c r="K91" s="2"/>
      <c r="L91" s="2"/>
      <c r="M91" s="2"/>
      <c r="N91" s="2"/>
      <c r="O91" s="2"/>
      <c r="P91" s="2"/>
      <c r="Q91" s="551"/>
    </row>
    <row r="92" spans="1:17" ht="24" hidden="1" customHeight="1" outlineLevel="1" x14ac:dyDescent="0.2">
      <c r="A92" s="2"/>
      <c r="B92" s="518" t="s">
        <v>2137</v>
      </c>
      <c r="C92" s="1974">
        <v>481</v>
      </c>
      <c r="D92" s="1970">
        <v>211</v>
      </c>
      <c r="E92" s="1"/>
      <c r="F92" s="55"/>
      <c r="G92" s="55"/>
      <c r="H92" s="2"/>
      <c r="I92" s="2"/>
      <c r="J92" s="2"/>
      <c r="K92" s="2"/>
      <c r="L92" s="2"/>
      <c r="M92" s="2"/>
      <c r="N92" s="2"/>
      <c r="O92" s="2"/>
      <c r="P92" s="2"/>
    </row>
    <row r="93" spans="1:17" ht="24" hidden="1" customHeight="1" outlineLevel="1" x14ac:dyDescent="0.2">
      <c r="A93" s="2"/>
      <c r="B93" s="1968" t="s">
        <v>2138</v>
      </c>
      <c r="C93" s="1975">
        <v>163</v>
      </c>
      <c r="D93" s="1971">
        <v>68</v>
      </c>
      <c r="E93" s="1"/>
      <c r="F93" s="55"/>
      <c r="G93" s="55"/>
      <c r="H93" s="2"/>
      <c r="I93" s="2"/>
      <c r="J93" s="2"/>
      <c r="K93" s="2"/>
      <c r="L93" s="2"/>
      <c r="M93" s="2"/>
      <c r="N93" s="2"/>
      <c r="O93" s="2"/>
      <c r="P93" s="2"/>
    </row>
    <row r="94" spans="1:17" ht="24" hidden="1" customHeight="1" outlineLevel="1" thickBot="1" x14ac:dyDescent="0.25">
      <c r="A94"/>
      <c r="B94" s="1972" t="s">
        <v>2087</v>
      </c>
      <c r="C94" s="1976">
        <f>(C93-C92)/C92</f>
        <v>-0.66112266112266116</v>
      </c>
      <c r="D94" s="1973">
        <f>(D93-D92)/D92</f>
        <v>-0.67772511848341233</v>
      </c>
      <c r="E94" s="232"/>
      <c r="F94" s="547"/>
      <c r="G94" s="328"/>
      <c r="H94" s="2"/>
      <c r="I94" s="2"/>
      <c r="J94" s="2"/>
      <c r="K94" s="2"/>
      <c r="L94" s="2"/>
      <c r="M94" s="2"/>
      <c r="N94" s="2"/>
      <c r="O94" s="2"/>
      <c r="P94" s="2"/>
    </row>
    <row r="95" spans="1:17" ht="24" hidden="1" customHeight="1" outlineLevel="1" x14ac:dyDescent="0.2">
      <c r="A95"/>
      <c r="B95" s="102"/>
      <c r="C95" s="2404"/>
      <c r="D95" s="2405"/>
      <c r="E95" s="232"/>
      <c r="F95" s="547"/>
      <c r="G95" s="328"/>
      <c r="H95" s="2"/>
      <c r="I95" s="2"/>
      <c r="J95" s="2"/>
      <c r="K95" s="2"/>
      <c r="L95" s="2"/>
      <c r="M95" s="2"/>
      <c r="N95" s="2"/>
      <c r="O95" s="2"/>
      <c r="P95" s="2"/>
    </row>
    <row r="96" spans="1:17" ht="24" hidden="1" customHeight="1" outlineLevel="1" thickBot="1" x14ac:dyDescent="0.25">
      <c r="A96"/>
      <c r="B96" s="55" t="s">
        <v>2565</v>
      </c>
      <c r="C96" s="2404"/>
      <c r="D96" s="2405"/>
      <c r="E96" s="232"/>
      <c r="F96" s="547"/>
      <c r="G96" s="328"/>
      <c r="H96" s="2"/>
      <c r="I96" s="2"/>
      <c r="J96" s="2"/>
      <c r="K96" s="2"/>
      <c r="L96" s="2"/>
      <c r="M96" s="2"/>
      <c r="N96" s="2"/>
      <c r="O96" s="2"/>
      <c r="P96" s="2"/>
    </row>
    <row r="97" spans="1:16" ht="24" hidden="1" customHeight="1" outlineLevel="1" thickBot="1" x14ac:dyDescent="0.25">
      <c r="A97"/>
      <c r="B97" s="55"/>
      <c r="C97" s="1969">
        <v>2022</v>
      </c>
      <c r="D97" s="1969">
        <v>2050</v>
      </c>
      <c r="E97" s="232"/>
      <c r="F97" s="547"/>
      <c r="G97" s="328"/>
      <c r="H97" s="2"/>
      <c r="I97" s="2"/>
      <c r="J97" s="2"/>
      <c r="K97" s="2"/>
      <c r="L97" s="2"/>
      <c r="M97" s="2"/>
      <c r="N97" s="2"/>
      <c r="O97" s="2"/>
      <c r="P97" s="2"/>
    </row>
    <row r="98" spans="1:16" ht="24" hidden="1" customHeight="1" outlineLevel="1" x14ac:dyDescent="0.2">
      <c r="A98"/>
      <c r="B98" s="518" t="s">
        <v>2563</v>
      </c>
      <c r="C98" s="1974">
        <f>'10.1 Stade'!E52</f>
        <v>1522.2380054015412</v>
      </c>
      <c r="D98" s="1970">
        <f>C98*D92/C92</f>
        <v>667.75929135078002</v>
      </c>
      <c r="E98" s="232"/>
      <c r="F98" s="547"/>
      <c r="G98" s="328"/>
      <c r="H98" s="2"/>
      <c r="I98" s="2"/>
      <c r="J98" s="2"/>
      <c r="K98" s="2"/>
      <c r="L98" s="2"/>
      <c r="M98" s="2"/>
      <c r="N98" s="2"/>
      <c r="O98" s="2"/>
      <c r="P98" s="2"/>
    </row>
    <row r="99" spans="1:16" ht="24" hidden="1" customHeight="1" outlineLevel="1" x14ac:dyDescent="0.2">
      <c r="A99"/>
      <c r="B99" s="1968" t="s">
        <v>2564</v>
      </c>
      <c r="C99" s="1975">
        <f>'10.1 Stade'!E53</f>
        <v>515.85196440842242</v>
      </c>
      <c r="D99" s="1971">
        <f>C99*D93/C93</f>
        <v>215.20204650167315</v>
      </c>
      <c r="E99" s="232"/>
      <c r="F99" s="547"/>
      <c r="G99" s="328"/>
      <c r="H99" s="2"/>
      <c r="I99" s="2"/>
      <c r="J99" s="2"/>
      <c r="K99" s="2"/>
      <c r="L99" s="2"/>
      <c r="M99" s="2"/>
      <c r="N99" s="2"/>
      <c r="O99" s="2"/>
      <c r="P99" s="2"/>
    </row>
    <row r="100" spans="1:16" ht="24" hidden="1" customHeight="1" outlineLevel="1" thickBot="1" x14ac:dyDescent="0.25">
      <c r="A100"/>
      <c r="B100" s="1972" t="s">
        <v>2087</v>
      </c>
      <c r="C100" s="1976">
        <f>(C99-C98)/C98</f>
        <v>-0.66112266112266116</v>
      </c>
      <c r="D100" s="1973">
        <f>(D99-D98)/D98</f>
        <v>-0.67772511848341233</v>
      </c>
      <c r="E100" s="232"/>
      <c r="F100" s="547"/>
      <c r="G100" s="328"/>
      <c r="H100" s="2"/>
      <c r="I100" s="2"/>
      <c r="J100" s="2"/>
      <c r="K100" s="2"/>
      <c r="L100" s="2"/>
      <c r="M100" s="2"/>
      <c r="N100" s="2"/>
      <c r="O100" s="2"/>
      <c r="P100" s="2"/>
    </row>
    <row r="101" spans="1:16" ht="24" hidden="1" customHeight="1" outlineLevel="1" x14ac:dyDescent="0.2">
      <c r="A101"/>
      <c r="B101" s="102"/>
      <c r="C101" s="2404"/>
      <c r="D101" s="2405"/>
      <c r="E101" s="232"/>
      <c r="F101" s="547"/>
      <c r="G101" s="328"/>
      <c r="H101" s="2"/>
      <c r="I101" s="2"/>
      <c r="J101" s="2"/>
      <c r="K101" s="2"/>
      <c r="L101" s="2"/>
      <c r="M101" s="2"/>
      <c r="N101" s="2"/>
      <c r="O101" s="2"/>
      <c r="P101" s="2"/>
    </row>
    <row r="102" spans="1:16" ht="16" hidden="1" outlineLevel="1" x14ac:dyDescent="0.2">
      <c r="B102" s="2"/>
      <c r="C102" s="2"/>
      <c r="D102" s="2"/>
      <c r="E102" s="2"/>
      <c r="F102" s="2"/>
      <c r="G102" s="2"/>
      <c r="H102" s="2"/>
      <c r="I102" s="2"/>
      <c r="J102" s="2"/>
      <c r="K102" s="2"/>
      <c r="L102" s="2"/>
      <c r="M102" s="2"/>
      <c r="N102" s="2"/>
      <c r="O102" s="2"/>
      <c r="P102" s="2"/>
    </row>
    <row r="103" spans="1:16" ht="20" hidden="1" outlineLevel="1" x14ac:dyDescent="0.2">
      <c r="B103" s="145"/>
      <c r="C103" s="2"/>
      <c r="D103" s="2"/>
      <c r="E103" s="2"/>
      <c r="F103" s="2"/>
      <c r="G103" s="2"/>
      <c r="H103" s="2"/>
      <c r="I103" s="2"/>
      <c r="J103" s="2"/>
      <c r="K103" s="2"/>
      <c r="L103" s="2"/>
      <c r="M103" s="2"/>
      <c r="N103" s="2"/>
      <c r="O103" s="2"/>
      <c r="P103" s="2"/>
    </row>
    <row r="104" spans="1:16" ht="16" hidden="1" outlineLevel="1" x14ac:dyDescent="0.2">
      <c r="B104" s="2"/>
      <c r="C104" s="2"/>
      <c r="D104" s="2"/>
      <c r="E104" s="2"/>
      <c r="F104" s="2"/>
      <c r="G104" s="2"/>
      <c r="H104" s="2"/>
      <c r="I104" s="2"/>
      <c r="J104" s="2"/>
      <c r="K104" s="2"/>
      <c r="L104" s="2"/>
      <c r="M104" s="2"/>
      <c r="N104" s="2"/>
      <c r="O104" s="2"/>
      <c r="P104" s="2"/>
    </row>
    <row r="105" spans="1:16" ht="16" hidden="1" outlineLevel="1" x14ac:dyDescent="0.2">
      <c r="B105" s="2"/>
      <c r="C105" s="2"/>
      <c r="D105" s="2"/>
      <c r="E105" s="2"/>
      <c r="F105" s="2"/>
      <c r="G105" s="2"/>
      <c r="H105" s="2"/>
      <c r="I105" s="2"/>
      <c r="J105" s="2"/>
      <c r="K105" s="2"/>
      <c r="L105" s="2"/>
      <c r="M105" s="2"/>
      <c r="N105" s="2"/>
      <c r="O105" s="2"/>
      <c r="P105" s="2"/>
    </row>
    <row r="106" spans="1:16" ht="16" hidden="1" outlineLevel="1" x14ac:dyDescent="0.2">
      <c r="B106" s="2"/>
      <c r="C106" s="2"/>
      <c r="D106" s="2"/>
      <c r="E106" s="2"/>
      <c r="F106" s="2"/>
      <c r="G106" s="2"/>
      <c r="H106" s="2"/>
      <c r="I106" s="2"/>
      <c r="J106" s="2"/>
      <c r="K106" s="2"/>
      <c r="L106" s="2"/>
      <c r="M106" s="2"/>
      <c r="N106" s="2"/>
      <c r="O106" s="2"/>
      <c r="P106" s="2"/>
    </row>
    <row r="107" spans="1:16" ht="16" hidden="1" outlineLevel="1" x14ac:dyDescent="0.2">
      <c r="J107" s="2"/>
      <c r="K107" s="2"/>
      <c r="L107" s="2"/>
      <c r="M107" s="2"/>
      <c r="N107" s="2"/>
      <c r="O107" s="2"/>
      <c r="P107" s="2"/>
    </row>
    <row r="108" spans="1:16" ht="16" hidden="1" outlineLevel="1" x14ac:dyDescent="0.2">
      <c r="J108" s="2"/>
      <c r="K108" s="2"/>
      <c r="L108" s="2"/>
      <c r="M108" s="2"/>
      <c r="N108" s="2"/>
      <c r="O108" s="2"/>
      <c r="P108" s="2"/>
    </row>
    <row r="109" spans="1:16" collapsed="1" x14ac:dyDescent="0.2"/>
    <row r="110" spans="1:16" ht="25" x14ac:dyDescent="0.2">
      <c r="B110" s="144" t="s">
        <v>1601</v>
      </c>
    </row>
    <row r="111" spans="1:16" hidden="1" outlineLevel="1" x14ac:dyDescent="0.2"/>
    <row r="112" spans="1:16" ht="20" hidden="1" outlineLevel="1" x14ac:dyDescent="0.2">
      <c r="B112" s="1602" t="s">
        <v>2088</v>
      </c>
    </row>
    <row r="113" spans="2:2" hidden="1" outlineLevel="1" x14ac:dyDescent="0.2"/>
    <row r="114" spans="2:2" hidden="1" outlineLevel="1" x14ac:dyDescent="0.2">
      <c r="B114" s="1984" t="s">
        <v>2097</v>
      </c>
    </row>
    <row r="115" spans="2:2" hidden="1" outlineLevel="1" x14ac:dyDescent="0.2"/>
    <row r="116" spans="2:2" hidden="1" outlineLevel="1" x14ac:dyDescent="0.2"/>
    <row r="117" spans="2:2" hidden="1" outlineLevel="1" x14ac:dyDescent="0.2"/>
    <row r="118" spans="2:2" hidden="1" outlineLevel="1" x14ac:dyDescent="0.2"/>
    <row r="119" spans="2:2" hidden="1" outlineLevel="1" x14ac:dyDescent="0.2"/>
    <row r="120" spans="2:2" hidden="1" outlineLevel="1" x14ac:dyDescent="0.2"/>
    <row r="121" spans="2:2" hidden="1" outlineLevel="1" x14ac:dyDescent="0.2"/>
    <row r="122" spans="2:2" hidden="1" outlineLevel="1" x14ac:dyDescent="0.2"/>
    <row r="123" spans="2:2" hidden="1" outlineLevel="1" x14ac:dyDescent="0.2"/>
    <row r="124" spans="2:2" hidden="1" outlineLevel="1" x14ac:dyDescent="0.2"/>
    <row r="125" spans="2:2" hidden="1" outlineLevel="1" x14ac:dyDescent="0.2"/>
    <row r="126" spans="2:2" hidden="1" outlineLevel="1" x14ac:dyDescent="0.2"/>
    <row r="127" spans="2:2" hidden="1" outlineLevel="1" x14ac:dyDescent="0.2"/>
    <row r="128" spans="2:2" hidden="1" outlineLevel="1" x14ac:dyDescent="0.2"/>
    <row r="129" spans="2:31" hidden="1" outlineLevel="1" x14ac:dyDescent="0.2"/>
    <row r="130" spans="2:31" hidden="1" outlineLevel="1" x14ac:dyDescent="0.2"/>
    <row r="131" spans="2:31" hidden="1" outlineLevel="1" x14ac:dyDescent="0.2"/>
    <row r="132" spans="2:31" hidden="1" outlineLevel="1" x14ac:dyDescent="0.2"/>
    <row r="133" spans="2:31" hidden="1" outlineLevel="1" x14ac:dyDescent="0.2"/>
    <row r="134" spans="2:31" hidden="1" outlineLevel="1" x14ac:dyDescent="0.2"/>
    <row r="135" spans="2:31" hidden="1" outlineLevel="1" x14ac:dyDescent="0.2"/>
    <row r="136" spans="2:31" hidden="1" outlineLevel="1" x14ac:dyDescent="0.2"/>
    <row r="137" spans="2:31" hidden="1" outlineLevel="1" x14ac:dyDescent="0.2"/>
    <row r="138" spans="2:31" hidden="1" outlineLevel="1" x14ac:dyDescent="0.2"/>
    <row r="139" spans="2:31" hidden="1" outlineLevel="1" x14ac:dyDescent="0.2"/>
    <row r="140" spans="2:31" hidden="1" outlineLevel="1" x14ac:dyDescent="0.2"/>
    <row r="141" spans="2:31" hidden="1" outlineLevel="1" x14ac:dyDescent="0.2"/>
    <row r="142" spans="2:31" ht="20" hidden="1" outlineLevel="1" x14ac:dyDescent="0.2">
      <c r="B142" s="1602" t="s">
        <v>2583</v>
      </c>
    </row>
    <row r="143" spans="2:31" hidden="1" outlineLevel="1" x14ac:dyDescent="0.2"/>
    <row r="144" spans="2:31" ht="16" hidden="1" outlineLevel="1" x14ac:dyDescent="0.2">
      <c r="B144" s="328" t="s">
        <v>2573</v>
      </c>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row>
    <row r="145" spans="2:31" ht="16" hidden="1" outlineLevel="1" x14ac:dyDescent="0.2">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row>
    <row r="146" spans="2:31" ht="16" hidden="1" outlineLevel="1" x14ac:dyDescent="0.2">
      <c r="B146" s="55" t="s">
        <v>2578</v>
      </c>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row>
    <row r="147" spans="2:31" ht="16" hidden="1" outlineLevel="1" x14ac:dyDescent="0.2">
      <c r="B147" s="55" t="s">
        <v>2579</v>
      </c>
      <c r="C147" s="55"/>
      <c r="D147" s="346">
        <f>(C150-AE150)/(2050-2022)</f>
        <v>13506.114417989416</v>
      </c>
      <c r="E147" s="55" t="s">
        <v>2569</v>
      </c>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row>
    <row r="148" spans="2:31" ht="16" hidden="1" outlineLevel="1" x14ac:dyDescent="0.2">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row>
    <row r="149" spans="2:31" ht="16" hidden="1" outlineLevel="1" x14ac:dyDescent="0.2">
      <c r="B149" s="7" t="s">
        <v>2567</v>
      </c>
      <c r="C149" s="7">
        <v>2022</v>
      </c>
      <c r="D149" s="7">
        <v>2023</v>
      </c>
      <c r="E149" s="7">
        <v>2024</v>
      </c>
      <c r="F149" s="7">
        <v>2025</v>
      </c>
      <c r="G149" s="7">
        <v>2026</v>
      </c>
      <c r="H149" s="7">
        <v>2027</v>
      </c>
      <c r="I149" s="7">
        <v>2028</v>
      </c>
      <c r="J149" s="7">
        <v>2029</v>
      </c>
      <c r="K149" s="7">
        <v>2030</v>
      </c>
      <c r="L149" s="7">
        <v>2031</v>
      </c>
      <c r="M149" s="7">
        <v>2032</v>
      </c>
      <c r="N149" s="7">
        <v>2033</v>
      </c>
      <c r="O149" s="7">
        <v>2034</v>
      </c>
      <c r="P149" s="7">
        <v>2035</v>
      </c>
      <c r="Q149" s="7">
        <v>2036</v>
      </c>
      <c r="R149" s="7">
        <v>2037</v>
      </c>
      <c r="S149" s="7">
        <v>2038</v>
      </c>
      <c r="T149" s="7">
        <v>2039</v>
      </c>
      <c r="U149" s="7">
        <v>2040</v>
      </c>
      <c r="V149" s="7">
        <v>2041</v>
      </c>
      <c r="W149" s="7">
        <v>2042</v>
      </c>
      <c r="X149" s="7">
        <v>2043</v>
      </c>
      <c r="Y149" s="7">
        <v>2044</v>
      </c>
      <c r="Z149" s="7">
        <v>2045</v>
      </c>
      <c r="AA149" s="7">
        <v>2046</v>
      </c>
      <c r="AB149" s="7">
        <v>2047</v>
      </c>
      <c r="AC149" s="7">
        <v>2048</v>
      </c>
      <c r="AD149" s="7">
        <v>2049</v>
      </c>
      <c r="AE149" s="7">
        <v>2050</v>
      </c>
    </row>
    <row r="150" spans="2:31" ht="16" hidden="1" outlineLevel="1" x14ac:dyDescent="0.2">
      <c r="B150" s="81" t="s">
        <v>2568</v>
      </c>
      <c r="C150" s="314">
        <f>'10.1 Stade'!C295</f>
        <v>698162.22222222213</v>
      </c>
      <c r="D150" s="314">
        <f>'10.1 Stade'!D295</f>
        <v>684656.10780423274</v>
      </c>
      <c r="E150" s="314">
        <f>'10.1 Stade'!E295</f>
        <v>671149.99338624335</v>
      </c>
      <c r="F150" s="314">
        <f>'10.1 Stade'!F295</f>
        <v>657643.87896825396</v>
      </c>
      <c r="G150" s="314">
        <f>'10.1 Stade'!G295</f>
        <v>644137.76455026458</v>
      </c>
      <c r="H150" s="314">
        <f>'10.1 Stade'!H295</f>
        <v>630631.65013227519</v>
      </c>
      <c r="I150" s="314">
        <f>'10.1 Stade'!I295</f>
        <v>617125.5357142858</v>
      </c>
      <c r="J150" s="314">
        <f>'10.1 Stade'!J295</f>
        <v>603619.42129629641</v>
      </c>
      <c r="K150" s="314">
        <f>'10.1 Stade'!K295</f>
        <v>590113.30687830702</v>
      </c>
      <c r="L150" s="314">
        <f>'10.1 Stade'!L295</f>
        <v>576607.19246031763</v>
      </c>
      <c r="M150" s="314">
        <f>'10.1 Stade'!M295</f>
        <v>563101.07804232824</v>
      </c>
      <c r="N150" s="314">
        <f>'10.1 Stade'!N295</f>
        <v>549594.96362433885</v>
      </c>
      <c r="O150" s="314">
        <f>'10.1 Stade'!O295</f>
        <v>536088.84920634946</v>
      </c>
      <c r="P150" s="314">
        <f>'10.1 Stade'!P295</f>
        <v>522582.73478836007</v>
      </c>
      <c r="Q150" s="314">
        <f>'10.1 Stade'!Q295</f>
        <v>509076.62037037069</v>
      </c>
      <c r="R150" s="314">
        <f>'10.1 Stade'!R295</f>
        <v>495570.5059523813</v>
      </c>
      <c r="S150" s="314">
        <f>'10.1 Stade'!S295</f>
        <v>482064.39153439191</v>
      </c>
      <c r="T150" s="314">
        <f>'10.1 Stade'!T295</f>
        <v>468558.27711640252</v>
      </c>
      <c r="U150" s="314">
        <f>'10.1 Stade'!U295</f>
        <v>455052.16269841313</v>
      </c>
      <c r="V150" s="314">
        <f>'10.1 Stade'!V295</f>
        <v>441546.04828042374</v>
      </c>
      <c r="W150" s="314">
        <f>'10.1 Stade'!W295</f>
        <v>428039.93386243435</v>
      </c>
      <c r="X150" s="314">
        <f>'10.1 Stade'!X295</f>
        <v>414533.81944444496</v>
      </c>
      <c r="Y150" s="314">
        <f>'10.1 Stade'!Y295</f>
        <v>401027.70502645557</v>
      </c>
      <c r="Z150" s="314">
        <f>'10.1 Stade'!Z295</f>
        <v>387521.59060846618</v>
      </c>
      <c r="AA150" s="314">
        <f>'10.1 Stade'!AA295</f>
        <v>374015.47619047679</v>
      </c>
      <c r="AB150" s="314">
        <f>'10.1 Stade'!AB295</f>
        <v>360509.36177248741</v>
      </c>
      <c r="AC150" s="314">
        <f>'10.1 Stade'!AC295</f>
        <v>347003.24735449802</v>
      </c>
      <c r="AD150" s="314">
        <f>'10.1 Stade'!AD295</f>
        <v>333497.13293650863</v>
      </c>
      <c r="AE150" s="314">
        <f>'10.1 Stade'!AE295</f>
        <v>319991.01851851848</v>
      </c>
    </row>
    <row r="151" spans="2:31" ht="16" hidden="1" outlineLevel="1" x14ac:dyDescent="0.2">
      <c r="B151" s="9" t="s">
        <v>2575</v>
      </c>
      <c r="C151" s="314">
        <f>'10.1 Stade'!C296</f>
        <v>0.44444444444444436</v>
      </c>
      <c r="D151" s="314">
        <f>'10.1 Stade'!D296</f>
        <v>0.43584656084656082</v>
      </c>
      <c r="E151" s="314">
        <f>'10.1 Stade'!E296</f>
        <v>0.42724867724867721</v>
      </c>
      <c r="F151" s="314">
        <f>'10.1 Stade'!F296</f>
        <v>0.41865079365079366</v>
      </c>
      <c r="G151" s="314">
        <f>'10.1 Stade'!G296</f>
        <v>0.41005291005291006</v>
      </c>
      <c r="H151" s="314">
        <f>'10.1 Stade'!H296</f>
        <v>0.40145502645502651</v>
      </c>
      <c r="I151" s="314">
        <f>'10.1 Stade'!I296</f>
        <v>0.3928571428571429</v>
      </c>
      <c r="J151" s="314">
        <f>'10.1 Stade'!J296</f>
        <v>0.38425925925925936</v>
      </c>
      <c r="K151" s="314">
        <f>'10.1 Stade'!K296</f>
        <v>0.37566137566137575</v>
      </c>
      <c r="L151" s="314">
        <f>'10.1 Stade'!L296</f>
        <v>0.36706349206349215</v>
      </c>
      <c r="M151" s="314">
        <f>'10.1 Stade'!M296</f>
        <v>0.3584656084656086</v>
      </c>
      <c r="N151" s="314">
        <f>'10.1 Stade'!N296</f>
        <v>0.34986772486772499</v>
      </c>
      <c r="O151" s="314">
        <f>'10.1 Stade'!O296</f>
        <v>0.34126984126984145</v>
      </c>
      <c r="P151" s="314">
        <f>'10.1 Stade'!P296</f>
        <v>0.33267195767195784</v>
      </c>
      <c r="Q151" s="314">
        <f>'10.1 Stade'!Q296</f>
        <v>0.32407407407407429</v>
      </c>
      <c r="R151" s="314">
        <f>'10.1 Stade'!R296</f>
        <v>0.31547619047619069</v>
      </c>
      <c r="S151" s="314">
        <f>'10.1 Stade'!S296</f>
        <v>0.30687830687830714</v>
      </c>
      <c r="T151" s="314">
        <f>'10.1 Stade'!T296</f>
        <v>0.29828042328042353</v>
      </c>
      <c r="U151" s="314">
        <f>'10.1 Stade'!U296</f>
        <v>0.28968253968253993</v>
      </c>
      <c r="V151" s="314">
        <f>'10.1 Stade'!V296</f>
        <v>0.28108465608465638</v>
      </c>
      <c r="W151" s="314">
        <f>'10.1 Stade'!W296</f>
        <v>0.27248677248677278</v>
      </c>
      <c r="X151" s="314">
        <f>'10.1 Stade'!X296</f>
        <v>0.26388888888888923</v>
      </c>
      <c r="Y151" s="314">
        <f>'10.1 Stade'!Y296</f>
        <v>0.25529100529100562</v>
      </c>
      <c r="Z151" s="314">
        <f>'10.1 Stade'!Z296</f>
        <v>0.24669312169312205</v>
      </c>
      <c r="AA151" s="314">
        <f>'10.1 Stade'!AA296</f>
        <v>0.23809523809523847</v>
      </c>
      <c r="AB151" s="314">
        <f>'10.1 Stade'!AB296</f>
        <v>0.22949735449735489</v>
      </c>
      <c r="AC151" s="314">
        <f>'10.1 Stade'!AC296</f>
        <v>0.22089947089947132</v>
      </c>
      <c r="AD151" s="314">
        <f>'10.1 Stade'!AD296</f>
        <v>0.21230158730158774</v>
      </c>
      <c r="AE151" s="314">
        <f>'10.1 Stade'!AE296</f>
        <v>0.20370370370370369</v>
      </c>
    </row>
    <row r="152" spans="2:31" ht="16" hidden="1" outlineLevel="1" x14ac:dyDescent="0.2">
      <c r="B152" s="81" t="s">
        <v>1613</v>
      </c>
      <c r="C152" s="314">
        <f>'10.1 Stade'!C297</f>
        <v>50</v>
      </c>
      <c r="D152" s="314">
        <f>'10.1 Stade'!D297</f>
        <v>50</v>
      </c>
      <c r="E152" s="314">
        <f>'10.1 Stade'!E297</f>
        <v>50</v>
      </c>
      <c r="F152" s="314">
        <f>'10.1 Stade'!F297</f>
        <v>50</v>
      </c>
      <c r="G152" s="314">
        <f>'10.1 Stade'!G297</f>
        <v>50</v>
      </c>
      <c r="H152" s="314">
        <f>'10.1 Stade'!H297</f>
        <v>50</v>
      </c>
      <c r="I152" s="314">
        <f>'10.1 Stade'!I297</f>
        <v>50</v>
      </c>
      <c r="J152" s="314">
        <f>'10.1 Stade'!J297</f>
        <v>50</v>
      </c>
      <c r="K152" s="314">
        <f>'10.1 Stade'!K297</f>
        <v>50</v>
      </c>
      <c r="L152" s="314">
        <f>'10.1 Stade'!L297</f>
        <v>50</v>
      </c>
      <c r="M152" s="314">
        <f>'10.1 Stade'!M297</f>
        <v>50</v>
      </c>
      <c r="N152" s="314">
        <f>'10.1 Stade'!N297</f>
        <v>50</v>
      </c>
      <c r="O152" s="314">
        <f>'10.1 Stade'!O297</f>
        <v>50</v>
      </c>
      <c r="P152" s="314">
        <f>'10.1 Stade'!P297</f>
        <v>50</v>
      </c>
      <c r="Q152" s="314">
        <f>'10.1 Stade'!Q297</f>
        <v>50</v>
      </c>
      <c r="R152" s="314">
        <f>'10.1 Stade'!R297</f>
        <v>50</v>
      </c>
      <c r="S152" s="314">
        <f>'10.1 Stade'!S297</f>
        <v>50</v>
      </c>
      <c r="T152" s="314">
        <f>'10.1 Stade'!T297</f>
        <v>50</v>
      </c>
      <c r="U152" s="314">
        <f>'10.1 Stade'!U297</f>
        <v>50</v>
      </c>
      <c r="V152" s="314">
        <f>'10.1 Stade'!V297</f>
        <v>50</v>
      </c>
      <c r="W152" s="314">
        <f>'10.1 Stade'!W297</f>
        <v>50</v>
      </c>
      <c r="X152" s="314">
        <f>'10.1 Stade'!X297</f>
        <v>50</v>
      </c>
      <c r="Y152" s="314">
        <f>'10.1 Stade'!Y297</f>
        <v>50</v>
      </c>
      <c r="Z152" s="314">
        <f>'10.1 Stade'!Z297</f>
        <v>50</v>
      </c>
      <c r="AA152" s="314">
        <f>'10.1 Stade'!AA297</f>
        <v>50</v>
      </c>
      <c r="AB152" s="314">
        <f>'10.1 Stade'!AB297</f>
        <v>50</v>
      </c>
      <c r="AC152" s="314">
        <f>'10.1 Stade'!AC297</f>
        <v>50</v>
      </c>
      <c r="AD152" s="314">
        <f>'10.1 Stade'!AD297</f>
        <v>50</v>
      </c>
      <c r="AE152" s="314">
        <f>'10.1 Stade'!AE297</f>
        <v>50</v>
      </c>
    </row>
    <row r="153" spans="2:31" ht="16" hidden="1" outlineLevel="1" x14ac:dyDescent="0.2">
      <c r="B153" s="81" t="s">
        <v>148</v>
      </c>
      <c r="C153" s="314">
        <f>'10.1 Stade'!C298</f>
        <v>1522.2380054015412</v>
      </c>
      <c r="D153" s="314">
        <f>'10.1 Stade'!D298</f>
        <v>1522.2380054015412</v>
      </c>
      <c r="E153" s="314">
        <f>'10.1 Stade'!E298</f>
        <v>1522.2380054015412</v>
      </c>
      <c r="F153" s="314">
        <f>'10.1 Stade'!F298</f>
        <v>1522.2380054015412</v>
      </c>
      <c r="G153" s="314">
        <f>'10.1 Stade'!G298</f>
        <v>1522.2380054015412</v>
      </c>
      <c r="H153" s="314">
        <f>'10.1 Stade'!H298</f>
        <v>1522.2380054015412</v>
      </c>
      <c r="I153" s="314">
        <f>'10.1 Stade'!I298</f>
        <v>1522.2380054015412</v>
      </c>
      <c r="J153" s="314">
        <f>'10.1 Stade'!J298</f>
        <v>1522.2380054015412</v>
      </c>
      <c r="K153" s="314">
        <f>'10.1 Stade'!K298</f>
        <v>1522.2380054015412</v>
      </c>
      <c r="L153" s="314">
        <f>'10.1 Stade'!L298</f>
        <v>1522.2380054015412</v>
      </c>
      <c r="M153" s="314">
        <f>'10.1 Stade'!M298</f>
        <v>1522.2380054015412</v>
      </c>
      <c r="N153" s="314">
        <f>'10.1 Stade'!N298</f>
        <v>1522.2380054015412</v>
      </c>
      <c r="O153" s="314">
        <f>'10.1 Stade'!O298</f>
        <v>1522.2380054015412</v>
      </c>
      <c r="P153" s="314">
        <f>'10.1 Stade'!P298</f>
        <v>1522.2380054015412</v>
      </c>
      <c r="Q153" s="314">
        <f>'10.1 Stade'!Q298</f>
        <v>1522.2380054015412</v>
      </c>
      <c r="R153" s="314">
        <f>'10.1 Stade'!R298</f>
        <v>1522.2380054015412</v>
      </c>
      <c r="S153" s="314">
        <f>'10.1 Stade'!S298</f>
        <v>1522.2380054015412</v>
      </c>
      <c r="T153" s="314">
        <f>'10.1 Stade'!T298</f>
        <v>1522.2380054015412</v>
      </c>
      <c r="U153" s="314">
        <f>'10.1 Stade'!U298</f>
        <v>1522.2380054015412</v>
      </c>
      <c r="V153" s="314">
        <f>'10.1 Stade'!V298</f>
        <v>1522.2380054015412</v>
      </c>
      <c r="W153" s="314">
        <f>'10.1 Stade'!W298</f>
        <v>1522.2380054015412</v>
      </c>
      <c r="X153" s="314">
        <f>'10.1 Stade'!X298</f>
        <v>1522.2380054015412</v>
      </c>
      <c r="Y153" s="314">
        <f>'10.1 Stade'!Y298</f>
        <v>1522.2380054015412</v>
      </c>
      <c r="Z153" s="314">
        <f>'10.1 Stade'!Z298</f>
        <v>1522.2380054015412</v>
      </c>
      <c r="AA153" s="314">
        <f>'10.1 Stade'!AA298</f>
        <v>1522.2380054015412</v>
      </c>
      <c r="AB153" s="314">
        <f>'10.1 Stade'!AB298</f>
        <v>1522.2380054015412</v>
      </c>
      <c r="AC153" s="314">
        <f>'10.1 Stade'!AC298</f>
        <v>1522.2380054015412</v>
      </c>
      <c r="AD153" s="314">
        <f>'10.1 Stade'!AD298</f>
        <v>1522.2380054015412</v>
      </c>
      <c r="AE153" s="314">
        <f>'10.1 Stade'!AE298</f>
        <v>1522.2380054015412</v>
      </c>
    </row>
    <row r="154" spans="2:31" ht="16" hidden="1" outlineLevel="1" x14ac:dyDescent="0.2">
      <c r="B154" s="7" t="s">
        <v>2576</v>
      </c>
      <c r="C154" s="314">
        <f>'10.1 Stade'!C299</f>
        <v>21255.38137204526</v>
      </c>
      <c r="D154" s="314">
        <f>'10.1 Stade'!D299</f>
        <v>20844.190958597956</v>
      </c>
      <c r="E154" s="314">
        <f>'10.1 Stade'!E299</f>
        <v>20433.000545150651</v>
      </c>
      <c r="F154" s="314">
        <f>'10.1 Stade'!F299</f>
        <v>20021.810131703347</v>
      </c>
      <c r="G154" s="314">
        <f>'10.1 Stade'!G299</f>
        <v>19610.619718256046</v>
      </c>
      <c r="H154" s="314">
        <f>'10.1 Stade'!H299</f>
        <v>19199.429304808742</v>
      </c>
      <c r="I154" s="314">
        <f>'10.1 Stade'!I299</f>
        <v>18788.238891361438</v>
      </c>
      <c r="J154" s="314">
        <f>'10.1 Stade'!J299</f>
        <v>18377.048477914137</v>
      </c>
      <c r="K154" s="314">
        <f>'10.1 Stade'!K299</f>
        <v>17965.858064466829</v>
      </c>
      <c r="L154" s="314">
        <f>'10.1 Stade'!L299</f>
        <v>17554.667651019528</v>
      </c>
      <c r="M154" s="314">
        <f>'10.1 Stade'!M299</f>
        <v>17143.477237572228</v>
      </c>
      <c r="N154" s="314">
        <f>'10.1 Stade'!N299</f>
        <v>16732.286824124923</v>
      </c>
      <c r="O154" s="314">
        <f>'10.1 Stade'!O299</f>
        <v>16321.096410677619</v>
      </c>
      <c r="P154" s="314">
        <f>'10.1 Stade'!P299</f>
        <v>15909.905997230315</v>
      </c>
      <c r="Q154" s="314">
        <f>'10.1 Stade'!Q299</f>
        <v>15498.715583783014</v>
      </c>
      <c r="R154" s="314">
        <f>'10.1 Stade'!R299</f>
        <v>15087.52517033571</v>
      </c>
      <c r="S154" s="314">
        <f>'10.1 Stade'!S299</f>
        <v>14676.334756888406</v>
      </c>
      <c r="T154" s="314">
        <f>'10.1 Stade'!T299</f>
        <v>14265.144343441103</v>
      </c>
      <c r="U154" s="314">
        <f>'10.1 Stade'!U299</f>
        <v>13853.953929993799</v>
      </c>
      <c r="V154" s="314">
        <f>'10.1 Stade'!V299</f>
        <v>13442.763516546496</v>
      </c>
      <c r="W154" s="314">
        <f>'10.1 Stade'!W299</f>
        <v>13031.573103099194</v>
      </c>
      <c r="X154" s="314">
        <f>'10.1 Stade'!X299</f>
        <v>12620.382689651889</v>
      </c>
      <c r="Y154" s="314">
        <f>'10.1 Stade'!Y299</f>
        <v>12209.192276204585</v>
      </c>
      <c r="Z154" s="314">
        <f>'10.1 Stade'!Z299</f>
        <v>11798.001862757283</v>
      </c>
      <c r="AA154" s="314">
        <f>'10.1 Stade'!AA299</f>
        <v>11386.81144930998</v>
      </c>
      <c r="AB154" s="314">
        <f>'10.1 Stade'!AB299</f>
        <v>10975.621035862678</v>
      </c>
      <c r="AC154" s="314">
        <f>'10.1 Stade'!AC299</f>
        <v>10564.430622415373</v>
      </c>
      <c r="AD154" s="314">
        <f>'10.1 Stade'!AD299</f>
        <v>10153.240208968071</v>
      </c>
      <c r="AE154" s="314">
        <f>'10.1 Stade'!AE299</f>
        <v>9742.0497955207447</v>
      </c>
    </row>
    <row r="155" spans="2:31" ht="16" hidden="1" outlineLevel="1" x14ac:dyDescent="0.2">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row>
    <row r="156" spans="2:31" ht="16" hidden="1" outlineLevel="1" x14ac:dyDescent="0.2">
      <c r="B156" s="328" t="s">
        <v>2577</v>
      </c>
      <c r="C156" s="525">
        <f>AE154</f>
        <v>9742.0497955207447</v>
      </c>
      <c r="D156" s="328" t="s">
        <v>71</v>
      </c>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row>
    <row r="157" spans="2:31" ht="16" hidden="1" outlineLevel="1" x14ac:dyDescent="0.2">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row>
    <row r="158" spans="2:31" ht="16" hidden="1" outlineLevel="1" x14ac:dyDescent="0.2">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row>
    <row r="159" spans="2:31" ht="16" hidden="1" outlineLevel="1" x14ac:dyDescent="0.2">
      <c r="B159" s="328" t="s">
        <v>2574</v>
      </c>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row>
    <row r="160" spans="2:31" ht="16" hidden="1" outlineLevel="1" x14ac:dyDescent="0.2">
      <c r="B160" s="55"/>
      <c r="C160"/>
      <c r="D160"/>
      <c r="E160"/>
      <c r="F160"/>
      <c r="G160"/>
      <c r="H160"/>
      <c r="I160"/>
      <c r="J160"/>
      <c r="K160"/>
      <c r="L160"/>
      <c r="M160"/>
      <c r="N160"/>
      <c r="O160"/>
      <c r="P160"/>
      <c r="Q160"/>
      <c r="R160"/>
      <c r="S160"/>
      <c r="T160"/>
      <c r="U160"/>
      <c r="V160"/>
      <c r="W160"/>
      <c r="X160"/>
      <c r="Y160"/>
      <c r="Z160"/>
      <c r="AA160"/>
      <c r="AB160"/>
      <c r="AC160"/>
      <c r="AD160"/>
      <c r="AE160"/>
    </row>
    <row r="161" spans="2:31" ht="16" hidden="1" outlineLevel="1" x14ac:dyDescent="0.2">
      <c r="B161" s="55" t="s">
        <v>2579</v>
      </c>
      <c r="C161" s="55"/>
      <c r="D161" s="346">
        <f>(C166-AE166)/(2050-2022)</f>
        <v>35.942358606897095</v>
      </c>
      <c r="E161" s="55" t="s">
        <v>2569</v>
      </c>
      <c r="F161"/>
      <c r="G161"/>
      <c r="H161"/>
      <c r="I161"/>
      <c r="J161"/>
      <c r="K161"/>
      <c r="L161"/>
      <c r="M161"/>
      <c r="N161"/>
      <c r="O161"/>
      <c r="P161"/>
      <c r="Q161"/>
      <c r="R161"/>
      <c r="S161"/>
      <c r="T161"/>
      <c r="U161"/>
      <c r="V161"/>
      <c r="W161"/>
      <c r="X161"/>
      <c r="Y161"/>
      <c r="Z161"/>
      <c r="AA161"/>
      <c r="AB161"/>
      <c r="AC161"/>
      <c r="AD161"/>
      <c r="AE161"/>
    </row>
    <row r="162" spans="2:31" ht="16" hidden="1" outlineLevel="1" x14ac:dyDescent="0.2">
      <c r="B162" s="55"/>
      <c r="C162" s="55"/>
      <c r="D162" s="346"/>
      <c r="E162" s="55"/>
      <c r="F162"/>
      <c r="G162"/>
      <c r="H162"/>
      <c r="I162"/>
      <c r="J162"/>
      <c r="K162"/>
      <c r="L162"/>
      <c r="M162"/>
      <c r="N162"/>
      <c r="O162"/>
      <c r="P162"/>
      <c r="Q162"/>
      <c r="R162"/>
      <c r="S162"/>
      <c r="T162"/>
      <c r="U162"/>
      <c r="V162"/>
      <c r="W162"/>
      <c r="X162"/>
      <c r="Y162"/>
      <c r="Z162"/>
      <c r="AA162"/>
      <c r="AB162"/>
      <c r="AC162"/>
      <c r="AD162"/>
      <c r="AE162"/>
    </row>
    <row r="163" spans="2:31" ht="16" hidden="1" outlineLevel="1" x14ac:dyDescent="0.2">
      <c r="B163" s="7" t="s">
        <v>2567</v>
      </c>
      <c r="C163" s="81">
        <v>2022</v>
      </c>
      <c r="D163" s="81">
        <v>2023</v>
      </c>
      <c r="E163" s="81">
        <v>2024</v>
      </c>
      <c r="F163" s="81">
        <v>2025</v>
      </c>
      <c r="G163" s="81">
        <v>2026</v>
      </c>
      <c r="H163" s="81">
        <v>2027</v>
      </c>
      <c r="I163" s="81">
        <v>2028</v>
      </c>
      <c r="J163" s="81">
        <v>2029</v>
      </c>
      <c r="K163" s="81">
        <v>2030</v>
      </c>
      <c r="L163" s="81">
        <v>2031</v>
      </c>
      <c r="M163" s="81">
        <v>2032</v>
      </c>
      <c r="N163" s="81">
        <v>2033</v>
      </c>
      <c r="O163" s="81">
        <v>2034</v>
      </c>
      <c r="P163" s="81">
        <v>2035</v>
      </c>
      <c r="Q163" s="81">
        <v>2036</v>
      </c>
      <c r="R163" s="81">
        <v>2037</v>
      </c>
      <c r="S163" s="81">
        <v>2038</v>
      </c>
      <c r="T163" s="81">
        <v>2039</v>
      </c>
      <c r="U163" s="81">
        <v>2040</v>
      </c>
      <c r="V163" s="81">
        <v>2041</v>
      </c>
      <c r="W163" s="81">
        <v>2042</v>
      </c>
      <c r="X163" s="81">
        <v>2043</v>
      </c>
      <c r="Y163" s="81">
        <v>2044</v>
      </c>
      <c r="Z163" s="81">
        <v>2045</v>
      </c>
      <c r="AA163" s="81">
        <v>2046</v>
      </c>
      <c r="AB163" s="81">
        <v>2047</v>
      </c>
      <c r="AC163" s="81">
        <v>2048</v>
      </c>
      <c r="AD163" s="81">
        <v>2049</v>
      </c>
      <c r="AE163" s="81">
        <v>2050</v>
      </c>
    </row>
    <row r="164" spans="2:31" ht="16" hidden="1" outlineLevel="1" x14ac:dyDescent="0.2">
      <c r="B164" s="81" t="s">
        <v>2580</v>
      </c>
      <c r="C164" s="314">
        <f>'10.1 Stade'!C309</f>
        <v>0</v>
      </c>
      <c r="D164" s="314">
        <f>'10.1 Stade'!D309</f>
        <v>13506.114417989389</v>
      </c>
      <c r="E164" s="314">
        <f>'10.1 Stade'!E309</f>
        <v>27012.228835978778</v>
      </c>
      <c r="F164" s="314">
        <f>'10.1 Stade'!F309</f>
        <v>40518.343253968167</v>
      </c>
      <c r="G164" s="314">
        <f>'10.1 Stade'!G309</f>
        <v>54024.457671957556</v>
      </c>
      <c r="H164" s="314">
        <f>'10.1 Stade'!H309</f>
        <v>67530.572089946945</v>
      </c>
      <c r="I164" s="314">
        <f>'10.1 Stade'!I309</f>
        <v>81036.686507936334</v>
      </c>
      <c r="J164" s="314">
        <f>'10.1 Stade'!J309</f>
        <v>94542.800925925723</v>
      </c>
      <c r="K164" s="314">
        <f>'10.1 Stade'!K309</f>
        <v>108048.91534391511</v>
      </c>
      <c r="L164" s="314">
        <f>'10.1 Stade'!L309</f>
        <v>121555.0297619045</v>
      </c>
      <c r="M164" s="314">
        <f>'10.1 Stade'!M309</f>
        <v>135061.14417989389</v>
      </c>
      <c r="N164" s="314">
        <f>'10.1 Stade'!N309</f>
        <v>148567.25859788328</v>
      </c>
      <c r="O164" s="314">
        <f>'10.1 Stade'!O309</f>
        <v>162073.37301587267</v>
      </c>
      <c r="P164" s="314">
        <f>'10.1 Stade'!P309</f>
        <v>175579.48743386206</v>
      </c>
      <c r="Q164" s="314">
        <f>'10.1 Stade'!Q309</f>
        <v>189085.60185185145</v>
      </c>
      <c r="R164" s="314">
        <f>'10.1 Stade'!R309</f>
        <v>202591.71626984084</v>
      </c>
      <c r="S164" s="314">
        <f>'10.1 Stade'!S309</f>
        <v>216097.83068783022</v>
      </c>
      <c r="T164" s="314">
        <f>'10.1 Stade'!T309</f>
        <v>229603.94510581961</v>
      </c>
      <c r="U164" s="314">
        <f>'10.1 Stade'!U309</f>
        <v>243110.059523809</v>
      </c>
      <c r="V164" s="314">
        <f>'10.1 Stade'!V309</f>
        <v>256616.17394179839</v>
      </c>
      <c r="W164" s="314">
        <f>'10.1 Stade'!W309</f>
        <v>270122.28835978778</v>
      </c>
      <c r="X164" s="314">
        <f>'10.1 Stade'!X309</f>
        <v>283628.40277777717</v>
      </c>
      <c r="Y164" s="314">
        <f>'10.1 Stade'!Y309</f>
        <v>297134.51719576656</v>
      </c>
      <c r="Z164" s="314">
        <f>'10.1 Stade'!Z309</f>
        <v>310640.63161375595</v>
      </c>
      <c r="AA164" s="314">
        <f>'10.1 Stade'!AA309</f>
        <v>324146.74603174534</v>
      </c>
      <c r="AB164" s="314">
        <f>'10.1 Stade'!AB309</f>
        <v>337652.86044973473</v>
      </c>
      <c r="AC164" s="314">
        <f>'10.1 Stade'!AC309</f>
        <v>351158.97486772412</v>
      </c>
      <c r="AD164" s="314">
        <f>'10.1 Stade'!AD309</f>
        <v>364665.0892857135</v>
      </c>
      <c r="AE164" s="314">
        <f>'10.1 Stade'!AE309</f>
        <v>378171.20370370365</v>
      </c>
    </row>
    <row r="165" spans="2:31" ht="16" hidden="1" outlineLevel="1" x14ac:dyDescent="0.2">
      <c r="B165" s="81" t="s">
        <v>1613</v>
      </c>
      <c r="C165" s="314">
        <f>'10.1 Stade'!C310</f>
        <v>50</v>
      </c>
      <c r="D165" s="314">
        <f>'10.1 Stade'!D310</f>
        <v>50</v>
      </c>
      <c r="E165" s="314">
        <f>'10.1 Stade'!E310</f>
        <v>50</v>
      </c>
      <c r="F165" s="314">
        <f>'10.1 Stade'!F310</f>
        <v>50</v>
      </c>
      <c r="G165" s="314">
        <f>'10.1 Stade'!G310</f>
        <v>50</v>
      </c>
      <c r="H165" s="314">
        <f>'10.1 Stade'!H310</f>
        <v>50</v>
      </c>
      <c r="I165" s="314">
        <f>'10.1 Stade'!I310</f>
        <v>50</v>
      </c>
      <c r="J165" s="314">
        <f>'10.1 Stade'!J310</f>
        <v>50</v>
      </c>
      <c r="K165" s="314">
        <f>'10.1 Stade'!K310</f>
        <v>50</v>
      </c>
      <c r="L165" s="314">
        <f>'10.1 Stade'!L310</f>
        <v>50</v>
      </c>
      <c r="M165" s="314">
        <f>'10.1 Stade'!M310</f>
        <v>50</v>
      </c>
      <c r="N165" s="314">
        <f>'10.1 Stade'!N310</f>
        <v>50</v>
      </c>
      <c r="O165" s="314">
        <f>'10.1 Stade'!O310</f>
        <v>50</v>
      </c>
      <c r="P165" s="314">
        <f>'10.1 Stade'!P310</f>
        <v>50</v>
      </c>
      <c r="Q165" s="314">
        <f>'10.1 Stade'!Q310</f>
        <v>50</v>
      </c>
      <c r="R165" s="314">
        <f>'10.1 Stade'!R310</f>
        <v>50</v>
      </c>
      <c r="S165" s="314">
        <f>'10.1 Stade'!S310</f>
        <v>50</v>
      </c>
      <c r="T165" s="314">
        <f>'10.1 Stade'!T310</f>
        <v>50</v>
      </c>
      <c r="U165" s="314">
        <f>'10.1 Stade'!U310</f>
        <v>50</v>
      </c>
      <c r="V165" s="314">
        <f>'10.1 Stade'!V310</f>
        <v>50</v>
      </c>
      <c r="W165" s="314">
        <f>'10.1 Stade'!W310</f>
        <v>50</v>
      </c>
      <c r="X165" s="314">
        <f>'10.1 Stade'!X310</f>
        <v>50</v>
      </c>
      <c r="Y165" s="314">
        <f>'10.1 Stade'!Y310</f>
        <v>50</v>
      </c>
      <c r="Z165" s="314">
        <f>'10.1 Stade'!Z310</f>
        <v>50</v>
      </c>
      <c r="AA165" s="314">
        <f>'10.1 Stade'!AA310</f>
        <v>50</v>
      </c>
      <c r="AB165" s="314">
        <f>'10.1 Stade'!AB310</f>
        <v>50</v>
      </c>
      <c r="AC165" s="314">
        <f>'10.1 Stade'!AC310</f>
        <v>50</v>
      </c>
      <c r="AD165" s="314">
        <f>'10.1 Stade'!AD310</f>
        <v>50</v>
      </c>
      <c r="AE165" s="314">
        <f>'10.1 Stade'!AE310</f>
        <v>50</v>
      </c>
    </row>
    <row r="166" spans="2:31" ht="16" hidden="1" outlineLevel="1" x14ac:dyDescent="0.2">
      <c r="B166" s="81" t="s">
        <v>2581</v>
      </c>
      <c r="C166" s="314">
        <f>'10.1 Stade'!C311</f>
        <v>1522.2380054015412</v>
      </c>
      <c r="D166" s="314">
        <f>'10.1 Stade'!D311</f>
        <v>1486.295646794644</v>
      </c>
      <c r="E166" s="314">
        <f>'10.1 Stade'!E311</f>
        <v>1450.3532881877468</v>
      </c>
      <c r="F166" s="314">
        <f>'10.1 Stade'!F311</f>
        <v>1414.4109295808496</v>
      </c>
      <c r="G166" s="314">
        <f>'10.1 Stade'!G311</f>
        <v>1378.4685709739524</v>
      </c>
      <c r="H166" s="314">
        <f>'10.1 Stade'!H311</f>
        <v>1342.5262123670552</v>
      </c>
      <c r="I166" s="314">
        <f>'10.1 Stade'!I311</f>
        <v>1306.583853760158</v>
      </c>
      <c r="J166" s="314">
        <f>'10.1 Stade'!J311</f>
        <v>1270.6414951532608</v>
      </c>
      <c r="K166" s="314">
        <f>'10.1 Stade'!K311</f>
        <v>1234.6991365463637</v>
      </c>
      <c r="L166" s="314">
        <f>'10.1 Stade'!L311</f>
        <v>1198.7567779394665</v>
      </c>
      <c r="M166" s="314">
        <f>'10.1 Stade'!M311</f>
        <v>1162.8144193325693</v>
      </c>
      <c r="N166" s="314">
        <f>'10.1 Stade'!N311</f>
        <v>1126.8720607256721</v>
      </c>
      <c r="O166" s="314">
        <f>'10.1 Stade'!O311</f>
        <v>1090.9297021187749</v>
      </c>
      <c r="P166" s="314">
        <f>'10.1 Stade'!P311</f>
        <v>1054.9873435118777</v>
      </c>
      <c r="Q166" s="314">
        <f>'10.1 Stade'!Q311</f>
        <v>1019.0449849049807</v>
      </c>
      <c r="R166" s="314">
        <f>'10.1 Stade'!R311</f>
        <v>983.10262629808358</v>
      </c>
      <c r="S166" s="314">
        <f>'10.1 Stade'!S311</f>
        <v>947.1602676911865</v>
      </c>
      <c r="T166" s="314">
        <f>'10.1 Stade'!T311</f>
        <v>911.21790908428943</v>
      </c>
      <c r="U166" s="314">
        <f>'10.1 Stade'!U311</f>
        <v>875.27555047739236</v>
      </c>
      <c r="V166" s="314">
        <f>'10.1 Stade'!V311</f>
        <v>839.33319187049528</v>
      </c>
      <c r="W166" s="314">
        <f>'10.1 Stade'!W311</f>
        <v>803.39083326359821</v>
      </c>
      <c r="X166" s="314">
        <f>'10.1 Stade'!X311</f>
        <v>767.44847465670114</v>
      </c>
      <c r="Y166" s="314">
        <f>'10.1 Stade'!Y311</f>
        <v>731.50611604980406</v>
      </c>
      <c r="Z166" s="314">
        <f>'10.1 Stade'!Z311</f>
        <v>695.56375744290699</v>
      </c>
      <c r="AA166" s="314">
        <f>'10.1 Stade'!AA311</f>
        <v>659.62139883600992</v>
      </c>
      <c r="AB166" s="314">
        <f>'10.1 Stade'!AB311</f>
        <v>623.67904022911284</v>
      </c>
      <c r="AC166" s="314">
        <f>'10.1 Stade'!AC311</f>
        <v>587.73668162221577</v>
      </c>
      <c r="AD166" s="314">
        <f>'10.1 Stade'!AD311</f>
        <v>551.7943230153187</v>
      </c>
      <c r="AE166" s="314">
        <f>'10.1 Stade'!AE311</f>
        <v>515.85196440842242</v>
      </c>
    </row>
    <row r="167" spans="2:31" ht="16" hidden="1" outlineLevel="1" x14ac:dyDescent="0.2">
      <c r="B167" s="7" t="s">
        <v>2576</v>
      </c>
      <c r="C167" s="314">
        <f>'10.1 Stade'!C312</f>
        <v>0</v>
      </c>
      <c r="D167" s="314">
        <f>'10.1 Stade'!D312</f>
        <v>401.4815812913601</v>
      </c>
      <c r="E167" s="314">
        <f>'10.1 Stade'!E312</f>
        <v>783.54549827083372</v>
      </c>
      <c r="F167" s="314">
        <f>'10.1 Stade'!F312</f>
        <v>1146.1917509384211</v>
      </c>
      <c r="G167" s="314">
        <f>'10.1 Stade'!G312</f>
        <v>1489.420339294122</v>
      </c>
      <c r="H167" s="314">
        <f>'10.1 Stade'!H312</f>
        <v>1813.231263337937</v>
      </c>
      <c r="I167" s="314">
        <f>'10.1 Stade'!I312</f>
        <v>2117.6245230698651</v>
      </c>
      <c r="J167" s="314">
        <f>'10.1 Stade'!J312</f>
        <v>2402.6001184899073</v>
      </c>
      <c r="K167" s="314">
        <f>'10.1 Stade'!K312</f>
        <v>2668.1580495980625</v>
      </c>
      <c r="L167" s="314">
        <f>'10.1 Stade'!L312</f>
        <v>2914.2983163943318</v>
      </c>
      <c r="M167" s="314">
        <f>'10.1 Stade'!M312</f>
        <v>3141.0209188787144</v>
      </c>
      <c r="N167" s="314">
        <f>'10.1 Stade'!N312</f>
        <v>3348.3258570512107</v>
      </c>
      <c r="O167" s="314">
        <f>'10.1 Stade'!O312</f>
        <v>3536.2131309118208</v>
      </c>
      <c r="P167" s="314">
        <f>'10.1 Stade'!P312</f>
        <v>3704.6827404605447</v>
      </c>
      <c r="Q167" s="314">
        <f>'10.1 Stade'!Q312</f>
        <v>3853.7346856973827</v>
      </c>
      <c r="R167" s="314">
        <f>'10.1 Stade'!R312</f>
        <v>3983.368966622334</v>
      </c>
      <c r="S167" s="314">
        <f>'10.1 Stade'!S312</f>
        <v>4093.5855832354</v>
      </c>
      <c r="T167" s="314">
        <f>'10.1 Stade'!T312</f>
        <v>4184.3845355365784</v>
      </c>
      <c r="U167" s="314">
        <f>'10.1 Stade'!U312</f>
        <v>4255.7658235258714</v>
      </c>
      <c r="V167" s="314">
        <f>'10.1 Stade'!V312</f>
        <v>4307.7294472032772</v>
      </c>
      <c r="W167" s="314">
        <f>'10.1 Stade'!W312</f>
        <v>4340.2754065687977</v>
      </c>
      <c r="X167" s="314">
        <f>'10.1 Stade'!X312</f>
        <v>4353.4037016224302</v>
      </c>
      <c r="Y167" s="314">
        <f>'10.1 Stade'!Y312</f>
        <v>4347.1143323641782</v>
      </c>
      <c r="Z167" s="314">
        <f>'10.1 Stade'!Z312</f>
        <v>4321.4072987940399</v>
      </c>
      <c r="AA167" s="314">
        <f>'10.1 Stade'!AA312</f>
        <v>4276.2826009120145</v>
      </c>
      <c r="AB167" s="314">
        <f>'10.1 Stade'!AB312</f>
        <v>4211.7402387181028</v>
      </c>
      <c r="AC167" s="314">
        <f>'10.1 Stade'!AC312</f>
        <v>4127.7802122123048</v>
      </c>
      <c r="AD167" s="314">
        <f>'10.1 Stade'!AD312</f>
        <v>4024.4025213946206</v>
      </c>
      <c r="AE167" s="314">
        <f>'10.1 Stade'!AE312</f>
        <v>3901.6071662650638</v>
      </c>
    </row>
    <row r="168" spans="2:31" ht="16" hidden="1" outlineLevel="1" x14ac:dyDescent="0.2">
      <c r="B168" s="328"/>
      <c r="C168" s="346"/>
      <c r="D168" s="478"/>
      <c r="E168" s="478"/>
      <c r="F168" s="478"/>
      <c r="G168" s="478"/>
      <c r="H168" s="478"/>
      <c r="I168" s="478"/>
      <c r="J168" s="478"/>
      <c r="K168" s="478"/>
      <c r="L168" s="478"/>
      <c r="M168" s="478"/>
      <c r="N168" s="478"/>
      <c r="O168" s="478"/>
      <c r="P168" s="478"/>
      <c r="Q168" s="478"/>
      <c r="R168" s="478"/>
      <c r="S168" s="478"/>
      <c r="T168" s="478"/>
      <c r="U168" s="478"/>
      <c r="V168" s="478"/>
      <c r="W168" s="478"/>
      <c r="X168" s="478"/>
      <c r="Y168" s="478"/>
      <c r="Z168" s="478"/>
      <c r="AA168" s="478"/>
      <c r="AB168" s="478"/>
      <c r="AC168" s="478"/>
      <c r="AD168" s="478"/>
      <c r="AE168" s="346"/>
    </row>
    <row r="169" spans="2:31" ht="16" hidden="1" outlineLevel="1" x14ac:dyDescent="0.2">
      <c r="B169" s="328" t="s">
        <v>2577</v>
      </c>
      <c r="C169" s="525">
        <f>AE167</f>
        <v>3901.6071662650638</v>
      </c>
      <c r="D169" s="328" t="s">
        <v>71</v>
      </c>
      <c r="E169" s="478"/>
      <c r="F169" s="478"/>
      <c r="G169" s="478"/>
      <c r="H169" s="478"/>
      <c r="I169" s="478"/>
      <c r="J169" s="478"/>
      <c r="K169" s="478"/>
      <c r="L169" s="478"/>
      <c r="M169" s="478"/>
      <c r="N169" s="478"/>
      <c r="O169" s="478"/>
      <c r="P169" s="478"/>
      <c r="Q169" s="478"/>
      <c r="R169" s="478"/>
      <c r="S169" s="478"/>
      <c r="T169" s="478"/>
      <c r="U169" s="478"/>
      <c r="V169" s="478"/>
      <c r="W169" s="478"/>
      <c r="X169" s="478"/>
      <c r="Y169" s="478"/>
      <c r="Z169" s="478"/>
      <c r="AA169" s="478"/>
      <c r="AB169" s="478"/>
      <c r="AC169" s="478"/>
      <c r="AD169" s="478"/>
      <c r="AE169" s="346"/>
    </row>
    <row r="170" spans="2:31" ht="16" hidden="1" outlineLevel="1" x14ac:dyDescent="0.2">
      <c r="B170"/>
      <c r="C170"/>
      <c r="D170"/>
      <c r="E170"/>
      <c r="F170"/>
      <c r="G170"/>
      <c r="H170"/>
      <c r="I170"/>
      <c r="J170"/>
      <c r="K170"/>
      <c r="L170"/>
      <c r="M170"/>
      <c r="N170"/>
      <c r="O170"/>
      <c r="P170"/>
      <c r="Q170"/>
      <c r="R170"/>
      <c r="S170"/>
      <c r="T170"/>
      <c r="U170"/>
      <c r="V170"/>
      <c r="W170"/>
      <c r="X170"/>
      <c r="Y170"/>
      <c r="Z170"/>
      <c r="AA170"/>
      <c r="AB170"/>
      <c r="AC170"/>
      <c r="AD170"/>
      <c r="AE170"/>
    </row>
    <row r="171" spans="2:31" ht="16" hidden="1" outlineLevel="1" x14ac:dyDescent="0.2">
      <c r="B171"/>
      <c r="C171"/>
      <c r="D171"/>
      <c r="E171"/>
      <c r="F171"/>
      <c r="G171"/>
      <c r="H171"/>
      <c r="I171"/>
      <c r="J171"/>
      <c r="K171"/>
      <c r="L171"/>
      <c r="M171"/>
      <c r="N171"/>
      <c r="O171"/>
      <c r="P171"/>
      <c r="Q171"/>
      <c r="R171"/>
      <c r="S171"/>
      <c r="T171"/>
      <c r="U171"/>
      <c r="V171"/>
      <c r="W171"/>
      <c r="X171"/>
      <c r="Y171"/>
      <c r="Z171"/>
      <c r="AA171"/>
      <c r="AB171"/>
      <c r="AC171"/>
      <c r="AD171"/>
      <c r="AE171"/>
    </row>
    <row r="172" spans="2:31" ht="16" hidden="1" outlineLevel="1" x14ac:dyDescent="0.2">
      <c r="B172" s="328" t="s">
        <v>2582</v>
      </c>
      <c r="C172" s="55"/>
      <c r="D172" s="55"/>
      <c r="E172" s="346"/>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row>
    <row r="173" spans="2:31" ht="16" hidden="1" outlineLevel="1" x14ac:dyDescent="0.2">
      <c r="B173" s="328"/>
      <c r="C173" s="55"/>
      <c r="D173" s="55"/>
      <c r="E173" s="346"/>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row>
    <row r="174" spans="2:31" ht="16" hidden="1" outlineLevel="1" x14ac:dyDescent="0.2">
      <c r="B174" s="55" t="s">
        <v>2579</v>
      </c>
      <c r="C174" s="55"/>
      <c r="D174" s="346">
        <f>(C179-AE179)/(2050-2022)</f>
        <v>10.737497068098188</v>
      </c>
      <c r="E174" s="55" t="s">
        <v>2569</v>
      </c>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row>
    <row r="175" spans="2:31" ht="16" hidden="1" outlineLevel="1" x14ac:dyDescent="0.2">
      <c r="B175" s="328"/>
      <c r="C175" s="55"/>
      <c r="D175" s="55"/>
      <c r="E175" s="346"/>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row>
    <row r="176" spans="2:31" ht="16" hidden="1" outlineLevel="1" x14ac:dyDescent="0.2">
      <c r="B176" s="7" t="s">
        <v>2567</v>
      </c>
      <c r="C176" s="81">
        <v>2022</v>
      </c>
      <c r="D176" s="81">
        <v>2023</v>
      </c>
      <c r="E176" s="81">
        <v>2024</v>
      </c>
      <c r="F176" s="81">
        <v>2025</v>
      </c>
      <c r="G176" s="81">
        <v>2026</v>
      </c>
      <c r="H176" s="81">
        <v>2027</v>
      </c>
      <c r="I176" s="81">
        <v>2028</v>
      </c>
      <c r="J176" s="81">
        <v>2029</v>
      </c>
      <c r="K176" s="81">
        <v>2030</v>
      </c>
      <c r="L176" s="81">
        <v>2031</v>
      </c>
      <c r="M176" s="81">
        <v>2032</v>
      </c>
      <c r="N176" s="81">
        <v>2033</v>
      </c>
      <c r="O176" s="81">
        <v>2034</v>
      </c>
      <c r="P176" s="81">
        <v>2035</v>
      </c>
      <c r="Q176" s="81">
        <v>2036</v>
      </c>
      <c r="R176" s="81">
        <v>2037</v>
      </c>
      <c r="S176" s="81">
        <v>2038</v>
      </c>
      <c r="T176" s="81">
        <v>2039</v>
      </c>
      <c r="U176" s="81">
        <v>2040</v>
      </c>
      <c r="V176" s="81">
        <v>2041</v>
      </c>
      <c r="W176" s="81">
        <v>2042</v>
      </c>
      <c r="X176" s="81">
        <v>2043</v>
      </c>
      <c r="Y176" s="81">
        <v>2044</v>
      </c>
      <c r="Z176" s="81">
        <v>2045</v>
      </c>
      <c r="AA176" s="81">
        <v>2046</v>
      </c>
      <c r="AB176" s="81">
        <v>2047</v>
      </c>
      <c r="AC176" s="81">
        <v>2048</v>
      </c>
      <c r="AD176" s="81">
        <v>2049</v>
      </c>
      <c r="AE176" s="81">
        <v>2050</v>
      </c>
    </row>
    <row r="177" spans="2:31" ht="16" hidden="1" outlineLevel="1" x14ac:dyDescent="0.2">
      <c r="B177" s="81" t="s">
        <v>2570</v>
      </c>
      <c r="C177" s="314">
        <f>'10.1 Stade'!C323</f>
        <v>872702.77777777787</v>
      </c>
      <c r="D177" s="314">
        <f>'10.1 Stade'!D323</f>
        <v>872702.77777777787</v>
      </c>
      <c r="E177" s="314">
        <f>'10.1 Stade'!E323</f>
        <v>872702.77777777787</v>
      </c>
      <c r="F177" s="314">
        <f>'10.1 Stade'!F323</f>
        <v>872702.77777777787</v>
      </c>
      <c r="G177" s="314">
        <f>'10.1 Stade'!G323</f>
        <v>872702.77777777787</v>
      </c>
      <c r="H177" s="314">
        <f>'10.1 Stade'!H323</f>
        <v>872702.77777777787</v>
      </c>
      <c r="I177" s="314">
        <f>'10.1 Stade'!I323</f>
        <v>872702.77777777787</v>
      </c>
      <c r="J177" s="314">
        <f>'10.1 Stade'!J323</f>
        <v>872702.77777777787</v>
      </c>
      <c r="K177" s="314">
        <f>'10.1 Stade'!K323</f>
        <v>872702.77777777787</v>
      </c>
      <c r="L177" s="314">
        <f>'10.1 Stade'!L323</f>
        <v>872702.77777777787</v>
      </c>
      <c r="M177" s="314">
        <f>'10.1 Stade'!M323</f>
        <v>872702.77777777787</v>
      </c>
      <c r="N177" s="314">
        <f>'10.1 Stade'!N323</f>
        <v>872702.77777777787</v>
      </c>
      <c r="O177" s="314">
        <f>'10.1 Stade'!O323</f>
        <v>872702.77777777787</v>
      </c>
      <c r="P177" s="314">
        <f>'10.1 Stade'!P323</f>
        <v>872702.77777777787</v>
      </c>
      <c r="Q177" s="314">
        <f>'10.1 Stade'!Q323</f>
        <v>872702.77777777787</v>
      </c>
      <c r="R177" s="314">
        <f>'10.1 Stade'!R323</f>
        <v>872702.77777777787</v>
      </c>
      <c r="S177" s="314">
        <f>'10.1 Stade'!S323</f>
        <v>872702.77777777787</v>
      </c>
      <c r="T177" s="314">
        <f>'10.1 Stade'!T323</f>
        <v>872702.77777777787</v>
      </c>
      <c r="U177" s="314">
        <f>'10.1 Stade'!U323</f>
        <v>872702.77777777787</v>
      </c>
      <c r="V177" s="314">
        <f>'10.1 Stade'!V323</f>
        <v>872702.77777777787</v>
      </c>
      <c r="W177" s="314">
        <f>'10.1 Stade'!W323</f>
        <v>872702.77777777787</v>
      </c>
      <c r="X177" s="314">
        <f>'10.1 Stade'!X323</f>
        <v>872702.77777777787</v>
      </c>
      <c r="Y177" s="314">
        <f>'10.1 Stade'!Y323</f>
        <v>872702.77777777787</v>
      </c>
      <c r="Z177" s="314">
        <f>'10.1 Stade'!Z323</f>
        <v>872702.77777777787</v>
      </c>
      <c r="AA177" s="314">
        <f>'10.1 Stade'!AA323</f>
        <v>872702.77777777787</v>
      </c>
      <c r="AB177" s="314">
        <f>'10.1 Stade'!AB323</f>
        <v>872702.77777777787</v>
      </c>
      <c r="AC177" s="314">
        <f>'10.1 Stade'!AC323</f>
        <v>872702.77777777787</v>
      </c>
      <c r="AD177" s="314">
        <f>'10.1 Stade'!AD323</f>
        <v>872702.77777777787</v>
      </c>
      <c r="AE177" s="314">
        <f>'10.1 Stade'!AE323</f>
        <v>872702.77777777787</v>
      </c>
    </row>
    <row r="178" spans="2:31" ht="16" hidden="1" outlineLevel="1" x14ac:dyDescent="0.2">
      <c r="B178" s="81" t="s">
        <v>1613</v>
      </c>
      <c r="C178" s="314">
        <f>'10.1 Stade'!C324</f>
        <v>50</v>
      </c>
      <c r="D178" s="314">
        <f>'10.1 Stade'!D324</f>
        <v>50</v>
      </c>
      <c r="E178" s="314">
        <f>'10.1 Stade'!E324</f>
        <v>50</v>
      </c>
      <c r="F178" s="314">
        <f>'10.1 Stade'!F324</f>
        <v>50</v>
      </c>
      <c r="G178" s="314">
        <f>'10.1 Stade'!G324</f>
        <v>50</v>
      </c>
      <c r="H178" s="314">
        <f>'10.1 Stade'!H324</f>
        <v>50</v>
      </c>
      <c r="I178" s="314">
        <f>'10.1 Stade'!I324</f>
        <v>50</v>
      </c>
      <c r="J178" s="314">
        <f>'10.1 Stade'!J324</f>
        <v>50</v>
      </c>
      <c r="K178" s="314">
        <f>'10.1 Stade'!K324</f>
        <v>50</v>
      </c>
      <c r="L178" s="314">
        <f>'10.1 Stade'!L324</f>
        <v>50</v>
      </c>
      <c r="M178" s="314">
        <f>'10.1 Stade'!M324</f>
        <v>50</v>
      </c>
      <c r="N178" s="314">
        <f>'10.1 Stade'!N324</f>
        <v>50</v>
      </c>
      <c r="O178" s="314">
        <f>'10.1 Stade'!O324</f>
        <v>50</v>
      </c>
      <c r="P178" s="314">
        <f>'10.1 Stade'!P324</f>
        <v>50</v>
      </c>
      <c r="Q178" s="314">
        <f>'10.1 Stade'!Q324</f>
        <v>50</v>
      </c>
      <c r="R178" s="314">
        <f>'10.1 Stade'!R324</f>
        <v>50</v>
      </c>
      <c r="S178" s="314">
        <f>'10.1 Stade'!S324</f>
        <v>50</v>
      </c>
      <c r="T178" s="314">
        <f>'10.1 Stade'!T324</f>
        <v>50</v>
      </c>
      <c r="U178" s="314">
        <f>'10.1 Stade'!U324</f>
        <v>50</v>
      </c>
      <c r="V178" s="314">
        <f>'10.1 Stade'!V324</f>
        <v>50</v>
      </c>
      <c r="W178" s="314">
        <f>'10.1 Stade'!W324</f>
        <v>50</v>
      </c>
      <c r="X178" s="314">
        <f>'10.1 Stade'!X324</f>
        <v>50</v>
      </c>
      <c r="Y178" s="314">
        <f>'10.1 Stade'!Y324</f>
        <v>50</v>
      </c>
      <c r="Z178" s="314">
        <f>'10.1 Stade'!Z324</f>
        <v>50</v>
      </c>
      <c r="AA178" s="314">
        <f>'10.1 Stade'!AA324</f>
        <v>50</v>
      </c>
      <c r="AB178" s="314">
        <f>'10.1 Stade'!AB324</f>
        <v>50</v>
      </c>
      <c r="AC178" s="314">
        <f>'10.1 Stade'!AC324</f>
        <v>50</v>
      </c>
      <c r="AD178" s="314">
        <f>'10.1 Stade'!AD324</f>
        <v>50</v>
      </c>
      <c r="AE178" s="314">
        <f>'10.1 Stade'!AE324</f>
        <v>50</v>
      </c>
    </row>
    <row r="179" spans="2:31" ht="16" hidden="1" outlineLevel="1" x14ac:dyDescent="0.2">
      <c r="B179" s="81" t="s">
        <v>2581</v>
      </c>
      <c r="C179" s="314">
        <f>'10.1 Stade'!C325</f>
        <v>515.85196440842242</v>
      </c>
      <c r="D179" s="314">
        <f>'10.1 Stade'!D325</f>
        <v>505.11446734032421</v>
      </c>
      <c r="E179" s="314">
        <f>'10.1 Stade'!E325</f>
        <v>494.376970272226</v>
      </c>
      <c r="F179" s="314">
        <f>'10.1 Stade'!F325</f>
        <v>483.6394732041278</v>
      </c>
      <c r="G179" s="314">
        <f>'10.1 Stade'!G325</f>
        <v>472.90197613602959</v>
      </c>
      <c r="H179" s="314">
        <f>'10.1 Stade'!H325</f>
        <v>462.16447906793138</v>
      </c>
      <c r="I179" s="314">
        <f>'10.1 Stade'!I325</f>
        <v>451.42698199983317</v>
      </c>
      <c r="J179" s="314">
        <f>'10.1 Stade'!J325</f>
        <v>440.68948493173497</v>
      </c>
      <c r="K179" s="314">
        <f>'10.1 Stade'!K325</f>
        <v>429.95198786363676</v>
      </c>
      <c r="L179" s="314">
        <f>'10.1 Stade'!L325</f>
        <v>419.21449079553855</v>
      </c>
      <c r="M179" s="314">
        <f>'10.1 Stade'!M325</f>
        <v>408.47699372744034</v>
      </c>
      <c r="N179" s="314">
        <f>'10.1 Stade'!N325</f>
        <v>397.73949665934214</v>
      </c>
      <c r="O179" s="314">
        <f>'10.1 Stade'!O325</f>
        <v>387.00199959124393</v>
      </c>
      <c r="P179" s="314">
        <f>'10.1 Stade'!P325</f>
        <v>376.26450252314572</v>
      </c>
      <c r="Q179" s="314">
        <f>'10.1 Stade'!Q325</f>
        <v>365.52700545504752</v>
      </c>
      <c r="R179" s="314">
        <f>'10.1 Stade'!R325</f>
        <v>354.78950838694931</v>
      </c>
      <c r="S179" s="314">
        <f>'10.1 Stade'!S325</f>
        <v>344.0520113188511</v>
      </c>
      <c r="T179" s="314">
        <f>'10.1 Stade'!T325</f>
        <v>333.31451425075289</v>
      </c>
      <c r="U179" s="314">
        <f>'10.1 Stade'!U325</f>
        <v>322.57701718265469</v>
      </c>
      <c r="V179" s="314">
        <f>'10.1 Stade'!V325</f>
        <v>311.83952011455648</v>
      </c>
      <c r="W179" s="314">
        <f>'10.1 Stade'!W325</f>
        <v>301.10202304645827</v>
      </c>
      <c r="X179" s="314">
        <f>'10.1 Stade'!X325</f>
        <v>290.36452597836006</v>
      </c>
      <c r="Y179" s="314">
        <f>'10.1 Stade'!Y325</f>
        <v>279.62702891026186</v>
      </c>
      <c r="Z179" s="314">
        <f>'10.1 Stade'!Z325</f>
        <v>268.88953184216365</v>
      </c>
      <c r="AA179" s="314">
        <f>'10.1 Stade'!AA325</f>
        <v>258.15203477406544</v>
      </c>
      <c r="AB179" s="314">
        <f>'10.1 Stade'!AB325</f>
        <v>247.41453770596726</v>
      </c>
      <c r="AC179" s="314">
        <f>'10.1 Stade'!AC325</f>
        <v>236.67704063786908</v>
      </c>
      <c r="AD179" s="314">
        <f>'10.1 Stade'!AD325</f>
        <v>225.9395435697709</v>
      </c>
      <c r="AE179" s="314">
        <f>'10.1 Stade'!AE325</f>
        <v>215.20204650167315</v>
      </c>
    </row>
    <row r="180" spans="2:31" ht="16" hidden="1" outlineLevel="1" x14ac:dyDescent="0.2">
      <c r="B180" s="7" t="s">
        <v>2576</v>
      </c>
      <c r="C180" s="314">
        <f>'10.1 Stade'!C326</f>
        <v>9003.7088452270746</v>
      </c>
      <c r="D180" s="314">
        <f>'10.1 Stade'!D326</f>
        <v>8816.2959748728717</v>
      </c>
      <c r="E180" s="314">
        <f>'10.1 Stade'!E326</f>
        <v>8628.8831045186707</v>
      </c>
      <c r="F180" s="314">
        <f>'10.1 Stade'!F326</f>
        <v>8441.4702341644715</v>
      </c>
      <c r="G180" s="314">
        <f>'10.1 Stade'!G326</f>
        <v>8254.0573638102687</v>
      </c>
      <c r="H180" s="314">
        <f>'10.1 Stade'!H326</f>
        <v>8066.6444934560686</v>
      </c>
      <c r="I180" s="314">
        <f>'10.1 Stade'!I326</f>
        <v>7879.2316231018658</v>
      </c>
      <c r="J180" s="314">
        <f>'10.1 Stade'!J326</f>
        <v>7691.8187527476657</v>
      </c>
      <c r="K180" s="314">
        <f>'10.1 Stade'!K326</f>
        <v>7504.4058823934656</v>
      </c>
      <c r="L180" s="314">
        <f>'10.1 Stade'!L326</f>
        <v>7316.9930120392628</v>
      </c>
      <c r="M180" s="314">
        <f>'10.1 Stade'!M326</f>
        <v>7129.5801416850627</v>
      </c>
      <c r="N180" s="314">
        <f>'10.1 Stade'!N326</f>
        <v>6942.1672713308626</v>
      </c>
      <c r="O180" s="314">
        <f>'10.1 Stade'!O326</f>
        <v>6754.7544009766607</v>
      </c>
      <c r="P180" s="314">
        <f>'10.1 Stade'!P326</f>
        <v>6567.3415306224597</v>
      </c>
      <c r="Q180" s="314">
        <f>'10.1 Stade'!Q326</f>
        <v>6379.9286602682596</v>
      </c>
      <c r="R180" s="314">
        <f>'10.1 Stade'!R326</f>
        <v>6192.5157899140577</v>
      </c>
      <c r="S180" s="314">
        <f>'10.1 Stade'!S326</f>
        <v>6005.1029195598567</v>
      </c>
      <c r="T180" s="314">
        <f>'10.1 Stade'!T326</f>
        <v>5817.6900492056566</v>
      </c>
      <c r="U180" s="314">
        <f>'10.1 Stade'!U326</f>
        <v>5630.2771788514547</v>
      </c>
      <c r="V180" s="314">
        <f>'10.1 Stade'!V326</f>
        <v>5442.8643084972537</v>
      </c>
      <c r="W180" s="314">
        <f>'10.1 Stade'!W326</f>
        <v>5255.4514381430517</v>
      </c>
      <c r="X180" s="314">
        <f>'10.1 Stade'!X326</f>
        <v>5068.0385677888517</v>
      </c>
      <c r="Y180" s="314">
        <f>'10.1 Stade'!Y326</f>
        <v>4880.6256974346506</v>
      </c>
      <c r="Z180" s="314">
        <f>'10.1 Stade'!Z326</f>
        <v>4693.2128270804487</v>
      </c>
      <c r="AA180" s="314">
        <f>'10.1 Stade'!AA326</f>
        <v>4505.7999567262486</v>
      </c>
      <c r="AB180" s="314">
        <f>'10.1 Stade'!AB326</f>
        <v>4318.3870863720476</v>
      </c>
      <c r="AC180" s="314">
        <f>'10.1 Stade'!AC326</f>
        <v>4130.9742160178466</v>
      </c>
      <c r="AD180" s="314">
        <f>'10.1 Stade'!AD326</f>
        <v>3943.561345663647</v>
      </c>
      <c r="AE180" s="314">
        <f>'10.1 Stade'!AE326</f>
        <v>3756.1484753094533</v>
      </c>
    </row>
    <row r="181" spans="2:31" hidden="1" outlineLevel="1" x14ac:dyDescent="0.2"/>
    <row r="182" spans="2:31" ht="16" hidden="1" outlineLevel="1" x14ac:dyDescent="0.2">
      <c r="B182" s="328" t="s">
        <v>2577</v>
      </c>
      <c r="C182" s="525">
        <f>AE180</f>
        <v>3756.1484753094533</v>
      </c>
      <c r="D182" s="328" t="s">
        <v>71</v>
      </c>
    </row>
    <row r="183" spans="2:31" hidden="1" outlineLevel="1" x14ac:dyDescent="0.2">
      <c r="B183" s="193"/>
      <c r="C183" s="193"/>
      <c r="D183" s="193"/>
    </row>
    <row r="184" spans="2:31" hidden="1" outlineLevel="1" x14ac:dyDescent="0.2"/>
    <row r="185" spans="2:31" hidden="1" outlineLevel="1" x14ac:dyDescent="0.2"/>
    <row r="186" spans="2:31" hidden="1" outlineLevel="1" x14ac:dyDescent="0.2"/>
    <row r="187" spans="2:31" collapsed="1" x14ac:dyDescent="0.2"/>
  </sheetData>
  <mergeCells count="18">
    <mergeCell ref="I30:K30"/>
    <mergeCell ref="B2:D2"/>
    <mergeCell ref="B5:D5"/>
    <mergeCell ref="C8:D8"/>
    <mergeCell ref="B10:F11"/>
    <mergeCell ref="B23:G24"/>
    <mergeCell ref="B15:B16"/>
    <mergeCell ref="C13:E13"/>
    <mergeCell ref="C16:E16"/>
    <mergeCell ref="C15:E15"/>
    <mergeCell ref="C14:E14"/>
    <mergeCell ref="B45:G45"/>
    <mergeCell ref="C51:H51"/>
    <mergeCell ref="C88:H88"/>
    <mergeCell ref="C87:H87"/>
    <mergeCell ref="C53:H53"/>
    <mergeCell ref="C52:H52"/>
    <mergeCell ref="B57:C57"/>
  </mergeCells>
  <phoneticPr fontId="96" type="noConversion"/>
  <conditionalFormatting sqref="D9">
    <cfRule type="containsText" dxfId="118" priority="2" operator="containsText" text="Pas ok">
      <formula>NOT(ISERROR(SEARCH("Pas ok",D9)))</formula>
    </cfRule>
    <cfRule type="containsText" dxfId="117" priority="3" operator="containsText" text="Calcul brouillon, ordre de grandeur">
      <formula>NOT(ISERROR(SEARCH("Calcul brouillon, ordre de grandeur",D9)))</formula>
    </cfRule>
    <cfRule type="containsText" dxfId="116" priority="4" operator="containsText" text="Bon ordre de grandeur">
      <formula>NOT(ISERROR(SEARCH("Bon ordre de grandeur",D9)))</formula>
    </cfRule>
    <cfRule type="containsText" dxfId="115" priority="5" operator="containsText" text="Calcul validé">
      <formula>NOT(ISERROR(SEARCH("Calcul validé",D9)))</formula>
    </cfRule>
    <cfRule type="containsText" dxfId="114" priority="6" operator="containsText" text="Pas ok">
      <formula>NOT(ISERROR(SEARCH("Pas ok",D9)))</formula>
    </cfRule>
    <cfRule type="containsText" dxfId="113" priority="7" operator="containsText" text="Calcul brouillon, ordre de grandeur">
      <formula>NOT(ISERROR(SEARCH("Calcul brouillon, ordre de grandeur",D9)))</formula>
    </cfRule>
    <cfRule type="containsText" dxfId="112" priority="8" operator="containsText" text="Bon ordre de grandeur">
      <formula>NOT(ISERROR(SEARCH("Bon ordre de grandeur",D9)))</formula>
    </cfRule>
    <cfRule type="containsText" dxfId="111" priority="9" operator="containsText" text="Calcul validé">
      <formula>NOT(ISERROR(SEARCH("Calcul validé",D9)))</formula>
    </cfRule>
  </conditionalFormatting>
  <conditionalFormatting sqref="D9:E9">
    <cfRule type="containsText" dxfId="110" priority="10" operator="containsText" text="Calcul brouillon, odg">
      <formula>NOT(ISERROR(SEARCH("Calcul brouillon, odg",D9)))</formula>
    </cfRule>
  </conditionalFormatting>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249977111117893"/>
  </sheetPr>
  <dimension ref="B2:K83"/>
  <sheetViews>
    <sheetView zoomScale="65" workbookViewId="0">
      <selection activeCell="C14" sqref="C14:K14"/>
    </sheetView>
  </sheetViews>
  <sheetFormatPr baseColWidth="10" defaultRowHeight="16" outlineLevelRow="1" x14ac:dyDescent="0.2"/>
  <cols>
    <col min="2" max="2" width="31.7109375" customWidth="1"/>
    <col min="3" max="3" width="21.7109375" customWidth="1"/>
    <col min="4" max="4" width="18.7109375" customWidth="1"/>
    <col min="5" max="5" width="24.5703125" customWidth="1"/>
    <col min="6" max="6" width="44.7109375" customWidth="1"/>
    <col min="7" max="7" width="18.5703125" customWidth="1"/>
    <col min="8" max="8" width="12.5703125" customWidth="1"/>
    <col min="9" max="9" width="12.42578125" customWidth="1"/>
    <col min="10" max="10" width="74.28515625" customWidth="1"/>
    <col min="11" max="13" width="19.5703125" customWidth="1"/>
    <col min="14" max="14" width="46.42578125" customWidth="1"/>
    <col min="15" max="15" width="19.5703125" customWidth="1"/>
    <col min="16" max="16" width="20.5703125" customWidth="1"/>
    <col min="17" max="17" width="25.5703125" customWidth="1"/>
    <col min="18" max="18" width="19.5703125" customWidth="1"/>
    <col min="19" max="23" width="18" customWidth="1"/>
  </cols>
  <sheetData>
    <row r="2" spans="2:11" ht="20" x14ac:dyDescent="0.2">
      <c r="B2" s="2849" t="s">
        <v>616</v>
      </c>
      <c r="C2" s="2850"/>
      <c r="D2" s="2850"/>
      <c r="E2" s="2851"/>
    </row>
    <row r="3" spans="2:11" ht="17" thickBot="1" x14ac:dyDescent="0.25"/>
    <row r="4" spans="2:11" ht="17" thickBot="1" x14ac:dyDescent="0.25">
      <c r="B4" s="2852" t="s">
        <v>17</v>
      </c>
      <c r="C4" s="2853"/>
      <c r="D4" s="2854"/>
    </row>
    <row r="5" spans="2:11" ht="17" customHeight="1" x14ac:dyDescent="0.2">
      <c r="B5" s="229" t="s">
        <v>18</v>
      </c>
      <c r="C5" s="434">
        <f>C57</f>
        <v>2566.2198903024237</v>
      </c>
      <c r="D5" s="38" t="s">
        <v>19</v>
      </c>
    </row>
    <row r="6" spans="2:11" ht="16" customHeight="1" x14ac:dyDescent="0.2">
      <c r="B6" s="230" t="s">
        <v>20</v>
      </c>
      <c r="C6" s="2843" t="str">
        <f>C9</f>
        <v>vFinale</v>
      </c>
      <c r="D6" s="2844"/>
    </row>
    <row r="7" spans="2:11" ht="17" thickBot="1" x14ac:dyDescent="0.25">
      <c r="B7" s="231" t="s">
        <v>21</v>
      </c>
      <c r="C7" s="2845"/>
      <c r="D7" s="2846"/>
    </row>
    <row r="8" spans="2:11" ht="17" thickBot="1" x14ac:dyDescent="0.25"/>
    <row r="9" spans="2:11" x14ac:dyDescent="0.2">
      <c r="B9" s="1025" t="s">
        <v>22</v>
      </c>
      <c r="C9" s="2847" t="s">
        <v>1602</v>
      </c>
      <c r="D9" s="2848"/>
      <c r="E9" s="39"/>
      <c r="F9" s="39"/>
      <c r="G9" s="39"/>
      <c r="H9" s="39"/>
      <c r="I9" s="39"/>
      <c r="J9" s="39"/>
      <c r="K9" s="40"/>
    </row>
    <row r="10" spans="2:11" ht="17" thickBot="1" x14ac:dyDescent="0.25">
      <c r="B10" s="980" t="s">
        <v>1905</v>
      </c>
      <c r="C10" s="1016">
        <f>C5/'ANNEXE A'!$C$248</f>
        <v>1.7625136609219942</v>
      </c>
      <c r="D10" s="977" t="s">
        <v>24</v>
      </c>
      <c r="E10" s="41"/>
      <c r="F10" s="41"/>
      <c r="G10" s="41"/>
      <c r="H10" s="41"/>
      <c r="I10" s="41"/>
      <c r="J10" s="41"/>
      <c r="K10" s="42"/>
    </row>
    <row r="11" spans="2:11" ht="17" thickBot="1" x14ac:dyDescent="0.25">
      <c r="B11" s="43"/>
      <c r="C11" s="44"/>
      <c r="D11" s="44"/>
      <c r="E11" s="44"/>
      <c r="F11" s="44"/>
      <c r="G11" s="44"/>
      <c r="H11" s="44"/>
      <c r="I11" s="44"/>
      <c r="J11" s="44"/>
      <c r="K11" s="45"/>
    </row>
    <row r="12" spans="2:11" x14ac:dyDescent="0.2">
      <c r="B12" s="2861" t="s">
        <v>25</v>
      </c>
      <c r="C12" s="2862"/>
      <c r="D12" s="2862"/>
      <c r="E12" s="2862"/>
      <c r="F12" s="2862"/>
      <c r="G12" s="2862"/>
      <c r="H12" s="2862"/>
      <c r="I12" s="2862"/>
      <c r="J12" s="2862"/>
      <c r="K12" s="2863"/>
    </row>
    <row r="13" spans="2:11" ht="72" customHeight="1" x14ac:dyDescent="0.2">
      <c r="B13" s="22" t="s">
        <v>26</v>
      </c>
      <c r="C13" s="2864" t="s">
        <v>2316</v>
      </c>
      <c r="D13" s="2865"/>
      <c r="E13" s="2865"/>
      <c r="F13" s="2865"/>
      <c r="G13" s="2865"/>
      <c r="H13" s="2865"/>
      <c r="I13" s="2865"/>
      <c r="J13" s="2865"/>
      <c r="K13" s="2866"/>
    </row>
    <row r="14" spans="2:11" ht="41" customHeight="1" x14ac:dyDescent="0.2">
      <c r="B14" s="23" t="s">
        <v>27</v>
      </c>
      <c r="C14" s="2867" t="s">
        <v>617</v>
      </c>
      <c r="D14" s="2856"/>
      <c r="E14" s="2856"/>
      <c r="F14" s="2856"/>
      <c r="G14" s="2856"/>
      <c r="H14" s="2856"/>
      <c r="I14" s="2856"/>
      <c r="J14" s="2856"/>
      <c r="K14" s="2857"/>
    </row>
    <row r="15" spans="2:11" ht="34" customHeight="1" x14ac:dyDescent="0.2">
      <c r="B15" s="23" t="s">
        <v>28</v>
      </c>
      <c r="C15" s="2864" t="s">
        <v>1615</v>
      </c>
      <c r="D15" s="2865"/>
      <c r="E15" s="2865"/>
      <c r="F15" s="2865"/>
      <c r="G15" s="2865"/>
      <c r="H15" s="2865"/>
      <c r="I15" s="2865"/>
      <c r="J15" s="2865"/>
      <c r="K15" s="2866"/>
    </row>
    <row r="16" spans="2:11" ht="26" customHeight="1" x14ac:dyDescent="0.2">
      <c r="B16" s="23" t="s">
        <v>29</v>
      </c>
      <c r="C16" s="2855" t="s">
        <v>618</v>
      </c>
      <c r="D16" s="2856"/>
      <c r="E16" s="2856"/>
      <c r="F16" s="2856"/>
      <c r="G16" s="2856"/>
      <c r="H16" s="2856"/>
      <c r="I16" s="2856"/>
      <c r="J16" s="2856"/>
      <c r="K16" s="2857"/>
    </row>
    <row r="17" spans="2:11" ht="25" customHeight="1" x14ac:dyDescent="0.2">
      <c r="B17" s="23" t="s">
        <v>30</v>
      </c>
      <c r="C17" s="2855" t="s">
        <v>619</v>
      </c>
      <c r="D17" s="2856"/>
      <c r="E17" s="2856"/>
      <c r="F17" s="2856"/>
      <c r="G17" s="2856"/>
      <c r="H17" s="2856"/>
      <c r="I17" s="2856"/>
      <c r="J17" s="2856"/>
      <c r="K17" s="2857"/>
    </row>
    <row r="18" spans="2:11" ht="25" customHeight="1" x14ac:dyDescent="0.2">
      <c r="B18" s="23" t="s">
        <v>31</v>
      </c>
      <c r="C18" s="2855" t="s">
        <v>620</v>
      </c>
      <c r="D18" s="2856"/>
      <c r="E18" s="2856"/>
      <c r="F18" s="2856"/>
      <c r="G18" s="2856"/>
      <c r="H18" s="2856"/>
      <c r="I18" s="2856"/>
      <c r="J18" s="2856"/>
      <c r="K18" s="2857"/>
    </row>
    <row r="19" spans="2:11" ht="27" customHeight="1" x14ac:dyDescent="0.2">
      <c r="B19" s="24" t="s">
        <v>33</v>
      </c>
      <c r="C19" s="2858" t="s">
        <v>621</v>
      </c>
      <c r="D19" s="2859"/>
      <c r="E19" s="2859"/>
      <c r="F19" s="2859"/>
      <c r="G19" s="2859"/>
      <c r="H19" s="2859"/>
      <c r="I19" s="2859"/>
      <c r="J19" s="2859"/>
      <c r="K19" s="2860"/>
    </row>
    <row r="20" spans="2:11" ht="26" customHeight="1" x14ac:dyDescent="0.2"/>
    <row r="21" spans="2:11" ht="24" customHeight="1" thickBot="1" x14ac:dyDescent="0.25">
      <c r="B21" s="433" t="s">
        <v>1353</v>
      </c>
    </row>
    <row r="22" spans="2:11" ht="24" customHeight="1" x14ac:dyDescent="0.2"/>
    <row r="23" spans="2:11" x14ac:dyDescent="0.2">
      <c r="B23" s="430" t="s">
        <v>1895</v>
      </c>
    </row>
    <row r="24" spans="2:11" ht="21" customHeight="1" x14ac:dyDescent="0.2">
      <c r="B24" s="55" t="s">
        <v>1927</v>
      </c>
    </row>
    <row r="25" spans="2:11" ht="21" customHeight="1" x14ac:dyDescent="0.2">
      <c r="B25" s="55"/>
    </row>
    <row r="26" spans="2:11" ht="19" customHeight="1" x14ac:dyDescent="0.2">
      <c r="B26" s="309" t="s">
        <v>106</v>
      </c>
      <c r="C26" s="33">
        <f>'ANNEXE A'!$C$240</f>
        <v>21000</v>
      </c>
      <c r="F26" s="225"/>
      <c r="G26" s="225"/>
      <c r="H26" s="225"/>
      <c r="I26" s="225"/>
      <c r="J26" s="225"/>
      <c r="K26" s="225"/>
    </row>
    <row r="27" spans="2:11" ht="21" customHeight="1" x14ac:dyDescent="0.2">
      <c r="B27" s="27" t="s">
        <v>433</v>
      </c>
      <c r="C27" s="234">
        <f>'9.1 Alimentaire'!$C$31</f>
        <v>53.380098993002221</v>
      </c>
      <c r="F27" s="225"/>
      <c r="G27" s="225"/>
      <c r="H27" s="225"/>
      <c r="I27" s="225"/>
      <c r="J27" s="225"/>
      <c r="K27" s="225"/>
    </row>
    <row r="28" spans="2:11" x14ac:dyDescent="0.2">
      <c r="B28" s="235"/>
      <c r="C28" s="227"/>
      <c r="E28" s="225"/>
      <c r="F28" s="225"/>
      <c r="G28" s="225"/>
      <c r="H28" s="225"/>
      <c r="I28" s="225"/>
      <c r="J28" s="225"/>
      <c r="K28" s="225"/>
    </row>
    <row r="29" spans="2:11" x14ac:dyDescent="0.2">
      <c r="B29" s="53"/>
      <c r="C29" s="227"/>
      <c r="E29" s="225"/>
      <c r="F29" s="225"/>
      <c r="G29" s="225"/>
      <c r="H29" s="225"/>
      <c r="I29" s="225"/>
      <c r="J29" s="225"/>
      <c r="K29" s="225"/>
    </row>
    <row r="30" spans="2:11" ht="26" customHeight="1" x14ac:dyDescent="0.2">
      <c r="B30" s="325" t="s">
        <v>1932</v>
      </c>
      <c r="C30" s="227"/>
      <c r="E30" s="225"/>
      <c r="F30" s="225"/>
      <c r="G30" s="225"/>
      <c r="H30" s="225"/>
      <c r="I30" s="225"/>
      <c r="J30" s="225"/>
      <c r="K30" s="225"/>
    </row>
    <row r="31" spans="2:11" ht="24" hidden="1" customHeight="1" outlineLevel="1" x14ac:dyDescent="0.2"/>
    <row r="32" spans="2:11" ht="46" hidden="1" customHeight="1" outlineLevel="1" x14ac:dyDescent="0.2">
      <c r="B32" s="1019" t="s">
        <v>497</v>
      </c>
      <c r="C32" s="1020" t="s">
        <v>628</v>
      </c>
      <c r="D32" s="14" t="s">
        <v>629</v>
      </c>
      <c r="E32" s="14" t="s">
        <v>59</v>
      </c>
      <c r="F32" s="266" t="s">
        <v>482</v>
      </c>
      <c r="G32" s="266" t="s">
        <v>13</v>
      </c>
      <c r="H32" s="2684" t="s">
        <v>59</v>
      </c>
      <c r="I32" s="2684"/>
      <c r="J32" s="1021" t="s">
        <v>37</v>
      </c>
    </row>
    <row r="33" spans="2:10" ht="26" hidden="1" customHeight="1" outlineLevel="1" x14ac:dyDescent="0.2">
      <c r="B33" s="237" t="s">
        <v>627</v>
      </c>
      <c r="C33" s="240">
        <v>4</v>
      </c>
      <c r="D33" s="223">
        <f>D73</f>
        <v>45.3</v>
      </c>
      <c r="E33" s="36" t="str">
        <f>E73</f>
        <v>kgCO2e/an</v>
      </c>
      <c r="F33" s="241">
        <f>C27*D67</f>
        <v>40.035074244751669</v>
      </c>
      <c r="G33" s="242">
        <f>F33*D33</f>
        <v>1813.5888632872504</v>
      </c>
      <c r="H33" s="2872" t="s">
        <v>310</v>
      </c>
      <c r="I33" s="2872"/>
      <c r="J33" s="2873" t="s">
        <v>2313</v>
      </c>
    </row>
    <row r="34" spans="2:10" ht="32" hidden="1" customHeight="1" outlineLevel="1" x14ac:dyDescent="0.2">
      <c r="B34" s="239" t="s">
        <v>630</v>
      </c>
      <c r="C34" s="240">
        <v>6.6</v>
      </c>
      <c r="D34" s="223">
        <f>D75</f>
        <v>9.81</v>
      </c>
      <c r="E34" s="36" t="str">
        <f>E75</f>
        <v>kgCO2e/an</v>
      </c>
      <c r="F34" s="241">
        <f>D68*C27</f>
        <v>40.035074244751669</v>
      </c>
      <c r="G34" s="242">
        <f t="shared" ref="G34:G36" si="0">F34*D34</f>
        <v>392.7440783410139</v>
      </c>
      <c r="H34" s="2872" t="s">
        <v>310</v>
      </c>
      <c r="I34" s="2872"/>
      <c r="J34" s="2874"/>
    </row>
    <row r="35" spans="2:10" ht="46" hidden="1" customHeight="1" outlineLevel="1" x14ac:dyDescent="0.2">
      <c r="B35" s="243" t="s">
        <v>632</v>
      </c>
      <c r="C35" s="244">
        <v>8</v>
      </c>
      <c r="D35" s="223">
        <f>D76</f>
        <v>19</v>
      </c>
      <c r="E35" s="36" t="str">
        <f>E76</f>
        <v>kgCO2e/an</v>
      </c>
      <c r="F35" s="245">
        <v>300</v>
      </c>
      <c r="G35" s="242">
        <f t="shared" si="0"/>
        <v>5700</v>
      </c>
      <c r="H35" s="2872" t="s">
        <v>310</v>
      </c>
      <c r="I35" s="2872"/>
      <c r="J35" s="246" t="s">
        <v>633</v>
      </c>
    </row>
    <row r="36" spans="2:10" ht="33" hidden="1" customHeight="1" outlineLevel="1" x14ac:dyDescent="0.2">
      <c r="B36" s="49" t="s">
        <v>634</v>
      </c>
      <c r="C36" s="28">
        <v>10</v>
      </c>
      <c r="D36" s="36">
        <f>C80</f>
        <v>132</v>
      </c>
      <c r="E36" s="36" t="str">
        <f>D80</f>
        <v>kgCO2e/an/2m2</v>
      </c>
      <c r="F36" s="245">
        <f>180/2</f>
        <v>90</v>
      </c>
      <c r="G36" s="242">
        <f t="shared" si="0"/>
        <v>11880</v>
      </c>
      <c r="H36" s="2872" t="s">
        <v>310</v>
      </c>
      <c r="I36" s="2872"/>
      <c r="J36" s="2268" t="s">
        <v>2314</v>
      </c>
    </row>
    <row r="37" spans="2:10" ht="29" hidden="1" customHeight="1" outlineLevel="1" x14ac:dyDescent="0.2">
      <c r="B37" s="250"/>
      <c r="C37" s="232"/>
      <c r="F37" s="251" t="s">
        <v>198</v>
      </c>
      <c r="G37" s="1635">
        <f>SUM(G33:G36)/1000</f>
        <v>19.786332941628267</v>
      </c>
      <c r="H37" s="2868" t="s">
        <v>71</v>
      </c>
      <c r="I37" s="2869"/>
    </row>
    <row r="38" spans="2:10" ht="29" hidden="1" customHeight="1" outlineLevel="1" x14ac:dyDescent="0.2"/>
    <row r="39" spans="2:10" ht="29" hidden="1" customHeight="1" outlineLevel="1" x14ac:dyDescent="0.2">
      <c r="B39" s="233"/>
    </row>
    <row r="40" spans="2:10" ht="39" hidden="1" customHeight="1" outlineLevel="1" x14ac:dyDescent="0.2">
      <c r="B40" s="1019" t="s">
        <v>497</v>
      </c>
      <c r="C40" s="1020" t="s">
        <v>628</v>
      </c>
      <c r="D40" s="14" t="s">
        <v>629</v>
      </c>
      <c r="E40" s="14" t="s">
        <v>59</v>
      </c>
      <c r="F40" s="247" t="s">
        <v>643</v>
      </c>
      <c r="G40" s="266" t="s">
        <v>644</v>
      </c>
      <c r="H40" s="266" t="s">
        <v>13</v>
      </c>
      <c r="I40" s="14" t="s">
        <v>59</v>
      </c>
      <c r="J40" s="1022" t="s">
        <v>645</v>
      </c>
    </row>
    <row r="41" spans="2:10" ht="49" hidden="1" customHeight="1" outlineLevel="1" x14ac:dyDescent="0.2">
      <c r="B41" s="239" t="s">
        <v>646</v>
      </c>
      <c r="C41" s="245">
        <v>10</v>
      </c>
      <c r="D41" s="36">
        <f>C81</f>
        <v>132</v>
      </c>
      <c r="E41" s="36" t="str">
        <f>D80</f>
        <v>kgCO2e/an/2m2</v>
      </c>
      <c r="F41" s="245">
        <v>60</v>
      </c>
      <c r="G41" s="245">
        <v>2</v>
      </c>
      <c r="H41" s="1023">
        <f>IF(G41=0,"",($D$41*F41/2))*G41</f>
        <v>7920</v>
      </c>
      <c r="I41" s="35" t="s">
        <v>310</v>
      </c>
      <c r="J41" s="2870" t="s">
        <v>2315</v>
      </c>
    </row>
    <row r="42" spans="2:10" s="52" customFormat="1" ht="32" hidden="1" customHeight="1" outlineLevel="1" x14ac:dyDescent="0.2">
      <c r="B42" s="1024" t="s">
        <v>648</v>
      </c>
      <c r="C42" s="245">
        <v>10</v>
      </c>
      <c r="D42" s="36">
        <f>C81</f>
        <v>132</v>
      </c>
      <c r="E42" s="36" t="str">
        <f>D81</f>
        <v>kgCO2e/an/2m2</v>
      </c>
      <c r="F42" s="28">
        <v>100</v>
      </c>
      <c r="G42" s="28">
        <v>1</v>
      </c>
      <c r="H42" s="1023">
        <f>IF(G42=0,"",($D$42*F42/2))*G42</f>
        <v>6600</v>
      </c>
      <c r="I42" s="35" t="s">
        <v>310</v>
      </c>
      <c r="J42" s="2871"/>
    </row>
    <row r="43" spans="2:10" ht="32" hidden="1" customHeight="1" outlineLevel="1" x14ac:dyDescent="0.2">
      <c r="B43" s="250" t="s">
        <v>652</v>
      </c>
      <c r="G43" s="251" t="s">
        <v>198</v>
      </c>
      <c r="H43" s="1635">
        <f>(H41+H42)/1000</f>
        <v>14.52</v>
      </c>
      <c r="I43" s="222" t="s">
        <v>71</v>
      </c>
    </row>
    <row r="44" spans="2:10" ht="32" hidden="1" customHeight="1" outlineLevel="1" x14ac:dyDescent="0.2">
      <c r="B44" s="250"/>
      <c r="G44" s="284"/>
      <c r="H44" s="438"/>
      <c r="I44" s="232"/>
    </row>
    <row r="45" spans="2:10" ht="28" hidden="1" customHeight="1" outlineLevel="1" x14ac:dyDescent="0.2"/>
    <row r="46" spans="2:10" ht="28" customHeight="1" collapsed="1" x14ac:dyDescent="0.2">
      <c r="B46" s="325" t="s">
        <v>1933</v>
      </c>
    </row>
    <row r="47" spans="2:10" ht="28" customHeight="1" x14ac:dyDescent="0.2">
      <c r="B47" s="325"/>
    </row>
    <row r="48" spans="2:10" ht="28" customHeight="1" x14ac:dyDescent="0.2">
      <c r="B48" s="1633" t="s">
        <v>1355</v>
      </c>
    </row>
    <row r="49" spans="2:4" ht="21" customHeight="1" x14ac:dyDescent="0.2">
      <c r="B49" s="308" t="s">
        <v>1347</v>
      </c>
    </row>
    <row r="50" spans="2:4" ht="22" customHeight="1" x14ac:dyDescent="0.2"/>
    <row r="51" spans="2:4" ht="30" customHeight="1" x14ac:dyDescent="0.2">
      <c r="B51" s="112"/>
      <c r="C51" s="1026" t="s">
        <v>1463</v>
      </c>
      <c r="D51" s="1026" t="s">
        <v>1594</v>
      </c>
    </row>
    <row r="52" spans="2:4" ht="26" customHeight="1" x14ac:dyDescent="0.2">
      <c r="B52" s="311" t="s">
        <v>106</v>
      </c>
      <c r="C52" s="312">
        <f>C26</f>
        <v>21000</v>
      </c>
      <c r="D52" s="312">
        <f>'ANNEXE A'!$C$241</f>
        <v>1570865</v>
      </c>
    </row>
    <row r="53" spans="2:4" ht="26" customHeight="1" x14ac:dyDescent="0.2">
      <c r="B53" s="313" t="s">
        <v>1356</v>
      </c>
      <c r="C53" s="310">
        <f>G37+H43</f>
        <v>34.30633294162827</v>
      </c>
      <c r="D53" s="310">
        <f>C53*D52/C52</f>
        <v>2566.2198903024237</v>
      </c>
    </row>
    <row r="54" spans="2:4" ht="26" customHeight="1" x14ac:dyDescent="0.2">
      <c r="B54" s="1636" t="s">
        <v>1929</v>
      </c>
      <c r="C54" s="1637">
        <f>SUM(C53:C53)</f>
        <v>34.30633294162827</v>
      </c>
      <c r="D54" s="1637">
        <f>SUM(D53:D53)</f>
        <v>2566.2198903024237</v>
      </c>
    </row>
    <row r="55" spans="2:4" ht="23" customHeight="1" x14ac:dyDescent="0.2">
      <c r="B55" s="1"/>
      <c r="C55" s="1"/>
      <c r="D55" s="1"/>
    </row>
    <row r="56" spans="2:4" ht="23" customHeight="1" thickBot="1" x14ac:dyDescent="0.25"/>
    <row r="57" spans="2:4" ht="34" customHeight="1" thickBot="1" x14ac:dyDescent="0.25">
      <c r="B57" s="315" t="s">
        <v>765</v>
      </c>
      <c r="C57" s="316">
        <f>D54</f>
        <v>2566.2198903024237</v>
      </c>
      <c r="D57" s="317" t="s">
        <v>71</v>
      </c>
    </row>
    <row r="58" spans="2:4" ht="18" x14ac:dyDescent="0.2">
      <c r="B58" s="436"/>
      <c r="C58" s="437"/>
      <c r="D58" s="26"/>
    </row>
    <row r="59" spans="2:4" ht="18" x14ac:dyDescent="0.2">
      <c r="B59" s="436"/>
      <c r="C59" s="437"/>
      <c r="D59" s="26"/>
    </row>
    <row r="60" spans="2:4" ht="18" x14ac:dyDescent="0.2">
      <c r="B60" s="436"/>
      <c r="C60" s="437"/>
      <c r="D60" s="26"/>
    </row>
    <row r="61" spans="2:4" ht="23" x14ac:dyDescent="0.2">
      <c r="B61" s="433" t="s">
        <v>1352</v>
      </c>
    </row>
    <row r="62" spans="2:4" hidden="1" outlineLevel="1" x14ac:dyDescent="0.2"/>
    <row r="63" spans="2:4" ht="18" hidden="1" outlineLevel="1" x14ac:dyDescent="0.2">
      <c r="B63" s="1605" t="s">
        <v>622</v>
      </c>
    </row>
    <row r="64" spans="2:4" hidden="1" outlineLevel="1" x14ac:dyDescent="0.2"/>
    <row r="65" spans="2:6" hidden="1" outlineLevel="1" x14ac:dyDescent="0.2">
      <c r="B65" s="52" t="s">
        <v>623</v>
      </c>
    </row>
    <row r="66" spans="2:6" hidden="1" outlineLevel="1" x14ac:dyDescent="0.2">
      <c r="B66" s="236" t="s">
        <v>624</v>
      </c>
      <c r="C66" s="236" t="s">
        <v>625</v>
      </c>
      <c r="D66" s="236" t="s">
        <v>626</v>
      </c>
    </row>
    <row r="67" spans="2:6" hidden="1" outlineLevel="1" x14ac:dyDescent="0.2">
      <c r="B67" s="237" t="s">
        <v>627</v>
      </c>
      <c r="C67" s="228">
        <v>18</v>
      </c>
      <c r="D67" s="238">
        <f t="shared" ref="D67:D68" si="1">C67/24</f>
        <v>0.75</v>
      </c>
    </row>
    <row r="68" spans="2:6" ht="17" hidden="1" outlineLevel="1" x14ac:dyDescent="0.2">
      <c r="B68" s="239" t="s">
        <v>630</v>
      </c>
      <c r="C68" s="228">
        <v>18</v>
      </c>
      <c r="D68" s="238">
        <f t="shared" si="1"/>
        <v>0.75</v>
      </c>
    </row>
    <row r="69" spans="2:6" hidden="1" outlineLevel="1" x14ac:dyDescent="0.2"/>
    <row r="70" spans="2:6" ht="18" hidden="1" outlineLevel="1" x14ac:dyDescent="0.2">
      <c r="B70" s="1605" t="s">
        <v>631</v>
      </c>
    </row>
    <row r="71" spans="2:6" hidden="1" outlineLevel="1" x14ac:dyDescent="0.2"/>
    <row r="72" spans="2:6" ht="17" hidden="1" outlineLevel="1" x14ac:dyDescent="0.2">
      <c r="B72" s="14" t="s">
        <v>124</v>
      </c>
      <c r="C72" s="247" t="s">
        <v>635</v>
      </c>
      <c r="D72" s="14" t="s">
        <v>36</v>
      </c>
      <c r="E72" s="14" t="s">
        <v>59</v>
      </c>
      <c r="F72" s="14" t="s">
        <v>125</v>
      </c>
    </row>
    <row r="73" spans="2:6" ht="55" hidden="1" customHeight="1" outlineLevel="1" x14ac:dyDescent="0.2">
      <c r="B73" s="32" t="s">
        <v>627</v>
      </c>
      <c r="C73" s="248" t="s">
        <v>636</v>
      </c>
      <c r="D73" s="249">
        <v>45.3</v>
      </c>
      <c r="E73" s="36" t="s">
        <v>637</v>
      </c>
      <c r="F73" s="32" t="s">
        <v>638</v>
      </c>
    </row>
    <row r="74" spans="2:6" ht="55" hidden="1" customHeight="1" outlineLevel="1" x14ac:dyDescent="0.2">
      <c r="B74" s="252" t="s">
        <v>639</v>
      </c>
      <c r="C74" s="248" t="s">
        <v>640</v>
      </c>
      <c r="D74" s="249">
        <v>46.1</v>
      </c>
      <c r="E74" s="36" t="s">
        <v>637</v>
      </c>
      <c r="F74" s="32" t="s">
        <v>638</v>
      </c>
    </row>
    <row r="75" spans="2:6" ht="55" hidden="1" customHeight="1" outlineLevel="1" x14ac:dyDescent="0.2">
      <c r="B75" s="253" t="s">
        <v>630</v>
      </c>
      <c r="C75" s="248" t="s">
        <v>641</v>
      </c>
      <c r="D75" s="249">
        <v>9.81</v>
      </c>
      <c r="E75" s="36" t="s">
        <v>637</v>
      </c>
      <c r="F75" s="32" t="s">
        <v>638</v>
      </c>
    </row>
    <row r="76" spans="2:6" ht="55" hidden="1" customHeight="1" outlineLevel="1" x14ac:dyDescent="0.2">
      <c r="B76" s="252" t="s">
        <v>632</v>
      </c>
      <c r="C76" s="248" t="s">
        <v>642</v>
      </c>
      <c r="D76" s="249">
        <v>19</v>
      </c>
      <c r="E76" s="36" t="s">
        <v>637</v>
      </c>
      <c r="F76" s="32" t="s">
        <v>638</v>
      </c>
    </row>
    <row r="77" spans="2:6" hidden="1" outlineLevel="1" x14ac:dyDescent="0.2"/>
    <row r="78" spans="2:6" hidden="1" outlineLevel="1" x14ac:dyDescent="0.2">
      <c r="B78" s="54" t="s">
        <v>1928</v>
      </c>
    </row>
    <row r="79" spans="2:6" hidden="1" outlineLevel="1" x14ac:dyDescent="0.2">
      <c r="B79" s="14" t="s">
        <v>124</v>
      </c>
      <c r="C79" s="14" t="s">
        <v>36</v>
      </c>
      <c r="D79" s="14" t="s">
        <v>59</v>
      </c>
      <c r="E79" s="14" t="s">
        <v>649</v>
      </c>
      <c r="F79" s="52"/>
    </row>
    <row r="80" spans="2:6" ht="44" hidden="1" customHeight="1" outlineLevel="1" x14ac:dyDescent="0.2">
      <c r="B80" s="49" t="s">
        <v>634</v>
      </c>
      <c r="C80" s="36">
        <v>132</v>
      </c>
      <c r="D80" s="36" t="s">
        <v>650</v>
      </c>
      <c r="E80" s="254" t="s">
        <v>651</v>
      </c>
      <c r="F80" s="52"/>
    </row>
    <row r="81" spans="2:5" ht="44" hidden="1" customHeight="1" outlineLevel="1" x14ac:dyDescent="0.2">
      <c r="B81" s="36" t="s">
        <v>646</v>
      </c>
      <c r="C81" s="36">
        <v>132</v>
      </c>
      <c r="D81" s="36" t="s">
        <v>650</v>
      </c>
      <c r="E81" s="255" t="s">
        <v>647</v>
      </c>
    </row>
    <row r="82" spans="2:5" hidden="1" outlineLevel="1" x14ac:dyDescent="0.2"/>
    <row r="83" spans="2:5" collapsed="1" x14ac:dyDescent="0.2"/>
  </sheetData>
  <mergeCells count="21">
    <mergeCell ref="H32:I32"/>
    <mergeCell ref="H37:I37"/>
    <mergeCell ref="J41:J42"/>
    <mergeCell ref="H33:I33"/>
    <mergeCell ref="J33:J34"/>
    <mergeCell ref="H34:I34"/>
    <mergeCell ref="H35:I35"/>
    <mergeCell ref="H36:I36"/>
    <mergeCell ref="C16:K16"/>
    <mergeCell ref="C17:K17"/>
    <mergeCell ref="C18:K18"/>
    <mergeCell ref="C19:K19"/>
    <mergeCell ref="B12:K12"/>
    <mergeCell ref="C13:K13"/>
    <mergeCell ref="C14:K14"/>
    <mergeCell ref="C15:K15"/>
    <mergeCell ref="C6:D6"/>
    <mergeCell ref="C7:D7"/>
    <mergeCell ref="C9:D9"/>
    <mergeCell ref="B2:E2"/>
    <mergeCell ref="B4:D4"/>
  </mergeCells>
  <conditionalFormatting sqref="C7">
    <cfRule type="containsText" dxfId="109" priority="12" operator="containsText" text="Pas ok">
      <formula>NOT(ISERROR(SEARCH("Pas ok",C7)))</formula>
    </cfRule>
    <cfRule type="containsText" dxfId="108" priority="13" operator="containsText" text="Calcul brouillon, ordre de grandeur">
      <formula>NOT(ISERROR(SEARCH("Calcul brouillon, ordre de grandeur",C7)))</formula>
    </cfRule>
    <cfRule type="containsText" dxfId="107" priority="14" operator="containsText" text="Bon ordre de grandeur">
      <formula>NOT(ISERROR(SEARCH("Bon ordre de grandeur",C7)))</formula>
    </cfRule>
    <cfRule type="containsText" dxfId="106" priority="15" operator="containsText" text="Calcul validé">
      <formula>NOT(ISERROR(SEARCH("Calcul validé",C7)))</formula>
    </cfRule>
    <cfRule type="containsText" dxfId="105" priority="17" operator="containsText" text="Pas ok">
      <formula>NOT(ISERROR(SEARCH("Pas ok",C7)))</formula>
    </cfRule>
    <cfRule type="containsText" dxfId="104" priority="18" operator="containsText" text="Calcul brouillon, ordre de grandeur">
      <formula>NOT(ISERROR(SEARCH("Calcul brouillon, ordre de grandeur",C7)))</formula>
    </cfRule>
    <cfRule type="containsText" dxfId="103" priority="19" operator="containsText" text="Bon ordre de grandeur">
      <formula>NOT(ISERROR(SEARCH("Bon ordre de grandeur",C7)))</formula>
    </cfRule>
    <cfRule type="containsText" dxfId="102" priority="20" operator="containsText" text="Calcul validé">
      <formula>NOT(ISERROR(SEARCH("Calcul validé",C7)))</formula>
    </cfRule>
  </conditionalFormatting>
  <conditionalFormatting sqref="C7:D7">
    <cfRule type="containsText" dxfId="101" priority="11" operator="containsText" text="Calcul brouillon, odg">
      <formula>NOT(ISERROR(SEARCH("Calcul brouillon, odg",C7)))</formula>
    </cfRule>
  </conditionalFormatting>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249977111117893"/>
  </sheetPr>
  <dimension ref="B2:O64"/>
  <sheetViews>
    <sheetView zoomScale="61" workbookViewId="0">
      <selection activeCell="C17" sqref="C17:O17"/>
    </sheetView>
  </sheetViews>
  <sheetFormatPr baseColWidth="10" defaultColWidth="10.85546875" defaultRowHeight="16" outlineLevelRow="1" x14ac:dyDescent="0.2"/>
  <cols>
    <col min="1" max="1" width="10.85546875" style="1"/>
    <col min="2" max="2" width="31.7109375" style="1" customWidth="1"/>
    <col min="3" max="3" width="21.140625" style="1" customWidth="1"/>
    <col min="4" max="4" width="20.140625" style="1" customWidth="1"/>
    <col min="5" max="5" width="19.28515625" style="1" customWidth="1"/>
    <col min="6" max="6" width="17.5703125" style="1" customWidth="1"/>
    <col min="7" max="7" width="14.42578125" style="1" customWidth="1"/>
    <col min="8" max="8" width="24.5703125" style="1" customWidth="1"/>
    <col min="9" max="9" width="22.7109375" style="1" customWidth="1"/>
    <col min="10" max="10" width="29.5703125" style="1" customWidth="1"/>
    <col min="11" max="11" width="21.85546875" style="1" customWidth="1"/>
    <col min="12" max="12" width="15.140625" style="1" customWidth="1"/>
    <col min="13" max="13" width="29.7109375" style="1" customWidth="1"/>
    <col min="14" max="14" width="43.85546875" style="1" customWidth="1"/>
    <col min="15" max="15" width="6.85546875" style="1" customWidth="1"/>
    <col min="16" max="16" width="10.85546875" style="1"/>
    <col min="17" max="17" width="25.7109375" style="1" customWidth="1"/>
    <col min="18" max="19" width="10.85546875" style="1"/>
    <col min="20" max="20" width="22.28515625" style="1" customWidth="1"/>
    <col min="21" max="21" width="39.140625" style="1" customWidth="1"/>
    <col min="22" max="16384" width="10.85546875" style="1"/>
  </cols>
  <sheetData>
    <row r="2" spans="2:15" ht="20" x14ac:dyDescent="0.2">
      <c r="B2" s="2875" t="s">
        <v>653</v>
      </c>
      <c r="C2" s="2876"/>
      <c r="D2" s="2876"/>
      <c r="E2" s="2877"/>
    </row>
    <row r="3" spans="2:15" ht="17" thickBot="1" x14ac:dyDescent="0.25"/>
    <row r="4" spans="2:15" ht="17" thickBot="1" x14ac:dyDescent="0.25">
      <c r="B4" s="2878" t="s">
        <v>17</v>
      </c>
      <c r="C4" s="2879"/>
      <c r="D4" s="2880"/>
      <c r="F4"/>
      <c r="G4"/>
      <c r="H4" s="1985"/>
      <c r="I4"/>
      <c r="J4"/>
      <c r="K4"/>
      <c r="L4"/>
      <c r="M4"/>
      <c r="N4"/>
      <c r="O4"/>
    </row>
    <row r="5" spans="2:15" ht="17" customHeight="1" x14ac:dyDescent="0.2">
      <c r="B5" s="439" t="s">
        <v>18</v>
      </c>
      <c r="C5" s="434">
        <f>C52</f>
        <v>526.6137904761905</v>
      </c>
      <c r="D5" s="12" t="s">
        <v>19</v>
      </c>
      <c r="F5"/>
      <c r="G5"/>
      <c r="H5"/>
      <c r="I5"/>
      <c r="J5"/>
      <c r="K5"/>
      <c r="L5"/>
      <c r="M5"/>
      <c r="N5"/>
      <c r="O5"/>
    </row>
    <row r="6" spans="2:15" ht="16" customHeight="1" x14ac:dyDescent="0.2">
      <c r="B6" s="264" t="s">
        <v>20</v>
      </c>
      <c r="C6" s="2889" t="str">
        <f>C9</f>
        <v>vFinale</v>
      </c>
      <c r="D6" s="2890"/>
      <c r="F6"/>
      <c r="G6"/>
      <c r="H6"/>
      <c r="I6"/>
      <c r="J6"/>
      <c r="K6"/>
      <c r="L6"/>
      <c r="M6"/>
      <c r="N6"/>
      <c r="O6"/>
    </row>
    <row r="7" spans="2:15" ht="17" thickBot="1" x14ac:dyDescent="0.25">
      <c r="B7" s="265" t="s">
        <v>21</v>
      </c>
      <c r="C7" s="2891"/>
      <c r="D7" s="2892"/>
      <c r="F7"/>
      <c r="G7"/>
      <c r="H7"/>
      <c r="I7"/>
      <c r="J7"/>
      <c r="K7"/>
      <c r="L7"/>
      <c r="M7"/>
      <c r="N7"/>
      <c r="O7"/>
    </row>
    <row r="8" spans="2:15" ht="17" thickBot="1" x14ac:dyDescent="0.25"/>
    <row r="9" spans="2:15" x14ac:dyDescent="0.2">
      <c r="B9" s="988" t="s">
        <v>22</v>
      </c>
      <c r="C9" s="2847" t="s">
        <v>1602</v>
      </c>
      <c r="D9" s="2848"/>
      <c r="E9" s="15"/>
      <c r="F9" s="15"/>
      <c r="G9" s="15"/>
      <c r="H9" s="15"/>
      <c r="I9" s="15"/>
      <c r="J9" s="15"/>
      <c r="K9" s="15"/>
      <c r="L9" s="15"/>
      <c r="M9" s="15"/>
      <c r="N9" s="15"/>
      <c r="O9" s="16"/>
    </row>
    <row r="10" spans="2:15" ht="17" thickBot="1" x14ac:dyDescent="0.25">
      <c r="B10" s="980" t="s">
        <v>1905</v>
      </c>
      <c r="C10" s="976">
        <f>C5/'ANNEXE A'!$C$248</f>
        <v>0.36168529565672425</v>
      </c>
      <c r="D10" s="977" t="s">
        <v>24</v>
      </c>
      <c r="E10" s="17"/>
      <c r="F10" s="17"/>
      <c r="G10" s="17"/>
      <c r="H10" s="17"/>
      <c r="I10" s="17"/>
      <c r="J10" s="17"/>
      <c r="K10" s="17"/>
      <c r="L10" s="17"/>
      <c r="M10" s="17"/>
      <c r="N10" s="17"/>
      <c r="O10" s="18"/>
    </row>
    <row r="11" spans="2:15" ht="17" thickBot="1" x14ac:dyDescent="0.25">
      <c r="B11" s="19"/>
      <c r="C11" s="20"/>
      <c r="D11" s="20"/>
      <c r="E11" s="20"/>
      <c r="F11" s="20"/>
      <c r="G11" s="20"/>
      <c r="H11" s="20"/>
      <c r="I11" s="20"/>
      <c r="J11" s="20"/>
      <c r="K11" s="20"/>
      <c r="L11" s="20"/>
      <c r="M11" s="20"/>
      <c r="N11" s="20"/>
      <c r="O11" s="21"/>
    </row>
    <row r="12" spans="2:15" x14ac:dyDescent="0.2">
      <c r="B12" s="2881" t="s">
        <v>25</v>
      </c>
      <c r="C12" s="2882"/>
      <c r="D12" s="2882"/>
      <c r="E12" s="2882"/>
      <c r="F12" s="2882"/>
      <c r="G12" s="2882"/>
      <c r="H12" s="2882"/>
      <c r="I12" s="2882"/>
      <c r="J12" s="2882"/>
      <c r="K12" s="2882"/>
      <c r="L12" s="2882"/>
      <c r="M12" s="2882"/>
      <c r="N12" s="2882"/>
      <c r="O12" s="2883"/>
    </row>
    <row r="13" spans="2:15" ht="35" customHeight="1" x14ac:dyDescent="0.2">
      <c r="B13" s="22" t="s">
        <v>26</v>
      </c>
      <c r="C13" s="2884" t="s">
        <v>2317</v>
      </c>
      <c r="D13" s="2885"/>
      <c r="E13" s="2885"/>
      <c r="F13" s="2885"/>
      <c r="G13" s="2885"/>
      <c r="H13" s="2885"/>
      <c r="I13" s="2885"/>
      <c r="J13" s="2885"/>
      <c r="K13" s="2885"/>
      <c r="L13" s="2885"/>
      <c r="M13" s="2885"/>
      <c r="N13" s="2885"/>
      <c r="O13" s="2886"/>
    </row>
    <row r="14" spans="2:15" ht="51" customHeight="1" x14ac:dyDescent="0.2">
      <c r="B14" s="23" t="s">
        <v>27</v>
      </c>
      <c r="C14" s="2867" t="s">
        <v>654</v>
      </c>
      <c r="D14" s="2856"/>
      <c r="E14" s="2856"/>
      <c r="F14" s="2856"/>
      <c r="G14" s="2856"/>
      <c r="H14" s="2856"/>
      <c r="I14" s="2856"/>
      <c r="J14" s="2856"/>
      <c r="K14" s="2856"/>
      <c r="L14" s="2856"/>
      <c r="M14" s="2856"/>
      <c r="N14" s="2856"/>
      <c r="O14" s="2857"/>
    </row>
    <row r="15" spans="2:15" ht="41" customHeight="1" x14ac:dyDescent="0.2">
      <c r="B15" s="23" t="s">
        <v>28</v>
      </c>
      <c r="C15" s="2888" t="s">
        <v>1616</v>
      </c>
      <c r="D15" s="2865"/>
      <c r="E15" s="2865"/>
      <c r="F15" s="2865"/>
      <c r="G15" s="2865"/>
      <c r="H15" s="2865"/>
      <c r="I15" s="2865"/>
      <c r="J15" s="2865"/>
      <c r="K15" s="2865"/>
      <c r="L15" s="2865"/>
      <c r="M15" s="2865"/>
      <c r="N15" s="2865"/>
      <c r="O15" s="2866"/>
    </row>
    <row r="16" spans="2:15" ht="22" customHeight="1" x14ac:dyDescent="0.2">
      <c r="B16" s="23" t="s">
        <v>29</v>
      </c>
      <c r="C16" s="2855" t="s">
        <v>655</v>
      </c>
      <c r="D16" s="2856"/>
      <c r="E16" s="2856"/>
      <c r="F16" s="2856"/>
      <c r="G16" s="2856"/>
      <c r="H16" s="2856"/>
      <c r="I16" s="2856"/>
      <c r="J16" s="2856"/>
      <c r="K16" s="2856"/>
      <c r="L16" s="2856"/>
      <c r="M16" s="2856"/>
      <c r="N16" s="2856"/>
      <c r="O16" s="2857"/>
    </row>
    <row r="17" spans="2:15" ht="97" customHeight="1" x14ac:dyDescent="0.2">
      <c r="B17" s="23" t="s">
        <v>30</v>
      </c>
      <c r="C17" s="2887" t="s">
        <v>1617</v>
      </c>
      <c r="D17" s="2856"/>
      <c r="E17" s="2856"/>
      <c r="F17" s="2856"/>
      <c r="G17" s="2856"/>
      <c r="H17" s="2856"/>
      <c r="I17" s="2856"/>
      <c r="J17" s="2856"/>
      <c r="K17" s="2856"/>
      <c r="L17" s="2856"/>
      <c r="M17" s="2856"/>
      <c r="N17" s="2856"/>
      <c r="O17" s="2857"/>
    </row>
    <row r="18" spans="2:15" ht="25" customHeight="1" x14ac:dyDescent="0.2">
      <c r="B18" s="23" t="s">
        <v>31</v>
      </c>
      <c r="C18" s="2855" t="s">
        <v>656</v>
      </c>
      <c r="D18" s="2856"/>
      <c r="E18" s="2856"/>
      <c r="F18" s="2856"/>
      <c r="G18" s="2856"/>
      <c r="H18" s="2856"/>
      <c r="I18" s="2856"/>
      <c r="J18" s="2856"/>
      <c r="K18" s="2856"/>
      <c r="L18" s="2856"/>
      <c r="M18" s="2856"/>
      <c r="N18" s="2856"/>
      <c r="O18" s="2857"/>
    </row>
    <row r="19" spans="2:15" ht="24" customHeight="1" x14ac:dyDescent="0.2">
      <c r="B19" s="24" t="s">
        <v>33</v>
      </c>
      <c r="C19" s="2858" t="s">
        <v>657</v>
      </c>
      <c r="D19" s="2859"/>
      <c r="E19" s="2859"/>
      <c r="F19" s="2859"/>
      <c r="G19" s="2859"/>
      <c r="H19" s="2859"/>
      <c r="I19" s="2859"/>
      <c r="J19" s="2859"/>
      <c r="K19" s="2859"/>
      <c r="L19" s="2859"/>
      <c r="M19" s="2859"/>
      <c r="N19" s="2859"/>
      <c r="O19" s="2860"/>
    </row>
    <row r="20" spans="2:15" ht="25" customHeight="1" x14ac:dyDescent="0.2">
      <c r="B20" s="34"/>
      <c r="C20" s="224"/>
      <c r="D20" s="224"/>
      <c r="E20" s="224"/>
      <c r="F20" s="224"/>
      <c r="G20" s="224"/>
      <c r="H20" s="224"/>
      <c r="I20" s="224"/>
      <c r="J20" s="224"/>
      <c r="K20" s="224"/>
      <c r="L20" s="224"/>
      <c r="M20" s="224"/>
      <c r="N20" s="224"/>
      <c r="O20" s="224"/>
    </row>
    <row r="21" spans="2:15" ht="23" x14ac:dyDescent="0.2">
      <c r="B21" s="433" t="s">
        <v>1353</v>
      </c>
      <c r="C21" s="224"/>
      <c r="D21" s="224"/>
      <c r="E21" s="224"/>
      <c r="F21" s="224"/>
      <c r="G21" s="224"/>
      <c r="H21" s="224"/>
      <c r="I21" s="224"/>
      <c r="J21" s="224"/>
      <c r="K21" s="224"/>
      <c r="L21" s="224"/>
      <c r="M21" s="224"/>
      <c r="N21" s="224"/>
      <c r="O21" s="224"/>
    </row>
    <row r="22" spans="2:15" ht="23" x14ac:dyDescent="0.2">
      <c r="B22" s="433"/>
      <c r="C22" s="224"/>
      <c r="D22" s="224"/>
      <c r="E22" s="224"/>
      <c r="F22" s="224"/>
      <c r="G22" s="224"/>
      <c r="H22" s="224"/>
      <c r="I22" s="224"/>
      <c r="J22" s="224"/>
      <c r="K22" s="224"/>
      <c r="L22" s="224"/>
      <c r="M22" s="224"/>
      <c r="N22" s="224"/>
      <c r="O22" s="224"/>
    </row>
    <row r="23" spans="2:15" x14ac:dyDescent="0.2">
      <c r="B23" s="430" t="s">
        <v>1895</v>
      </c>
      <c r="C23" s="224"/>
      <c r="D23" s="224"/>
      <c r="E23" s="224"/>
      <c r="F23" s="224"/>
      <c r="G23" s="224"/>
      <c r="H23" s="224"/>
      <c r="I23" s="224"/>
      <c r="J23" s="224"/>
      <c r="K23" s="224"/>
      <c r="L23" s="224"/>
      <c r="M23" s="224"/>
      <c r="N23" s="224"/>
      <c r="O23" s="224"/>
    </row>
    <row r="24" spans="2:15" ht="25" customHeight="1" x14ac:dyDescent="0.2">
      <c r="B24" s="55" t="s">
        <v>1927</v>
      </c>
      <c r="C24" s="224"/>
      <c r="D24" s="433"/>
      <c r="E24" s="224"/>
      <c r="F24" s="224"/>
      <c r="G24" s="224"/>
      <c r="H24" s="224"/>
      <c r="I24" s="224"/>
      <c r="J24" s="224"/>
      <c r="K24" s="224"/>
      <c r="L24" s="224"/>
      <c r="M24" s="224"/>
      <c r="N24" s="224"/>
      <c r="O24" s="224"/>
    </row>
    <row r="25" spans="2:15" x14ac:dyDescent="0.2">
      <c r="B25"/>
      <c r="C25"/>
      <c r="D25"/>
      <c r="E25"/>
    </row>
    <row r="26" spans="2:15" ht="24" customHeight="1" x14ac:dyDescent="0.2">
      <c r="B26" s="1604" t="s">
        <v>1934</v>
      </c>
      <c r="C26" s="29">
        <f>'ANNEXE A'!$C$240</f>
        <v>21000</v>
      </c>
      <c r="D26"/>
      <c r="E26"/>
    </row>
    <row r="27" spans="2:15" ht="24" customHeight="1" x14ac:dyDescent="0.2">
      <c r="B27" s="1638"/>
      <c r="C27" s="435"/>
      <c r="D27"/>
      <c r="E27"/>
    </row>
    <row r="28" spans="2:15" ht="23" customHeight="1" x14ac:dyDescent="0.2">
      <c r="B28" s="34"/>
      <c r="C28" s="226"/>
    </row>
    <row r="29" spans="2:15" ht="25" customHeight="1" x14ac:dyDescent="0.2">
      <c r="B29" s="325" t="s">
        <v>1930</v>
      </c>
    </row>
    <row r="30" spans="2:15" ht="15" customHeight="1" x14ac:dyDescent="0.2">
      <c r="B30" s="325"/>
    </row>
    <row r="31" spans="2:15" ht="19" hidden="1" customHeight="1" outlineLevel="1" x14ac:dyDescent="0.2">
      <c r="B31" s="1642" t="s">
        <v>1357</v>
      </c>
    </row>
    <row r="32" spans="2:15" ht="19" hidden="1" customHeight="1" outlineLevel="1" x14ac:dyDescent="0.2">
      <c r="B32" s="30" t="s">
        <v>658</v>
      </c>
      <c r="O32" s="34"/>
    </row>
    <row r="33" spans="2:8" ht="19" hidden="1" customHeight="1" outlineLevel="1" x14ac:dyDescent="0.2"/>
    <row r="34" spans="2:8" ht="33" hidden="1" customHeight="1" outlineLevel="1" x14ac:dyDescent="0.2">
      <c r="B34" s="14" t="s">
        <v>497</v>
      </c>
      <c r="C34" s="14" t="s">
        <v>659</v>
      </c>
      <c r="D34" s="14" t="s">
        <v>629</v>
      </c>
      <c r="E34" s="14" t="s">
        <v>59</v>
      </c>
      <c r="F34" s="25" t="s">
        <v>660</v>
      </c>
      <c r="G34" s="14" t="s">
        <v>61</v>
      </c>
      <c r="H34" s="14" t="s">
        <v>59</v>
      </c>
    </row>
    <row r="35" spans="2:8" ht="35" hidden="1" customHeight="1" outlineLevel="1" x14ac:dyDescent="0.2">
      <c r="B35" s="27" t="s">
        <v>661</v>
      </c>
      <c r="C35" s="28">
        <v>0.8</v>
      </c>
      <c r="D35" s="28">
        <v>5500</v>
      </c>
      <c r="E35" s="36" t="s">
        <v>591</v>
      </c>
      <c r="F35" s="28">
        <v>10</v>
      </c>
      <c r="G35" s="28">
        <f t="shared" ref="G35:G36" si="0">(C35*D35)/F35</f>
        <v>440</v>
      </c>
      <c r="H35" s="35" t="s">
        <v>67</v>
      </c>
    </row>
    <row r="36" spans="2:8" ht="24" hidden="1" customHeight="1" outlineLevel="1" x14ac:dyDescent="0.2">
      <c r="B36" s="36" t="s">
        <v>662</v>
      </c>
      <c r="C36" s="28">
        <f>4*3</f>
        <v>12</v>
      </c>
      <c r="D36" s="28">
        <v>5500</v>
      </c>
      <c r="E36" s="36" t="s">
        <v>591</v>
      </c>
      <c r="F36" s="28">
        <v>10</v>
      </c>
      <c r="G36" s="28">
        <f t="shared" si="0"/>
        <v>6600</v>
      </c>
      <c r="H36" s="35" t="s">
        <v>67</v>
      </c>
    </row>
    <row r="37" spans="2:8" ht="24" hidden="1" customHeight="1" outlineLevel="1" x14ac:dyDescent="0.2">
      <c r="F37" s="222" t="s">
        <v>198</v>
      </c>
      <c r="G37" s="299">
        <f>SUM(G35:G36)/1000</f>
        <v>7.04</v>
      </c>
      <c r="H37" s="222" t="s">
        <v>71</v>
      </c>
    </row>
    <row r="38" spans="2:8" hidden="1" outlineLevel="1" x14ac:dyDescent="0.2"/>
    <row r="39" spans="2:8" hidden="1" outlineLevel="1" x14ac:dyDescent="0.2"/>
    <row r="40" spans="2:8" ht="25" customHeight="1" collapsed="1" x14ac:dyDescent="0.2">
      <c r="B40" s="325" t="s">
        <v>1931</v>
      </c>
      <c r="C40"/>
      <c r="D40"/>
      <c r="E40"/>
    </row>
    <row r="41" spans="2:8" ht="25" customHeight="1" x14ac:dyDescent="0.2">
      <c r="B41" s="325"/>
      <c r="C41"/>
      <c r="D41"/>
      <c r="E41"/>
    </row>
    <row r="42" spans="2:8" x14ac:dyDescent="0.2">
      <c r="B42" s="1633" t="s">
        <v>1355</v>
      </c>
      <c r="C42"/>
      <c r="D42"/>
      <c r="E42"/>
    </row>
    <row r="43" spans="2:8" x14ac:dyDescent="0.2">
      <c r="B43" s="308" t="s">
        <v>1347</v>
      </c>
      <c r="C43"/>
      <c r="D43"/>
      <c r="E43"/>
    </row>
    <row r="44" spans="2:8" x14ac:dyDescent="0.2">
      <c r="B44" s="308"/>
      <c r="C44"/>
      <c r="D44"/>
      <c r="E44"/>
    </row>
    <row r="45" spans="2:8" ht="24" customHeight="1" x14ac:dyDescent="0.2">
      <c r="B45" s="112"/>
      <c r="C45" s="1026" t="s">
        <v>1463</v>
      </c>
      <c r="D45" s="1026" t="s">
        <v>1594</v>
      </c>
      <c r="E45"/>
    </row>
    <row r="46" spans="2:8" ht="24" customHeight="1" x14ac:dyDescent="0.2">
      <c r="B46" s="311" t="s">
        <v>106</v>
      </c>
      <c r="C46" s="312">
        <f>C26</f>
        <v>21000</v>
      </c>
      <c r="D46" s="312">
        <f>'ANNEXE A'!$C$241</f>
        <v>1570865</v>
      </c>
      <c r="E46"/>
    </row>
    <row r="47" spans="2:8" ht="24" customHeight="1" x14ac:dyDescent="0.2">
      <c r="B47" s="313" t="s">
        <v>1356</v>
      </c>
      <c r="C47" s="310">
        <f>G37</f>
        <v>7.04</v>
      </c>
      <c r="D47" s="310">
        <f>C47*D46/C46</f>
        <v>526.6137904761905</v>
      </c>
      <c r="E47"/>
    </row>
    <row r="48" spans="2:8" ht="24" customHeight="1" x14ac:dyDescent="0.2">
      <c r="B48" s="1636" t="s">
        <v>1346</v>
      </c>
      <c r="C48" s="1637">
        <f>SUM(C47:C47)</f>
        <v>7.04</v>
      </c>
      <c r="D48" s="1637">
        <f>SUM(D47:D47)</f>
        <v>526.6137904761905</v>
      </c>
      <c r="E48"/>
    </row>
    <row r="49" spans="2:5" x14ac:dyDescent="0.2">
      <c r="E49"/>
    </row>
    <row r="50" spans="2:5" x14ac:dyDescent="0.2">
      <c r="E50"/>
    </row>
    <row r="51" spans="2:5" ht="17" thickBot="1" x14ac:dyDescent="0.25">
      <c r="B51"/>
      <c r="C51"/>
      <c r="D51"/>
      <c r="E51"/>
    </row>
    <row r="52" spans="2:5" ht="34" customHeight="1" thickBot="1" x14ac:dyDescent="0.25">
      <c r="B52" s="315" t="s">
        <v>765</v>
      </c>
      <c r="C52" s="316">
        <f>D48</f>
        <v>526.6137904761905</v>
      </c>
      <c r="D52" s="317" t="s">
        <v>71</v>
      </c>
      <c r="E52"/>
    </row>
    <row r="55" spans="2:5" ht="23" x14ac:dyDescent="0.2">
      <c r="B55" s="433" t="s">
        <v>1352</v>
      </c>
    </row>
    <row r="56" spans="2:5" hidden="1" outlineLevel="1" x14ac:dyDescent="0.2"/>
    <row r="57" spans="2:5" ht="18" hidden="1" outlineLevel="1" x14ac:dyDescent="0.2">
      <c r="B57" s="26" t="s">
        <v>588</v>
      </c>
    </row>
    <row r="58" spans="2:5" hidden="1" outlineLevel="1" x14ac:dyDescent="0.2"/>
    <row r="59" spans="2:5" hidden="1" outlineLevel="1" x14ac:dyDescent="0.2">
      <c r="B59" s="14" t="s">
        <v>124</v>
      </c>
      <c r="C59" s="14" t="s">
        <v>36</v>
      </c>
      <c r="D59" s="14" t="s">
        <v>59</v>
      </c>
      <c r="E59" s="14" t="s">
        <v>125</v>
      </c>
    </row>
    <row r="60" spans="2:5" hidden="1" outlineLevel="1" x14ac:dyDescent="0.2">
      <c r="B60" s="36" t="s">
        <v>662</v>
      </c>
      <c r="C60" s="36">
        <v>5500</v>
      </c>
      <c r="D60" s="36" t="s">
        <v>591</v>
      </c>
      <c r="E60" s="36" t="s">
        <v>592</v>
      </c>
    </row>
    <row r="61" spans="2:5" hidden="1" outlineLevel="1" x14ac:dyDescent="0.2">
      <c r="B61" s="36" t="s">
        <v>663</v>
      </c>
      <c r="C61" s="36">
        <v>5500</v>
      </c>
      <c r="D61" s="36" t="s">
        <v>591</v>
      </c>
      <c r="E61" s="36" t="s">
        <v>592</v>
      </c>
    </row>
    <row r="62" spans="2:5" hidden="1" outlineLevel="1" x14ac:dyDescent="0.2">
      <c r="B62" s="36" t="s">
        <v>664</v>
      </c>
      <c r="C62" s="36">
        <v>1830</v>
      </c>
      <c r="D62" s="36" t="s">
        <v>591</v>
      </c>
      <c r="E62" s="36" t="s">
        <v>592</v>
      </c>
    </row>
    <row r="63" spans="2:5" hidden="1" outlineLevel="1" x14ac:dyDescent="0.2">
      <c r="B63" s="35" t="s">
        <v>508</v>
      </c>
      <c r="C63" s="257">
        <f>2.21*10^3</f>
        <v>2210</v>
      </c>
      <c r="D63" s="35" t="s">
        <v>591</v>
      </c>
      <c r="E63" s="36" t="s">
        <v>592</v>
      </c>
    </row>
    <row r="64" spans="2:5" collapsed="1" x14ac:dyDescent="0.2"/>
  </sheetData>
  <mergeCells count="13">
    <mergeCell ref="C17:O17"/>
    <mergeCell ref="C18:O18"/>
    <mergeCell ref="C19:O19"/>
    <mergeCell ref="C15:O15"/>
    <mergeCell ref="C6:D6"/>
    <mergeCell ref="C7:D7"/>
    <mergeCell ref="C9:D9"/>
    <mergeCell ref="C16:O16"/>
    <mergeCell ref="B2:E2"/>
    <mergeCell ref="B4:D4"/>
    <mergeCell ref="B12:O12"/>
    <mergeCell ref="C13:O13"/>
    <mergeCell ref="C14:O14"/>
  </mergeCells>
  <conditionalFormatting sqref="C7">
    <cfRule type="containsText" dxfId="100" priority="12" operator="containsText" text="Pas ok">
      <formula>NOT(ISERROR(SEARCH("Pas ok",C7)))</formula>
    </cfRule>
    <cfRule type="containsText" dxfId="99" priority="13" operator="containsText" text="Calcul brouillon, ordre de grandeur">
      <formula>NOT(ISERROR(SEARCH("Calcul brouillon, ordre de grandeur",C7)))</formula>
    </cfRule>
    <cfRule type="containsText" dxfId="98" priority="14" operator="containsText" text="Bon ordre de grandeur">
      <formula>NOT(ISERROR(SEARCH("Bon ordre de grandeur",C7)))</formula>
    </cfRule>
    <cfRule type="containsText" dxfId="97" priority="15" operator="containsText" text="Calcul validé">
      <formula>NOT(ISERROR(SEARCH("Calcul validé",C7)))</formula>
    </cfRule>
    <cfRule type="containsText" dxfId="96" priority="17" operator="containsText" text="Pas ok">
      <formula>NOT(ISERROR(SEARCH("Pas ok",C7)))</formula>
    </cfRule>
    <cfRule type="containsText" dxfId="95" priority="18" operator="containsText" text="Calcul brouillon, ordre de grandeur">
      <formula>NOT(ISERROR(SEARCH("Calcul brouillon, ordre de grandeur",C7)))</formula>
    </cfRule>
    <cfRule type="containsText" dxfId="94" priority="19" operator="containsText" text="Bon ordre de grandeur">
      <formula>NOT(ISERROR(SEARCH("Bon ordre de grandeur",C7)))</formula>
    </cfRule>
    <cfRule type="containsText" dxfId="93" priority="20" operator="containsText" text="Calcul validé">
      <formula>NOT(ISERROR(SEARCH("Calcul validé",C7)))</formula>
    </cfRule>
  </conditionalFormatting>
  <conditionalFormatting sqref="C7:D7">
    <cfRule type="containsText" dxfId="92" priority="11" operator="containsText" text="Calcul brouillon, odg">
      <formula>NOT(ISERROR(SEARCH("Calcul brouillon, odg",C7)))</formula>
    </cfRule>
  </conditionalFormatting>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B2:N67"/>
  <sheetViews>
    <sheetView zoomScale="63" workbookViewId="0">
      <selection activeCell="F36" sqref="F36"/>
    </sheetView>
  </sheetViews>
  <sheetFormatPr baseColWidth="10" defaultRowHeight="16" outlineLevelRow="1" x14ac:dyDescent="0.2"/>
  <cols>
    <col min="2" max="2" width="34.28515625" customWidth="1"/>
    <col min="3" max="4" width="24.140625" customWidth="1"/>
    <col min="5" max="5" width="22.28515625" customWidth="1"/>
    <col min="6" max="6" width="16.42578125" customWidth="1"/>
    <col min="7" max="7" width="18.42578125" customWidth="1"/>
    <col min="8" max="8" width="21.85546875" customWidth="1"/>
    <col min="9" max="9" width="13.5703125" customWidth="1"/>
    <col min="10" max="10" width="42.85546875" customWidth="1"/>
    <col min="11" max="11" width="15.140625" customWidth="1"/>
    <col min="12" max="12" width="30.28515625" customWidth="1"/>
    <col min="13" max="13" width="14.42578125" customWidth="1"/>
    <col min="14" max="14" width="17.5703125" customWidth="1"/>
    <col min="15" max="15" width="44.42578125" customWidth="1"/>
  </cols>
  <sheetData>
    <row r="2" spans="2:14" ht="20" x14ac:dyDescent="0.2">
      <c r="B2" s="2893" t="s">
        <v>665</v>
      </c>
      <c r="C2" s="2894"/>
      <c r="D2" s="2894"/>
      <c r="E2" s="2895"/>
    </row>
    <row r="3" spans="2:14" ht="18" x14ac:dyDescent="0.2">
      <c r="B3" s="46"/>
    </row>
    <row r="4" spans="2:14" ht="17" thickBot="1" x14ac:dyDescent="0.25"/>
    <row r="5" spans="2:14" ht="17" thickBot="1" x14ac:dyDescent="0.25">
      <c r="B5" s="2852" t="s">
        <v>17</v>
      </c>
      <c r="C5" s="2853"/>
      <c r="D5" s="2854"/>
    </row>
    <row r="6" spans="2:14" x14ac:dyDescent="0.2">
      <c r="B6" s="229" t="s">
        <v>18</v>
      </c>
      <c r="C6" s="484">
        <f>C56</f>
        <v>504.11301942857142</v>
      </c>
      <c r="D6" s="258" t="s">
        <v>19</v>
      </c>
    </row>
    <row r="7" spans="2:14" x14ac:dyDescent="0.2">
      <c r="B7" s="230" t="s">
        <v>20</v>
      </c>
      <c r="C7" s="2896" t="str">
        <f>C10</f>
        <v>vFinale</v>
      </c>
      <c r="D7" s="2897"/>
    </row>
    <row r="8" spans="2:14" ht="17" thickBot="1" x14ac:dyDescent="0.25">
      <c r="B8" s="231" t="s">
        <v>21</v>
      </c>
      <c r="C8" s="2898"/>
      <c r="D8" s="2899"/>
    </row>
    <row r="9" spans="2:14" ht="17" thickBot="1" x14ac:dyDescent="0.25"/>
    <row r="10" spans="2:14" x14ac:dyDescent="0.2">
      <c r="B10" s="1025" t="s">
        <v>22</v>
      </c>
      <c r="C10" s="2900" t="s">
        <v>1602</v>
      </c>
      <c r="D10" s="2901"/>
      <c r="E10" s="39"/>
      <c r="F10" s="39"/>
      <c r="G10" s="39"/>
      <c r="H10" s="39"/>
      <c r="I10" s="39"/>
      <c r="J10" s="39"/>
      <c r="K10" s="39"/>
      <c r="L10" s="39"/>
      <c r="M10" s="39"/>
      <c r="N10" s="40"/>
    </row>
    <row r="11" spans="2:14" ht="17" thickBot="1" x14ac:dyDescent="0.25">
      <c r="B11" s="980" t="s">
        <v>1905</v>
      </c>
      <c r="C11" s="976">
        <f>C6/'ANNEXE A'!$C$248</f>
        <v>0.34623146938775512</v>
      </c>
      <c r="D11" s="977" t="s">
        <v>24</v>
      </c>
      <c r="E11" s="41"/>
      <c r="F11" s="41"/>
      <c r="G11" s="41"/>
      <c r="H11" s="41"/>
      <c r="I11" s="41"/>
      <c r="J11" s="41"/>
      <c r="K11" s="41"/>
      <c r="L11" s="41"/>
      <c r="M11" s="41"/>
      <c r="N11" s="42"/>
    </row>
    <row r="12" spans="2:14" ht="17" thickBot="1" x14ac:dyDescent="0.25">
      <c r="B12" s="43"/>
      <c r="C12" s="44"/>
      <c r="D12" s="44"/>
      <c r="E12" s="44"/>
      <c r="F12" s="44"/>
      <c r="G12" s="44"/>
      <c r="H12" s="44"/>
      <c r="I12" s="44"/>
      <c r="J12" s="44"/>
      <c r="K12" s="44"/>
      <c r="L12" s="44"/>
      <c r="M12" s="44"/>
      <c r="N12" s="45"/>
    </row>
    <row r="13" spans="2:14" x14ac:dyDescent="0.2">
      <c r="B13" s="2881" t="s">
        <v>25</v>
      </c>
      <c r="C13" s="2882"/>
      <c r="D13" s="2882"/>
      <c r="E13" s="2882"/>
      <c r="F13" s="2882"/>
      <c r="G13" s="2882"/>
      <c r="H13" s="2882"/>
      <c r="I13" s="2882"/>
      <c r="J13" s="2882"/>
      <c r="K13" s="2882"/>
      <c r="L13" s="2882"/>
      <c r="M13" s="2882"/>
      <c r="N13" s="2883"/>
    </row>
    <row r="14" spans="2:14" ht="67" customHeight="1" x14ac:dyDescent="0.2">
      <c r="B14" s="22" t="s">
        <v>26</v>
      </c>
      <c r="C14" s="2884" t="s">
        <v>2320</v>
      </c>
      <c r="D14" s="2885"/>
      <c r="E14" s="2885"/>
      <c r="F14" s="2885"/>
      <c r="G14" s="2885"/>
      <c r="H14" s="2885"/>
      <c r="I14" s="2885"/>
      <c r="J14" s="2885"/>
      <c r="K14" s="2885"/>
      <c r="L14" s="2885"/>
      <c r="M14" s="2885"/>
      <c r="N14" s="2886"/>
    </row>
    <row r="15" spans="2:14" ht="54" customHeight="1" x14ac:dyDescent="0.2">
      <c r="B15" s="23" t="s">
        <v>27</v>
      </c>
      <c r="C15" s="2867" t="s">
        <v>666</v>
      </c>
      <c r="D15" s="2856"/>
      <c r="E15" s="2856"/>
      <c r="F15" s="2856"/>
      <c r="G15" s="2856"/>
      <c r="H15" s="2856"/>
      <c r="I15" s="2856"/>
      <c r="J15" s="2856"/>
      <c r="K15" s="2856"/>
      <c r="L15" s="2856"/>
      <c r="M15" s="2856"/>
      <c r="N15" s="2857"/>
    </row>
    <row r="16" spans="2:14" ht="39" customHeight="1" x14ac:dyDescent="0.2">
      <c r="B16" s="23" t="s">
        <v>28</v>
      </c>
      <c r="C16" s="2902" t="s">
        <v>1619</v>
      </c>
      <c r="D16" s="2856"/>
      <c r="E16" s="2856"/>
      <c r="F16" s="2856"/>
      <c r="G16" s="2856"/>
      <c r="H16" s="2856"/>
      <c r="I16" s="2856"/>
      <c r="J16" s="2856"/>
      <c r="K16" s="2856"/>
      <c r="L16" s="2856"/>
      <c r="M16" s="2856"/>
      <c r="N16" s="2857"/>
    </row>
    <row r="17" spans="2:14" ht="22" customHeight="1" x14ac:dyDescent="0.2">
      <c r="B17" s="23" t="s">
        <v>29</v>
      </c>
      <c r="C17" s="2855"/>
      <c r="D17" s="2856"/>
      <c r="E17" s="2856"/>
      <c r="F17" s="2856"/>
      <c r="G17" s="2856"/>
      <c r="H17" s="2856"/>
      <c r="I17" s="2856"/>
      <c r="J17" s="2856"/>
      <c r="K17" s="2856"/>
      <c r="L17" s="2856"/>
      <c r="M17" s="2856"/>
      <c r="N17" s="2857"/>
    </row>
    <row r="18" spans="2:14" ht="22" customHeight="1" x14ac:dyDescent="0.2">
      <c r="B18" s="23" t="s">
        <v>30</v>
      </c>
      <c r="C18" s="2855"/>
      <c r="D18" s="2856"/>
      <c r="E18" s="2856"/>
      <c r="F18" s="2856"/>
      <c r="G18" s="2856"/>
      <c r="H18" s="2856"/>
      <c r="I18" s="2856"/>
      <c r="J18" s="2856"/>
      <c r="K18" s="2856"/>
      <c r="L18" s="2856"/>
      <c r="M18" s="2856"/>
      <c r="N18" s="2857"/>
    </row>
    <row r="19" spans="2:14" ht="24" customHeight="1" x14ac:dyDescent="0.2">
      <c r="B19" s="23" t="s">
        <v>31</v>
      </c>
      <c r="C19" s="2855" t="s">
        <v>667</v>
      </c>
      <c r="D19" s="2856"/>
      <c r="E19" s="2856"/>
      <c r="F19" s="2856"/>
      <c r="G19" s="2856"/>
      <c r="H19" s="2856"/>
      <c r="I19" s="2856"/>
      <c r="J19" s="2856"/>
      <c r="K19" s="2856"/>
      <c r="L19" s="2856"/>
      <c r="M19" s="2856"/>
      <c r="N19" s="2857"/>
    </row>
    <row r="20" spans="2:14" ht="23" customHeight="1" x14ac:dyDescent="0.2">
      <c r="B20" s="24" t="s">
        <v>33</v>
      </c>
      <c r="C20" s="2858" t="s">
        <v>668</v>
      </c>
      <c r="D20" s="2859"/>
      <c r="E20" s="2859"/>
      <c r="F20" s="2859"/>
      <c r="G20" s="2859"/>
      <c r="H20" s="2859"/>
      <c r="I20" s="2859"/>
      <c r="J20" s="2859"/>
      <c r="K20" s="2859"/>
      <c r="L20" s="2859"/>
      <c r="M20" s="2859"/>
      <c r="N20" s="2860"/>
    </row>
    <row r="21" spans="2:14" ht="23" x14ac:dyDescent="0.2">
      <c r="G21" s="433"/>
    </row>
    <row r="22" spans="2:14" ht="23" x14ac:dyDescent="0.2">
      <c r="B22" s="433" t="s">
        <v>1353</v>
      </c>
      <c r="G22" s="433"/>
    </row>
    <row r="23" spans="2:14" ht="23" x14ac:dyDescent="0.2">
      <c r="B23" s="433"/>
      <c r="G23" s="433"/>
    </row>
    <row r="24" spans="2:14" ht="28" customHeight="1" x14ac:dyDescent="0.2">
      <c r="B24" s="430" t="s">
        <v>1895</v>
      </c>
      <c r="G24" s="433"/>
    </row>
    <row r="25" spans="2:14" ht="23" x14ac:dyDescent="0.2">
      <c r="B25" s="55" t="s">
        <v>1927</v>
      </c>
      <c r="G25" s="433"/>
    </row>
    <row r="26" spans="2:14" ht="20" x14ac:dyDescent="0.2">
      <c r="G26" s="325"/>
    </row>
    <row r="27" spans="2:14" ht="27" customHeight="1" x14ac:dyDescent="0.2">
      <c r="B27" s="1604" t="s">
        <v>1934</v>
      </c>
      <c r="C27" s="29">
        <f>'ANNEXE A'!$C$240</f>
        <v>21000</v>
      </c>
    </row>
    <row r="28" spans="2:14" ht="27" customHeight="1" x14ac:dyDescent="0.2">
      <c r="B28" s="1638"/>
      <c r="C28" s="435"/>
    </row>
    <row r="29" spans="2:14" ht="22" customHeight="1" x14ac:dyDescent="0.2"/>
    <row r="30" spans="2:14" ht="28" customHeight="1" x14ac:dyDescent="0.2">
      <c r="B30" s="325" t="s">
        <v>1935</v>
      </c>
    </row>
    <row r="31" spans="2:14" ht="28" customHeight="1" x14ac:dyDescent="0.2">
      <c r="B31" s="325"/>
    </row>
    <row r="32" spans="2:14" ht="22" customHeight="1" x14ac:dyDescent="0.2">
      <c r="B32" s="1640" t="s">
        <v>1359</v>
      </c>
    </row>
    <row r="33" spans="2:10" ht="22" customHeight="1" x14ac:dyDescent="0.2">
      <c r="B33" s="260" t="s">
        <v>1936</v>
      </c>
    </row>
    <row r="34" spans="2:10" ht="22" customHeight="1" x14ac:dyDescent="0.2">
      <c r="B34" s="260" t="s">
        <v>1937</v>
      </c>
    </row>
    <row r="35" spans="2:10" ht="22" customHeight="1" x14ac:dyDescent="0.2"/>
    <row r="36" spans="2:10" ht="55" customHeight="1" x14ac:dyDescent="0.2">
      <c r="B36" s="25" t="s">
        <v>673</v>
      </c>
      <c r="C36" s="25" t="s">
        <v>674</v>
      </c>
      <c r="D36" s="25" t="s">
        <v>675</v>
      </c>
      <c r="E36" s="25" t="s">
        <v>59</v>
      </c>
      <c r="F36" s="25" t="s">
        <v>676</v>
      </c>
      <c r="G36" s="25" t="s">
        <v>59</v>
      </c>
      <c r="H36" s="25" t="s">
        <v>677</v>
      </c>
      <c r="I36" s="25" t="s">
        <v>59</v>
      </c>
      <c r="J36" s="1639" t="s">
        <v>150</v>
      </c>
    </row>
    <row r="37" spans="2:10" ht="36" customHeight="1" x14ac:dyDescent="0.2">
      <c r="B37" s="36" t="s">
        <v>678</v>
      </c>
      <c r="C37" s="261" t="s">
        <v>679</v>
      </c>
      <c r="D37" s="221">
        <v>3</v>
      </c>
      <c r="E37" s="28" t="s">
        <v>680</v>
      </c>
      <c r="F37" s="221">
        <v>10</v>
      </c>
      <c r="G37" s="36" t="s">
        <v>681</v>
      </c>
      <c r="H37" s="221">
        <f>C65*$F$37*D37*52</f>
        <v>4212</v>
      </c>
      <c r="I37" s="28" t="s">
        <v>310</v>
      </c>
      <c r="J37" s="262" t="s">
        <v>2321</v>
      </c>
    </row>
    <row r="38" spans="2:10" ht="45" customHeight="1" x14ac:dyDescent="0.2">
      <c r="B38" s="32" t="s">
        <v>682</v>
      </c>
      <c r="C38" s="13" t="s">
        <v>683</v>
      </c>
      <c r="D38" s="28">
        <v>9</v>
      </c>
      <c r="E38" s="28" t="s">
        <v>684</v>
      </c>
      <c r="F38" s="221">
        <v>50</v>
      </c>
      <c r="G38" s="36" t="s">
        <v>685</v>
      </c>
      <c r="H38" s="221">
        <f>F38*(D38/100)*$C$65*52</f>
        <v>631.80000000000007</v>
      </c>
      <c r="I38" s="28" t="s">
        <v>310</v>
      </c>
      <c r="J38" s="2903" t="s">
        <v>1937</v>
      </c>
    </row>
    <row r="39" spans="2:10" ht="48" customHeight="1" x14ac:dyDescent="0.2">
      <c r="B39" s="32" t="s">
        <v>686</v>
      </c>
      <c r="C39" s="37" t="s">
        <v>683</v>
      </c>
      <c r="D39" s="28">
        <v>9</v>
      </c>
      <c r="E39" s="28" t="s">
        <v>684</v>
      </c>
      <c r="F39" s="221">
        <v>50</v>
      </c>
      <c r="G39" s="36" t="s">
        <v>685</v>
      </c>
      <c r="H39" s="221">
        <f>F39*(D39/100)*$C$65*52</f>
        <v>631.80000000000007</v>
      </c>
      <c r="I39" s="28" t="s">
        <v>310</v>
      </c>
      <c r="J39" s="2903"/>
    </row>
    <row r="40" spans="2:10" ht="38" customHeight="1" x14ac:dyDescent="0.2">
      <c r="B40" s="32" t="s">
        <v>687</v>
      </c>
      <c r="C40" s="37" t="s">
        <v>683</v>
      </c>
      <c r="D40" s="28">
        <v>9</v>
      </c>
      <c r="E40" s="28" t="s">
        <v>684</v>
      </c>
      <c r="F40" s="221">
        <v>50</v>
      </c>
      <c r="G40" s="36" t="s">
        <v>685</v>
      </c>
      <c r="H40" s="221">
        <f>F40*(D40/100)*$C$65*52</f>
        <v>631.80000000000007</v>
      </c>
      <c r="I40" s="28" t="s">
        <v>310</v>
      </c>
      <c r="J40" s="2903"/>
    </row>
    <row r="41" spans="2:10" ht="42" customHeight="1" x14ac:dyDescent="0.2">
      <c r="B41" s="32" t="s">
        <v>688</v>
      </c>
      <c r="C41" s="37" t="s">
        <v>683</v>
      </c>
      <c r="D41" s="28">
        <v>9</v>
      </c>
      <c r="E41" s="28" t="s">
        <v>684</v>
      </c>
      <c r="F41" s="221">
        <v>50</v>
      </c>
      <c r="G41" s="36" t="s">
        <v>685</v>
      </c>
      <c r="H41" s="221">
        <f>F41*(D41/100)*$C$65*52</f>
        <v>631.80000000000007</v>
      </c>
      <c r="I41" s="28" t="s">
        <v>310</v>
      </c>
      <c r="J41" s="2903"/>
    </row>
    <row r="42" spans="2:10" ht="28" customHeight="1" x14ac:dyDescent="0.2">
      <c r="G42" s="222" t="s">
        <v>198</v>
      </c>
      <c r="H42" s="263">
        <f>SUM(H37:H41)/1000</f>
        <v>6.7392000000000003</v>
      </c>
      <c r="I42" s="222" t="s">
        <v>71</v>
      </c>
    </row>
    <row r="43" spans="2:10" ht="28" customHeight="1" x14ac:dyDescent="0.2">
      <c r="G43" s="232"/>
      <c r="H43" s="1641"/>
      <c r="I43" s="232"/>
    </row>
    <row r="44" spans="2:10" ht="28" customHeight="1" x14ac:dyDescent="0.2">
      <c r="B44" s="325" t="s">
        <v>1931</v>
      </c>
    </row>
    <row r="45" spans="2:10" ht="28" customHeight="1" x14ac:dyDescent="0.2">
      <c r="B45" s="325"/>
    </row>
    <row r="46" spans="2:10" ht="28" customHeight="1" x14ac:dyDescent="0.2">
      <c r="B46" s="1633" t="s">
        <v>1357</v>
      </c>
    </row>
    <row r="47" spans="2:10" ht="23" customHeight="1" x14ac:dyDescent="0.2">
      <c r="B47" s="308" t="s">
        <v>1347</v>
      </c>
    </row>
    <row r="48" spans="2:10" ht="28" customHeight="1" x14ac:dyDescent="0.2"/>
    <row r="49" spans="2:5" ht="28" customHeight="1" x14ac:dyDescent="0.2">
      <c r="B49" s="112"/>
      <c r="C49" s="1026" t="s">
        <v>1463</v>
      </c>
      <c r="D49" s="1026" t="s">
        <v>1594</v>
      </c>
    </row>
    <row r="50" spans="2:5" ht="26" customHeight="1" x14ac:dyDescent="0.2">
      <c r="B50" s="311" t="s">
        <v>106</v>
      </c>
      <c r="C50" s="312">
        <f>C27</f>
        <v>21000</v>
      </c>
      <c r="D50" s="312">
        <f>'ANNEXE A'!$C$241</f>
        <v>1570865</v>
      </c>
    </row>
    <row r="51" spans="2:5" ht="26" customHeight="1" x14ac:dyDescent="0.2">
      <c r="B51" s="313" t="s">
        <v>1356</v>
      </c>
      <c r="C51" s="310">
        <f>H42</f>
        <v>6.7392000000000003</v>
      </c>
      <c r="D51" s="310">
        <f>C51*D50/C50</f>
        <v>504.11301942857142</v>
      </c>
    </row>
    <row r="52" spans="2:5" ht="26" customHeight="1" x14ac:dyDescent="0.2">
      <c r="B52" s="1636" t="s">
        <v>1346</v>
      </c>
      <c r="C52" s="1637">
        <f>SUM(C51:C51)</f>
        <v>6.7392000000000003</v>
      </c>
      <c r="D52" s="1637">
        <f>SUM(D51:D51)</f>
        <v>504.11301942857142</v>
      </c>
    </row>
    <row r="53" spans="2:5" x14ac:dyDescent="0.2">
      <c r="B53" s="1"/>
      <c r="C53" s="1"/>
      <c r="D53" s="1"/>
    </row>
    <row r="54" spans="2:5" x14ac:dyDescent="0.2">
      <c r="B54" s="1"/>
      <c r="C54" s="1"/>
      <c r="D54" s="1"/>
    </row>
    <row r="55" spans="2:5" ht="17" thickBot="1" x14ac:dyDescent="0.25"/>
    <row r="56" spans="2:5" ht="34" customHeight="1" thickBot="1" x14ac:dyDescent="0.25">
      <c r="B56" s="315" t="s">
        <v>765</v>
      </c>
      <c r="C56" s="316">
        <f>D52</f>
        <v>504.11301942857142</v>
      </c>
      <c r="D56" s="317" t="s">
        <v>71</v>
      </c>
    </row>
    <row r="60" spans="2:5" ht="23" x14ac:dyDescent="0.2">
      <c r="B60" s="433" t="s">
        <v>1352</v>
      </c>
    </row>
    <row r="61" spans="2:5" hidden="1" outlineLevel="1" x14ac:dyDescent="0.2"/>
    <row r="62" spans="2:5" ht="18" hidden="1" outlineLevel="1" x14ac:dyDescent="0.2">
      <c r="B62" s="46" t="s">
        <v>588</v>
      </c>
    </row>
    <row r="63" spans="2:5" hidden="1" outlineLevel="1" x14ac:dyDescent="0.2"/>
    <row r="64" spans="2:5" hidden="1" outlineLevel="1" x14ac:dyDescent="0.2">
      <c r="B64" s="31" t="s">
        <v>124</v>
      </c>
      <c r="C64" s="31" t="s">
        <v>36</v>
      </c>
      <c r="D64" s="31" t="s">
        <v>59</v>
      </c>
      <c r="E64" s="31" t="s">
        <v>125</v>
      </c>
    </row>
    <row r="65" spans="2:5" ht="47" hidden="1" customHeight="1" outlineLevel="1" x14ac:dyDescent="0.2">
      <c r="B65" s="259" t="s">
        <v>669</v>
      </c>
      <c r="C65" s="245">
        <v>2.7</v>
      </c>
      <c r="D65" s="259" t="s">
        <v>69</v>
      </c>
      <c r="E65" s="254" t="s">
        <v>592</v>
      </c>
    </row>
    <row r="66" spans="2:5" ht="47" hidden="1" customHeight="1" outlineLevel="1" x14ac:dyDescent="0.2">
      <c r="B66" s="259" t="s">
        <v>670</v>
      </c>
      <c r="C66" s="245">
        <v>9</v>
      </c>
      <c r="D66" s="259" t="s">
        <v>671</v>
      </c>
      <c r="E66" s="256" t="s">
        <v>672</v>
      </c>
    </row>
    <row r="67" spans="2:5" collapsed="1" x14ac:dyDescent="0.2"/>
  </sheetData>
  <mergeCells count="14">
    <mergeCell ref="B13:N13"/>
    <mergeCell ref="C14:N14"/>
    <mergeCell ref="C15:N15"/>
    <mergeCell ref="C16:N16"/>
    <mergeCell ref="J38:J41"/>
    <mergeCell ref="C17:N17"/>
    <mergeCell ref="C18:N18"/>
    <mergeCell ref="C19:N19"/>
    <mergeCell ref="C20:N20"/>
    <mergeCell ref="B2:E2"/>
    <mergeCell ref="B5:D5"/>
    <mergeCell ref="C7:D7"/>
    <mergeCell ref="C8:D8"/>
    <mergeCell ref="C10:D10"/>
  </mergeCells>
  <conditionalFormatting sqref="C8">
    <cfRule type="containsText" dxfId="91" priority="11" operator="containsText" text="Calcul brouillon, odg">
      <formula>NOT(ISERROR(SEARCH("Calcul brouillon, odg",C8)))</formula>
    </cfRule>
    <cfRule type="containsText" dxfId="90" priority="12" operator="containsText" text="Pas ok">
      <formula>NOT(ISERROR(SEARCH("Pas ok",C8)))</formula>
    </cfRule>
    <cfRule type="containsText" dxfId="89" priority="13" operator="containsText" text="Calcul brouillon, ordre de grandeur">
      <formula>NOT(ISERROR(SEARCH("Calcul brouillon, ordre de grandeur",C8)))</formula>
    </cfRule>
    <cfRule type="containsText" dxfId="88" priority="14" operator="containsText" text="Bon ordre de grandeur">
      <formula>NOT(ISERROR(SEARCH("Bon ordre de grandeur",C8)))</formula>
    </cfRule>
    <cfRule type="containsText" dxfId="87" priority="15" operator="containsText" text="Calcul validé">
      <formula>NOT(ISERROR(SEARCH("Calcul validé",C8)))</formula>
    </cfRule>
    <cfRule type="containsText" dxfId="86" priority="17" operator="containsText" text="Pas ok">
      <formula>NOT(ISERROR(SEARCH("Pas ok",C8)))</formula>
    </cfRule>
    <cfRule type="containsText" dxfId="85" priority="18" operator="containsText" text="Calcul brouillon, ordre de grandeur">
      <formula>NOT(ISERROR(SEARCH("Calcul brouillon, ordre de grandeur",C8)))</formula>
    </cfRule>
    <cfRule type="containsText" dxfId="84" priority="19" operator="containsText" text="Bon ordre de grandeur">
      <formula>NOT(ISERROR(SEARCH("Bon ordre de grandeur",C8)))</formula>
    </cfRule>
    <cfRule type="containsText" dxfId="83" priority="20" operator="containsText" text="Calcul validé">
      <formula>NOT(ISERROR(SEARCH("Calcul validé",C8)))</formula>
    </cfRule>
  </conditionalFormatting>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BH394"/>
  <sheetViews>
    <sheetView topLeftCell="A211" zoomScale="56" zoomScaleNormal="25" workbookViewId="0">
      <selection activeCell="K217" sqref="K217"/>
    </sheetView>
  </sheetViews>
  <sheetFormatPr baseColWidth="10" defaultColWidth="10.85546875" defaultRowHeight="16" outlineLevelRow="2" x14ac:dyDescent="0.2"/>
  <cols>
    <col min="1" max="1" width="10.85546875" style="55"/>
    <col min="2" max="2" width="41.5703125" style="55" customWidth="1"/>
    <col min="3" max="3" width="27.140625" style="55" customWidth="1"/>
    <col min="4" max="4" width="28.28515625" style="55" customWidth="1"/>
    <col min="5" max="5" width="22.42578125" style="55" customWidth="1"/>
    <col min="6" max="8" width="23.42578125" style="55" customWidth="1"/>
    <col min="9" max="9" width="26.85546875" style="55" customWidth="1"/>
    <col min="10" max="12" width="19.140625" style="55" customWidth="1"/>
    <col min="13" max="13" width="40.7109375" style="55" customWidth="1"/>
    <col min="14" max="15" width="22.42578125" style="55" customWidth="1"/>
    <col min="16" max="16" width="23.85546875" style="55" customWidth="1"/>
    <col min="17" max="17" width="22.42578125" style="55" customWidth="1"/>
    <col min="18" max="19" width="24.7109375" style="55" customWidth="1"/>
    <col min="20" max="20" width="20.85546875" style="55" customWidth="1"/>
    <col min="21" max="21" width="23.7109375" style="55" customWidth="1"/>
    <col min="22" max="22" width="23.28515625" style="55" customWidth="1"/>
    <col min="23" max="23" width="15.28515625" style="55" customWidth="1"/>
    <col min="24" max="27" width="18.140625" style="55" customWidth="1"/>
    <col min="28" max="30" width="15.28515625" style="55" customWidth="1"/>
    <col min="31" max="31" width="16.85546875" style="55" customWidth="1"/>
    <col min="32" max="32" width="13.85546875" style="55" customWidth="1"/>
    <col min="33" max="33" width="20.7109375" style="55" customWidth="1"/>
    <col min="34" max="34" width="10.85546875" style="55"/>
    <col min="35" max="36" width="15.85546875" style="55" customWidth="1"/>
    <col min="37" max="37" width="22.28515625" style="55" customWidth="1"/>
    <col min="38" max="16384" width="10.85546875" style="55"/>
  </cols>
  <sheetData>
    <row r="1" spans="2:20" ht="17" thickBot="1" x14ac:dyDescent="0.25"/>
    <row r="2" spans="2:20" ht="25" customHeight="1" thickBot="1" x14ac:dyDescent="0.25">
      <c r="B2" s="2559" t="s">
        <v>689</v>
      </c>
      <c r="C2" s="2560"/>
      <c r="D2" s="2560"/>
      <c r="E2" s="2560"/>
      <c r="F2" s="2561"/>
    </row>
    <row r="3" spans="2:20" ht="37" customHeight="1" thickBot="1" x14ac:dyDescent="0.25">
      <c r="B3" s="75"/>
    </row>
    <row r="4" spans="2:20" ht="26" customHeight="1" thickBot="1" x14ac:dyDescent="0.25">
      <c r="B4" s="2607" t="s">
        <v>17</v>
      </c>
      <c r="C4" s="2608"/>
      <c r="D4" s="2609"/>
      <c r="F4"/>
      <c r="G4"/>
      <c r="H4"/>
      <c r="I4"/>
      <c r="J4"/>
      <c r="K4"/>
      <c r="L4"/>
      <c r="M4"/>
      <c r="N4"/>
      <c r="O4"/>
      <c r="P4"/>
      <c r="Q4"/>
      <c r="R4"/>
      <c r="S4"/>
      <c r="T4"/>
    </row>
    <row r="5" spans="2:20" ht="26" customHeight="1" x14ac:dyDescent="0.2">
      <c r="B5" s="320" t="s">
        <v>690</v>
      </c>
      <c r="C5" s="452">
        <f>C220</f>
        <v>31962.281025662298</v>
      </c>
      <c r="D5" s="441" t="s">
        <v>19</v>
      </c>
      <c r="F5"/>
      <c r="G5"/>
      <c r="H5"/>
      <c r="I5"/>
      <c r="J5"/>
      <c r="K5"/>
      <c r="L5"/>
      <c r="M5"/>
      <c r="N5"/>
      <c r="O5"/>
      <c r="P5"/>
      <c r="Q5"/>
      <c r="R5"/>
      <c r="S5"/>
      <c r="T5"/>
    </row>
    <row r="6" spans="2:20" ht="26" customHeight="1" x14ac:dyDescent="0.2">
      <c r="B6" s="442" t="s">
        <v>20</v>
      </c>
      <c r="C6" s="2658" t="str">
        <f>C9</f>
        <v>vFinale</v>
      </c>
      <c r="D6" s="2566"/>
      <c r="F6"/>
      <c r="G6"/>
      <c r="H6"/>
      <c r="I6"/>
      <c r="J6"/>
      <c r="K6"/>
      <c r="L6"/>
      <c r="M6"/>
      <c r="N6"/>
      <c r="O6"/>
      <c r="P6"/>
      <c r="Q6"/>
      <c r="R6"/>
      <c r="S6"/>
      <c r="T6"/>
    </row>
    <row r="7" spans="2:20" ht="26" customHeight="1" thickBot="1" x14ac:dyDescent="0.25">
      <c r="B7" s="321" t="s">
        <v>21</v>
      </c>
      <c r="C7" s="2905"/>
      <c r="D7" s="2568"/>
      <c r="F7"/>
      <c r="G7"/>
      <c r="H7"/>
      <c r="I7"/>
      <c r="J7"/>
      <c r="K7"/>
      <c r="L7"/>
      <c r="M7"/>
      <c r="N7"/>
      <c r="O7"/>
      <c r="P7"/>
      <c r="Q7"/>
      <c r="R7"/>
      <c r="S7"/>
      <c r="T7"/>
    </row>
    <row r="8" spans="2:20" ht="17" thickBot="1" x14ac:dyDescent="0.25"/>
    <row r="9" spans="2:20" ht="26" customHeight="1" x14ac:dyDescent="0.2">
      <c r="B9" s="979" t="s">
        <v>22</v>
      </c>
      <c r="C9" s="2661" t="s">
        <v>1602</v>
      </c>
      <c r="D9" s="2662"/>
      <c r="E9" s="62"/>
      <c r="F9" s="62"/>
      <c r="G9" s="62"/>
      <c r="H9" s="62"/>
      <c r="I9" s="62"/>
      <c r="J9" s="62"/>
      <c r="K9" s="62"/>
      <c r="L9" s="62"/>
      <c r="M9" s="62"/>
      <c r="N9" s="62"/>
      <c r="O9" s="62"/>
      <c r="P9" s="62"/>
      <c r="Q9" s="62"/>
      <c r="R9" s="62"/>
      <c r="S9" s="62"/>
      <c r="T9" s="63"/>
    </row>
    <row r="10" spans="2:20" ht="26" customHeight="1" thickBot="1" x14ac:dyDescent="0.25">
      <c r="B10" s="980" t="s">
        <v>1905</v>
      </c>
      <c r="C10" s="1016">
        <f>C5/'ANNEXE A'!$C$248</f>
        <v>21.952116089053774</v>
      </c>
      <c r="D10" s="977" t="s">
        <v>24</v>
      </c>
      <c r="E10" s="64"/>
      <c r="F10" s="64"/>
      <c r="G10" s="64"/>
      <c r="H10" s="64"/>
      <c r="I10" s="64"/>
      <c r="J10" s="64"/>
      <c r="K10" s="64"/>
      <c r="L10" s="64"/>
      <c r="M10" s="64"/>
      <c r="N10" s="64"/>
      <c r="O10" s="64"/>
      <c r="P10" s="64"/>
      <c r="Q10" s="64"/>
      <c r="R10" s="64"/>
      <c r="S10" s="64"/>
      <c r="T10" s="65"/>
    </row>
    <row r="11" spans="2:20" ht="26" customHeight="1" thickBot="1" x14ac:dyDescent="0.25">
      <c r="B11" s="66"/>
      <c r="C11" s="67"/>
      <c r="D11" s="67"/>
      <c r="E11" s="67"/>
      <c r="F11" s="67"/>
      <c r="G11" s="67"/>
      <c r="H11" s="67"/>
      <c r="I11" s="67"/>
      <c r="J11" s="67"/>
      <c r="K11" s="67"/>
      <c r="L11" s="67"/>
      <c r="M11" s="67"/>
      <c r="N11" s="67"/>
      <c r="O11" s="67"/>
      <c r="P11" s="67"/>
      <c r="Q11" s="67"/>
      <c r="R11" s="67"/>
      <c r="S11" s="67"/>
      <c r="T11" s="68"/>
    </row>
    <row r="12" spans="2:20" ht="26" customHeight="1" thickBot="1" x14ac:dyDescent="0.25">
      <c r="B12" s="2642" t="s">
        <v>25</v>
      </c>
      <c r="C12" s="2643"/>
      <c r="D12" s="2643"/>
      <c r="E12" s="2643"/>
      <c r="F12" s="2643"/>
      <c r="G12" s="2643"/>
      <c r="H12" s="2643"/>
      <c r="I12" s="2643"/>
      <c r="J12" s="2643"/>
      <c r="K12" s="2643"/>
      <c r="L12" s="2643"/>
      <c r="M12" s="2643"/>
      <c r="N12" s="2643"/>
      <c r="O12" s="2643"/>
      <c r="P12" s="2643"/>
      <c r="Q12" s="2643"/>
      <c r="R12" s="2643"/>
      <c r="S12" s="2643"/>
      <c r="T12" s="2644"/>
    </row>
    <row r="13" spans="2:20" ht="143" customHeight="1" x14ac:dyDescent="0.2">
      <c r="B13" s="69" t="s">
        <v>26</v>
      </c>
      <c r="C13" s="2574" t="s">
        <v>2325</v>
      </c>
      <c r="D13" s="2575"/>
      <c r="E13" s="2575"/>
      <c r="F13" s="2575"/>
      <c r="G13" s="2575"/>
      <c r="H13" s="2575"/>
      <c r="I13" s="2575"/>
      <c r="J13" s="2575"/>
      <c r="K13" s="2575"/>
      <c r="L13" s="2575"/>
      <c r="M13" s="2575"/>
      <c r="N13" s="2575"/>
      <c r="O13" s="2575"/>
      <c r="P13" s="2575"/>
      <c r="Q13" s="2575"/>
      <c r="R13" s="2575"/>
      <c r="S13" s="2575"/>
      <c r="T13" s="2576"/>
    </row>
    <row r="14" spans="2:20" ht="92" customHeight="1" x14ac:dyDescent="0.2">
      <c r="B14" s="70" t="s">
        <v>27</v>
      </c>
      <c r="C14" s="2577" t="s">
        <v>2326</v>
      </c>
      <c r="D14" s="2578"/>
      <c r="E14" s="2578"/>
      <c r="F14" s="2578"/>
      <c r="G14" s="2578"/>
      <c r="H14" s="2578"/>
      <c r="I14" s="2578"/>
      <c r="J14" s="2578"/>
      <c r="K14" s="2578"/>
      <c r="L14" s="2578"/>
      <c r="M14" s="2578"/>
      <c r="N14" s="2578"/>
      <c r="O14" s="2578"/>
      <c r="P14" s="2578"/>
      <c r="Q14" s="2578"/>
      <c r="R14" s="2578"/>
      <c r="S14" s="2578"/>
      <c r="T14" s="2579"/>
    </row>
    <row r="15" spans="2:20" ht="63" customHeight="1" x14ac:dyDescent="0.2">
      <c r="B15" s="70" t="s">
        <v>28</v>
      </c>
      <c r="C15" s="2600" t="s">
        <v>2332</v>
      </c>
      <c r="D15" s="2578"/>
      <c r="E15" s="2578"/>
      <c r="F15" s="2578"/>
      <c r="G15" s="2578"/>
      <c r="H15" s="2578"/>
      <c r="I15" s="2578"/>
      <c r="J15" s="2578"/>
      <c r="K15" s="2578"/>
      <c r="L15" s="2578"/>
      <c r="M15" s="2578"/>
      <c r="N15" s="2578"/>
      <c r="O15" s="2578"/>
      <c r="P15" s="2578"/>
      <c r="Q15" s="2578"/>
      <c r="R15" s="2578"/>
      <c r="S15" s="2578"/>
      <c r="T15" s="2579"/>
    </row>
    <row r="16" spans="2:20" ht="25" customHeight="1" x14ac:dyDescent="0.2">
      <c r="B16" s="70" t="s">
        <v>29</v>
      </c>
      <c r="C16" s="2577"/>
      <c r="D16" s="2578"/>
      <c r="E16" s="2578"/>
      <c r="F16" s="2578"/>
      <c r="G16" s="2578"/>
      <c r="H16" s="2578"/>
      <c r="I16" s="2578"/>
      <c r="J16" s="2578"/>
      <c r="K16" s="2578"/>
      <c r="L16" s="2578"/>
      <c r="M16" s="2578"/>
      <c r="N16" s="2578"/>
      <c r="O16" s="2578"/>
      <c r="P16" s="2578"/>
      <c r="Q16" s="2578"/>
      <c r="R16" s="2578"/>
      <c r="S16" s="2578"/>
      <c r="T16" s="2579"/>
    </row>
    <row r="17" spans="2:20" ht="37" customHeight="1" x14ac:dyDescent="0.2">
      <c r="B17" s="70" t="s">
        <v>30</v>
      </c>
      <c r="C17" s="2577" t="s">
        <v>691</v>
      </c>
      <c r="D17" s="2578"/>
      <c r="E17" s="2578"/>
      <c r="F17" s="2578"/>
      <c r="G17" s="2578"/>
      <c r="H17" s="2578"/>
      <c r="I17" s="2578"/>
      <c r="J17" s="2578"/>
      <c r="K17" s="2578"/>
      <c r="L17" s="2578"/>
      <c r="M17" s="2578"/>
      <c r="N17" s="2578"/>
      <c r="O17" s="2578"/>
      <c r="P17" s="2578"/>
      <c r="Q17" s="2578"/>
      <c r="R17" s="2578"/>
      <c r="S17" s="2578"/>
      <c r="T17" s="2579"/>
    </row>
    <row r="18" spans="2:20" ht="24" customHeight="1" x14ac:dyDescent="0.2">
      <c r="B18" s="70" t="s">
        <v>31</v>
      </c>
      <c r="C18" s="2600" t="s">
        <v>2327</v>
      </c>
      <c r="D18" s="2578"/>
      <c r="E18" s="2578"/>
      <c r="F18" s="2578"/>
      <c r="G18" s="2578"/>
      <c r="H18" s="2578"/>
      <c r="I18" s="2578"/>
      <c r="J18" s="2578"/>
      <c r="K18" s="2578"/>
      <c r="L18" s="2578"/>
      <c r="M18" s="2578"/>
      <c r="N18" s="2578"/>
      <c r="O18" s="2578"/>
      <c r="P18" s="2578"/>
      <c r="Q18" s="2578"/>
      <c r="R18" s="2578"/>
      <c r="S18" s="2578"/>
      <c r="T18" s="2579"/>
    </row>
    <row r="19" spans="2:20" ht="23" customHeight="1" thickBot="1" x14ac:dyDescent="0.25">
      <c r="B19" s="71" t="s">
        <v>33</v>
      </c>
      <c r="C19" s="2580"/>
      <c r="D19" s="2581"/>
      <c r="E19" s="2581"/>
      <c r="F19" s="2581"/>
      <c r="G19" s="2581"/>
      <c r="H19" s="2581"/>
      <c r="I19" s="2581"/>
      <c r="J19" s="2581"/>
      <c r="K19" s="2581"/>
      <c r="L19" s="2581"/>
      <c r="M19" s="2581"/>
      <c r="N19" s="2581"/>
      <c r="O19" s="2581"/>
      <c r="P19" s="2581"/>
      <c r="Q19" s="2581"/>
      <c r="R19" s="2581"/>
      <c r="S19" s="2581"/>
      <c r="T19" s="2582"/>
    </row>
    <row r="20" spans="2:20" ht="26" customHeight="1" x14ac:dyDescent="0.2"/>
    <row r="21" spans="2:20" ht="31" customHeight="1" x14ac:dyDescent="0.2">
      <c r="B21" s="433" t="s">
        <v>1353</v>
      </c>
    </row>
    <row r="22" spans="2:20" ht="23" customHeight="1" x14ac:dyDescent="0.2"/>
    <row r="23" spans="2:20" ht="31" customHeight="1" x14ac:dyDescent="0.2">
      <c r="B23" s="325" t="s">
        <v>1458</v>
      </c>
    </row>
    <row r="24" spans="2:20" ht="22" customHeight="1" x14ac:dyDescent="0.2"/>
    <row r="25" spans="2:20" ht="27" customHeight="1" x14ac:dyDescent="0.2">
      <c r="B25" s="75" t="s">
        <v>1361</v>
      </c>
    </row>
    <row r="26" spans="2:20" s="1175" customFormat="1" hidden="1" outlineLevel="1" x14ac:dyDescent="0.2">
      <c r="B26" s="1633" t="s">
        <v>1357</v>
      </c>
    </row>
    <row r="27" spans="2:20" ht="19" hidden="1" customHeight="1" outlineLevel="1" x14ac:dyDescent="0.2">
      <c r="B27" s="493" t="s">
        <v>1939</v>
      </c>
      <c r="H27" s="443"/>
      <c r="I27" s="443"/>
      <c r="J27" s="443"/>
      <c r="K27" s="443"/>
    </row>
    <row r="28" spans="2:20" ht="19" hidden="1" customHeight="1" outlineLevel="1" x14ac:dyDescent="0.2">
      <c r="B28" s="55" t="s">
        <v>694</v>
      </c>
      <c r="H28" s="443"/>
      <c r="I28" s="443"/>
      <c r="J28" s="443"/>
      <c r="K28" s="443"/>
    </row>
    <row r="29" spans="2:20" ht="21" hidden="1" customHeight="1" outlineLevel="1" x14ac:dyDescent="0.2">
      <c r="B29" s="219" t="s">
        <v>1940</v>
      </c>
      <c r="H29" s="443"/>
      <c r="I29" s="443"/>
      <c r="J29" s="443"/>
      <c r="K29" s="443"/>
    </row>
    <row r="30" spans="2:20" ht="21" hidden="1" customHeight="1" outlineLevel="1" x14ac:dyDescent="0.2">
      <c r="B30" s="219" t="s">
        <v>703</v>
      </c>
      <c r="H30" s="443"/>
      <c r="I30" s="443"/>
      <c r="J30" s="443"/>
      <c r="K30" s="443"/>
    </row>
    <row r="31" spans="2:20" ht="21" hidden="1" customHeight="1" outlineLevel="1" x14ac:dyDescent="0.2">
      <c r="B31" s="219" t="s">
        <v>1941</v>
      </c>
    </row>
    <row r="32" spans="2:20" ht="21" hidden="1" customHeight="1" outlineLevel="1" x14ac:dyDescent="0.2"/>
    <row r="33" spans="2:26" ht="21" hidden="1" customHeight="1" outlineLevel="1" x14ac:dyDescent="0.2">
      <c r="B33" s="444" t="s">
        <v>1938</v>
      </c>
      <c r="C33" s="445">
        <f>'ANNEXE A'!$C$238</f>
        <v>18</v>
      </c>
      <c r="D33" s="405" t="s">
        <v>580</v>
      </c>
      <c r="E33" s="446"/>
      <c r="F33" s="447"/>
    </row>
    <row r="34" spans="2:26" ht="29" hidden="1" customHeight="1" outlineLevel="1" x14ac:dyDescent="0.2">
      <c r="B34" s="448" t="s">
        <v>714</v>
      </c>
      <c r="C34" s="449">
        <f>'ANNEXE A'!C239</f>
        <v>1120</v>
      </c>
      <c r="D34" s="55" t="s">
        <v>685</v>
      </c>
      <c r="E34" s="86"/>
      <c r="F34" s="450"/>
    </row>
    <row r="35" spans="2:26" ht="22" hidden="1" customHeight="1" outlineLevel="1" x14ac:dyDescent="0.2">
      <c r="B35" s="451" t="s">
        <v>717</v>
      </c>
      <c r="C35" s="452">
        <f>('9.1 Alimentaire'!C33+'9.1 Alimentaire'!C34)/2</f>
        <v>42</v>
      </c>
      <c r="D35" s="453"/>
      <c r="E35" s="453"/>
      <c r="F35" s="454"/>
      <c r="K35" s="443"/>
    </row>
    <row r="36" spans="2:26" ht="22" hidden="1" customHeight="1" outlineLevel="1" x14ac:dyDescent="0.2"/>
    <row r="37" spans="2:26" ht="22" hidden="1" customHeight="1" outlineLevel="1" x14ac:dyDescent="0.2"/>
    <row r="38" spans="2:26" ht="37" hidden="1" customHeight="1" outlineLevel="1" x14ac:dyDescent="0.2">
      <c r="B38" s="455" t="s">
        <v>721</v>
      </c>
      <c r="C38" s="455" t="s">
        <v>722</v>
      </c>
      <c r="D38" s="455" t="s">
        <v>723</v>
      </c>
      <c r="E38" s="455" t="s">
        <v>60</v>
      </c>
      <c r="F38" s="455" t="s">
        <v>59</v>
      </c>
      <c r="G38" s="455" t="s">
        <v>61</v>
      </c>
      <c r="H38" s="455" t="s">
        <v>59</v>
      </c>
      <c r="I38" s="455" t="s">
        <v>724</v>
      </c>
    </row>
    <row r="39" spans="2:26" ht="25" hidden="1" customHeight="1" outlineLevel="1" x14ac:dyDescent="0.2">
      <c r="B39" s="77" t="s">
        <v>726</v>
      </c>
      <c r="C39" s="456">
        <f>E250</f>
        <v>0.10500000000000001</v>
      </c>
      <c r="D39" s="457">
        <f>(C39*$C$35)*$C$34*$C$33</f>
        <v>88905.599999999991</v>
      </c>
      <c r="E39" s="458">
        <f>C237</f>
        <v>3.3400000000000001E-3</v>
      </c>
      <c r="F39" s="81" t="s">
        <v>696</v>
      </c>
      <c r="G39" s="459">
        <f t="shared" ref="G39:G42" si="0">D39*E39</f>
        <v>296.944704</v>
      </c>
      <c r="H39" s="81" t="s">
        <v>637</v>
      </c>
      <c r="I39" s="369">
        <f>(G39/$G$50)/1000</f>
        <v>1.3712430802060875E-3</v>
      </c>
      <c r="Y39" s="460"/>
    </row>
    <row r="40" spans="2:26" ht="25" hidden="1" customHeight="1" outlineLevel="1" x14ac:dyDescent="0.2">
      <c r="B40" s="77" t="s">
        <v>728</v>
      </c>
      <c r="C40" s="456">
        <f>E249</f>
        <v>0.30499999999999999</v>
      </c>
      <c r="D40" s="457">
        <f>(C40*$C$35)*$C$34*$C$33</f>
        <v>258249.60000000001</v>
      </c>
      <c r="E40" s="461">
        <f>C231</f>
        <v>2.9499999999999998E-2</v>
      </c>
      <c r="F40" s="81" t="s">
        <v>696</v>
      </c>
      <c r="G40" s="459">
        <f t="shared" si="0"/>
        <v>7618.3631999999998</v>
      </c>
      <c r="H40" s="81" t="s">
        <v>637</v>
      </c>
      <c r="I40" s="369">
        <f>(G40/$G$50)/1000</f>
        <v>3.5180380992741005E-2</v>
      </c>
    </row>
    <row r="41" spans="2:26" ht="25" hidden="1" customHeight="1" outlineLevel="1" x14ac:dyDescent="0.2">
      <c r="B41" s="77" t="s">
        <v>731</v>
      </c>
      <c r="C41" s="456">
        <f>$E$248/2</f>
        <v>0.29500000000000004</v>
      </c>
      <c r="D41" s="457">
        <f>(C41*$C$35)*$C$34*$C$33</f>
        <v>249782.40000000005</v>
      </c>
      <c r="E41" s="216">
        <f>$C$233</f>
        <v>0.25800000000000001</v>
      </c>
      <c r="F41" s="81" t="s">
        <v>696</v>
      </c>
      <c r="G41" s="459">
        <f t="shared" si="0"/>
        <v>64443.859200000014</v>
      </c>
      <c r="H41" s="81" t="s">
        <v>637</v>
      </c>
      <c r="I41" s="369">
        <f>(G41/$G$50)/1000</f>
        <v>0.29759141954515356</v>
      </c>
    </row>
    <row r="42" spans="2:26" ht="25" hidden="1" customHeight="1" outlineLevel="1" x14ac:dyDescent="0.2">
      <c r="B42" s="77" t="s">
        <v>735</v>
      </c>
      <c r="C42" s="369">
        <f>$E$248/2</f>
        <v>0.29500000000000004</v>
      </c>
      <c r="D42" s="457">
        <f>(C42*$C$35)*$C$34*$C$33</f>
        <v>249782.40000000005</v>
      </c>
      <c r="E42" s="77">
        <f>C232</f>
        <v>0.52700000000000002</v>
      </c>
      <c r="F42" s="81" t="s">
        <v>696</v>
      </c>
      <c r="G42" s="459">
        <f t="shared" si="0"/>
        <v>131635.32480000003</v>
      </c>
      <c r="H42" s="81" t="s">
        <v>637</v>
      </c>
      <c r="I42" s="369">
        <f>(G42/$G$50)/1000</f>
        <v>0.60787084534998415</v>
      </c>
      <c r="Z42" s="462"/>
    </row>
    <row r="43" spans="2:26" ht="22" hidden="1" customHeight="1" outlineLevel="1" x14ac:dyDescent="0.2"/>
    <row r="44" spans="2:26" ht="22" hidden="1" customHeight="1" outlineLevel="1" x14ac:dyDescent="0.2">
      <c r="B44" s="86" t="s">
        <v>1942</v>
      </c>
    </row>
    <row r="45" spans="2:26" ht="22" hidden="1" customHeight="1" outlineLevel="1" x14ac:dyDescent="0.2">
      <c r="B45" s="55" t="s">
        <v>737</v>
      </c>
      <c r="G45" s="463"/>
    </row>
    <row r="46" spans="2:26" ht="24" hidden="1" customHeight="1" outlineLevel="1" x14ac:dyDescent="0.2">
      <c r="K46" s="755"/>
    </row>
    <row r="47" spans="2:26" ht="24" hidden="1" customHeight="1" outlineLevel="1" x14ac:dyDescent="0.2">
      <c r="B47" s="455" t="s">
        <v>721</v>
      </c>
      <c r="C47" s="455" t="s">
        <v>722</v>
      </c>
      <c r="D47" s="455" t="s">
        <v>738</v>
      </c>
      <c r="E47" s="455" t="s">
        <v>60</v>
      </c>
      <c r="F47" s="455" t="s">
        <v>59</v>
      </c>
      <c r="G47" s="455" t="s">
        <v>61</v>
      </c>
      <c r="H47" s="455" t="s">
        <v>59</v>
      </c>
      <c r="I47" s="455" t="s">
        <v>724</v>
      </c>
      <c r="K47" s="346"/>
    </row>
    <row r="48" spans="2:26" ht="24" hidden="1" customHeight="1" outlineLevel="1" x14ac:dyDescent="0.2">
      <c r="B48" s="76" t="s">
        <v>739</v>
      </c>
      <c r="C48" s="456">
        <f>0</f>
        <v>0</v>
      </c>
      <c r="D48" s="314">
        <f>C34*(1-C40)*C33</f>
        <v>14011.2</v>
      </c>
      <c r="E48" s="363">
        <f>H231</f>
        <v>0.89620999999999984</v>
      </c>
      <c r="F48" s="81" t="s">
        <v>716</v>
      </c>
      <c r="G48" s="91">
        <f>D48*E48</f>
        <v>12556.977551999998</v>
      </c>
      <c r="H48" s="81" t="s">
        <v>637</v>
      </c>
      <c r="I48" s="369">
        <f>(G48/$G$50)/1000</f>
        <v>5.7986111031915137E-2</v>
      </c>
    </row>
    <row r="49" spans="2:15" ht="34" hidden="1" customHeight="1" outlineLevel="1" x14ac:dyDescent="0.2">
      <c r="I49"/>
    </row>
    <row r="50" spans="2:15" ht="27" hidden="1" customHeight="1" outlineLevel="1" x14ac:dyDescent="0.2">
      <c r="F50" s="7" t="s">
        <v>198</v>
      </c>
      <c r="G50" s="1643">
        <f>SUM(G39:G42)/1000+G48/1000</f>
        <v>216.55146945600006</v>
      </c>
      <c r="H50" s="7" t="s">
        <v>71</v>
      </c>
      <c r="I50"/>
      <c r="K50" s="483"/>
    </row>
    <row r="51" spans="2:15" ht="22" hidden="1" customHeight="1" outlineLevel="1" x14ac:dyDescent="0.2">
      <c r="I51"/>
    </row>
    <row r="52" spans="2:15" ht="27" customHeight="1" collapsed="1" x14ac:dyDescent="0.2">
      <c r="B52" s="75" t="s">
        <v>1362</v>
      </c>
      <c r="G52" s="354"/>
      <c r="I52"/>
    </row>
    <row r="53" spans="2:15" ht="22" hidden="1" customHeight="1" outlineLevel="1" x14ac:dyDescent="0.2">
      <c r="B53" s="1598" t="s">
        <v>1359</v>
      </c>
    </row>
    <row r="54" spans="2:15" ht="22" hidden="1" customHeight="1" outlineLevel="1" x14ac:dyDescent="0.2">
      <c r="B54" s="219" t="s">
        <v>1941</v>
      </c>
    </row>
    <row r="55" spans="2:15" ht="22" hidden="1" customHeight="1" outlineLevel="1" x14ac:dyDescent="0.2">
      <c r="B55" s="219" t="s">
        <v>2322</v>
      </c>
      <c r="M55"/>
      <c r="N55"/>
      <c r="O55"/>
    </row>
    <row r="56" spans="2:15" ht="22" hidden="1" customHeight="1" outlineLevel="1" x14ac:dyDescent="0.2">
      <c r="B56" s="219" t="s">
        <v>2323</v>
      </c>
      <c r="M56"/>
      <c r="N56"/>
      <c r="O56"/>
    </row>
    <row r="57" spans="2:15" ht="31" hidden="1" customHeight="1" outlineLevel="1" x14ac:dyDescent="0.2">
      <c r="M57"/>
      <c r="N57"/>
      <c r="O57"/>
    </row>
    <row r="58" spans="2:15" ht="22" hidden="1" customHeight="1" outlineLevel="1" x14ac:dyDescent="0.2">
      <c r="B58" s="444" t="s">
        <v>711</v>
      </c>
      <c r="C58" s="445">
        <f>'ANNEXE A'!$C$238</f>
        <v>18</v>
      </c>
      <c r="D58" s="405" t="s">
        <v>580</v>
      </c>
      <c r="E58" s="405"/>
      <c r="F58" s="447"/>
      <c r="M58"/>
      <c r="N58"/>
      <c r="O58"/>
    </row>
    <row r="59" spans="2:15" ht="22" hidden="1" customHeight="1" outlineLevel="1" x14ac:dyDescent="0.2">
      <c r="B59" s="448" t="s">
        <v>745</v>
      </c>
      <c r="C59" s="449">
        <f>'22'!C28</f>
        <v>41.595245732871298</v>
      </c>
      <c r="D59" s="55" t="s">
        <v>685</v>
      </c>
      <c r="F59" s="450"/>
      <c r="M59"/>
      <c r="N59"/>
      <c r="O59"/>
    </row>
    <row r="60" spans="2:15" ht="30" hidden="1" customHeight="1" outlineLevel="1" x14ac:dyDescent="0.2">
      <c r="B60" s="451" t="s">
        <v>717</v>
      </c>
      <c r="C60" s="452">
        <f>C35</f>
        <v>42</v>
      </c>
      <c r="D60" s="453"/>
      <c r="E60" s="453"/>
      <c r="F60" s="454"/>
      <c r="M60"/>
      <c r="N60"/>
      <c r="O60"/>
    </row>
    <row r="61" spans="2:15" ht="30" hidden="1" customHeight="1" outlineLevel="1" x14ac:dyDescent="0.2">
      <c r="J61" s="86"/>
      <c r="K61" s="86"/>
      <c r="M61"/>
      <c r="N61"/>
      <c r="O61"/>
    </row>
    <row r="62" spans="2:15" ht="30" hidden="1" customHeight="1" outlineLevel="1" x14ac:dyDescent="0.2">
      <c r="J62" s="86"/>
      <c r="K62" s="86"/>
      <c r="M62"/>
      <c r="N62"/>
      <c r="O62"/>
    </row>
    <row r="63" spans="2:15" ht="30" hidden="1" customHeight="1" outlineLevel="1" x14ac:dyDescent="0.2">
      <c r="B63" s="455" t="s">
        <v>721</v>
      </c>
      <c r="C63" s="455" t="s">
        <v>722</v>
      </c>
      <c r="D63" s="455" t="s">
        <v>746</v>
      </c>
      <c r="E63" s="455" t="s">
        <v>60</v>
      </c>
      <c r="F63" s="455" t="s">
        <v>59</v>
      </c>
      <c r="G63" s="455" t="s">
        <v>747</v>
      </c>
      <c r="H63" s="455" t="s">
        <v>59</v>
      </c>
      <c r="I63" s="455" t="s">
        <v>724</v>
      </c>
      <c r="M63"/>
      <c r="N63"/>
      <c r="O63"/>
    </row>
    <row r="64" spans="2:15" ht="27" hidden="1" customHeight="1" outlineLevel="1" x14ac:dyDescent="0.2">
      <c r="B64" s="77" t="s">
        <v>748</v>
      </c>
      <c r="C64" s="456">
        <v>1</v>
      </c>
      <c r="D64" s="314">
        <f>(C64*$C$60)*$C$59</f>
        <v>1747.0003207805946</v>
      </c>
      <c r="E64" s="465">
        <f>C229</f>
        <v>0.17280000000000001</v>
      </c>
      <c r="F64" s="81" t="s">
        <v>696</v>
      </c>
      <c r="G64" s="459">
        <f>D64*E64</f>
        <v>301.88165543088678</v>
      </c>
      <c r="H64" s="81" t="s">
        <v>67</v>
      </c>
      <c r="I64" s="369">
        <f>(G64/$G$69)/1000</f>
        <v>1</v>
      </c>
      <c r="K64" s="354"/>
      <c r="M64"/>
      <c r="N64"/>
      <c r="O64"/>
    </row>
    <row r="65" spans="2:15" ht="27" hidden="1" customHeight="1" outlineLevel="1" x14ac:dyDescent="0.2">
      <c r="B65" s="77" t="s">
        <v>749</v>
      </c>
      <c r="C65" s="456">
        <v>0</v>
      </c>
      <c r="D65" s="314">
        <f>(C65*$C$60)*$C$59</f>
        <v>0</v>
      </c>
      <c r="E65" s="466">
        <f>C230</f>
        <v>0.129</v>
      </c>
      <c r="F65" s="81" t="s">
        <v>696</v>
      </c>
      <c r="G65" s="459">
        <f t="shared" ref="G65:G67" si="1">D65*E65</f>
        <v>0</v>
      </c>
      <c r="H65" s="81" t="s">
        <v>67</v>
      </c>
      <c r="I65" s="369">
        <f t="shared" ref="I65:I67" si="2">(G65/$G$69)/1000</f>
        <v>0</v>
      </c>
      <c r="M65"/>
      <c r="N65"/>
      <c r="O65"/>
    </row>
    <row r="66" spans="2:15" ht="27" hidden="1" customHeight="1" outlineLevel="1" x14ac:dyDescent="0.2">
      <c r="B66" s="77" t="s">
        <v>726</v>
      </c>
      <c r="C66" s="456">
        <v>0</v>
      </c>
      <c r="D66" s="314">
        <f>(C66*$C$60)*$C$59</f>
        <v>0</v>
      </c>
      <c r="E66" s="467">
        <f>$C$236</f>
        <v>3.1699999999999999E-2</v>
      </c>
      <c r="F66" s="81" t="s">
        <v>696</v>
      </c>
      <c r="G66" s="459">
        <f t="shared" si="1"/>
        <v>0</v>
      </c>
      <c r="H66" s="81" t="s">
        <v>67</v>
      </c>
      <c r="I66" s="369">
        <f t="shared" si="2"/>
        <v>0</v>
      </c>
      <c r="M66"/>
      <c r="N66"/>
      <c r="O66"/>
    </row>
    <row r="67" spans="2:15" ht="27" hidden="1" customHeight="1" outlineLevel="1" x14ac:dyDescent="0.2">
      <c r="B67" s="77" t="s">
        <v>750</v>
      </c>
      <c r="C67" s="456">
        <v>0</v>
      </c>
      <c r="D67" s="314">
        <f>(C67*$C$60)*$C$59</f>
        <v>0</v>
      </c>
      <c r="E67" s="355">
        <v>0</v>
      </c>
      <c r="F67" s="81" t="s">
        <v>696</v>
      </c>
      <c r="G67" s="459">
        <f t="shared" si="1"/>
        <v>0</v>
      </c>
      <c r="H67" s="81" t="s">
        <v>67</v>
      </c>
      <c r="I67" s="369">
        <f t="shared" si="2"/>
        <v>0</v>
      </c>
      <c r="M67"/>
      <c r="N67"/>
      <c r="O67"/>
    </row>
    <row r="68" spans="2:15" ht="22" hidden="1" customHeight="1" outlineLevel="1" x14ac:dyDescent="0.2">
      <c r="F68"/>
      <c r="G68"/>
      <c r="H68"/>
      <c r="M68"/>
      <c r="N68"/>
      <c r="O68"/>
    </row>
    <row r="69" spans="2:15" ht="28" hidden="1" customHeight="1" outlineLevel="1" x14ac:dyDescent="0.2">
      <c r="B69" s="409"/>
      <c r="F69" s="7" t="s">
        <v>198</v>
      </c>
      <c r="G69" s="349">
        <f>SUM(G64:G67)/1000</f>
        <v>0.3018816554308868</v>
      </c>
      <c r="H69" s="7" t="s">
        <v>71</v>
      </c>
      <c r="M69"/>
      <c r="N69"/>
      <c r="O69"/>
    </row>
    <row r="70" spans="2:15" ht="25" hidden="1" customHeight="1" outlineLevel="1" x14ac:dyDescent="0.2">
      <c r="M70"/>
      <c r="N70"/>
      <c r="O70"/>
    </row>
    <row r="71" spans="2:15" ht="25" customHeight="1" collapsed="1" x14ac:dyDescent="0.2">
      <c r="M71"/>
      <c r="N71"/>
      <c r="O71"/>
    </row>
    <row r="72" spans="2:15" ht="25" customHeight="1" x14ac:dyDescent="0.2">
      <c r="M72"/>
      <c r="N72"/>
      <c r="O72"/>
    </row>
    <row r="73" spans="2:15" ht="31" customHeight="1" x14ac:dyDescent="0.2">
      <c r="B73" s="325" t="s">
        <v>1432</v>
      </c>
      <c r="H73" s="325"/>
      <c r="M73"/>
      <c r="N73"/>
      <c r="O73"/>
    </row>
    <row r="74" spans="2:15" ht="27" hidden="1" customHeight="1" outlineLevel="1" x14ac:dyDescent="0.2">
      <c r="B74" s="1598" t="s">
        <v>1365</v>
      </c>
      <c r="H74" s="328"/>
      <c r="M74"/>
      <c r="N74"/>
      <c r="O74"/>
    </row>
    <row r="75" spans="2:15" ht="44" hidden="1" customHeight="1" outlineLevel="1" x14ac:dyDescent="0.2">
      <c r="B75" s="2685" t="s">
        <v>1579</v>
      </c>
      <c r="C75" s="2685"/>
      <c r="D75" s="2685"/>
      <c r="E75" s="2685"/>
      <c r="F75" s="2685"/>
    </row>
    <row r="76" spans="2:15" ht="28" hidden="1" customHeight="1" outlineLevel="1" x14ac:dyDescent="0.2">
      <c r="B76" s="323"/>
      <c r="C76" s="323"/>
      <c r="D76" s="323"/>
      <c r="E76" s="323"/>
      <c r="F76" s="323"/>
    </row>
    <row r="77" spans="2:15" ht="28" hidden="1" customHeight="1" outlineLevel="1" x14ac:dyDescent="0.2">
      <c r="B77" s="1686" t="s">
        <v>1580</v>
      </c>
      <c r="C77" s="323"/>
      <c r="D77" s="323"/>
      <c r="E77" s="323"/>
      <c r="F77" s="323"/>
    </row>
    <row r="78" spans="2:15" ht="28" hidden="1" customHeight="1" outlineLevel="1" x14ac:dyDescent="0.2">
      <c r="C78" s="60" t="s">
        <v>36</v>
      </c>
      <c r="D78" s="475" t="s">
        <v>37</v>
      </c>
      <c r="E78" s="323"/>
      <c r="F78" s="323"/>
    </row>
    <row r="79" spans="2:15" ht="24" hidden="1" customHeight="1" outlineLevel="1" x14ac:dyDescent="0.2">
      <c r="B79" s="76" t="s">
        <v>1575</v>
      </c>
      <c r="C79" s="314">
        <f>'13'!$C$323</f>
        <v>57498</v>
      </c>
      <c r="D79" s="9" t="s">
        <v>1576</v>
      </c>
    </row>
    <row r="80" spans="2:15" ht="24" hidden="1" customHeight="1" outlineLevel="1" x14ac:dyDescent="0.2">
      <c r="B80" s="73" t="s">
        <v>1577</v>
      </c>
      <c r="C80" s="352">
        <f>C79*C59*C64*E64/1000</f>
        <v>413.27598628488391</v>
      </c>
      <c r="D80" s="81"/>
    </row>
    <row r="81" spans="2:60" ht="24" hidden="1" customHeight="1" outlineLevel="1" x14ac:dyDescent="0.2"/>
    <row r="82" spans="2:60" ht="24" hidden="1" customHeight="1" outlineLevel="1" x14ac:dyDescent="0.2">
      <c r="B82" s="1686" t="s">
        <v>1581</v>
      </c>
    </row>
    <row r="83" spans="2:60" ht="24" hidden="1" customHeight="1" outlineLevel="1" x14ac:dyDescent="0.2">
      <c r="C83" s="785" t="s">
        <v>36</v>
      </c>
      <c r="D83" s="617" t="s">
        <v>37</v>
      </c>
    </row>
    <row r="84" spans="2:60" ht="24" hidden="1" customHeight="1" outlineLevel="1" x14ac:dyDescent="0.2">
      <c r="B84" s="76" t="s">
        <v>1578</v>
      </c>
      <c r="C84" s="314">
        <f>'13'!$C$323</f>
        <v>57498</v>
      </c>
      <c r="D84" s="9" t="s">
        <v>1576</v>
      </c>
    </row>
    <row r="85" spans="2:60" ht="24" hidden="1" customHeight="1" outlineLevel="1" x14ac:dyDescent="0.2">
      <c r="B85" s="73" t="s">
        <v>1577</v>
      </c>
      <c r="C85" s="352">
        <f>C34*C84*SUMPRODUCT(C39:C42,E39:E42)/1000+((1-C40)*'13'!C302*C34*H231)/1000</f>
        <v>16469.942315848002</v>
      </c>
      <c r="D85" s="9" t="s">
        <v>1582</v>
      </c>
    </row>
    <row r="86" spans="2:60" ht="24" hidden="1" customHeight="1" outlineLevel="1" x14ac:dyDescent="0.2">
      <c r="B86" s="780"/>
      <c r="C86" s="525"/>
    </row>
    <row r="87" spans="2:60" ht="24" hidden="1" customHeight="1" outlineLevel="1" x14ac:dyDescent="0.2">
      <c r="B87" s="440" t="s">
        <v>1434</v>
      </c>
      <c r="C87" s="307">
        <f>C85+C80</f>
        <v>16883.218302132886</v>
      </c>
      <c r="D87" s="222" t="s">
        <v>71</v>
      </c>
    </row>
    <row r="88" spans="2:60" ht="24" hidden="1" customHeight="1" outlineLevel="1" x14ac:dyDescent="0.2">
      <c r="B88" s="112"/>
      <c r="C88" s="346"/>
    </row>
    <row r="89" spans="2:60" ht="31" customHeight="1" collapsed="1" x14ac:dyDescent="0.2">
      <c r="T89" s="1"/>
      <c r="U89" s="1"/>
      <c r="V89" s="1"/>
      <c r="W89" s="1"/>
      <c r="X89" s="1"/>
      <c r="Y89" s="1"/>
      <c r="Z89" s="1"/>
      <c r="AA89" s="1"/>
      <c r="BB89" s="1"/>
      <c r="BC89" s="1"/>
      <c r="BD89" s="1"/>
      <c r="BE89" s="1"/>
      <c r="BF89" s="1"/>
      <c r="BG89" s="1"/>
      <c r="BH89" s="1"/>
    </row>
    <row r="90" spans="2:60" ht="31" customHeight="1" x14ac:dyDescent="0.2">
      <c r="B90" s="325" t="s">
        <v>1641</v>
      </c>
      <c r="J90" s="346"/>
      <c r="T90" s="1"/>
      <c r="U90" s="1"/>
      <c r="V90" s="1"/>
      <c r="W90" s="1"/>
      <c r="X90" s="1"/>
      <c r="Y90" s="1"/>
      <c r="Z90" s="1"/>
      <c r="AA90" s="1"/>
      <c r="AL90" s="1"/>
      <c r="AM90" s="1"/>
      <c r="AN90" s="1"/>
      <c r="AO90" s="1"/>
      <c r="AP90" s="1"/>
      <c r="AQ90" s="1"/>
      <c r="AR90" s="1"/>
      <c r="AS90" s="1"/>
      <c r="AT90" s="1"/>
      <c r="BB90" s="1"/>
      <c r="BC90" s="1"/>
      <c r="BD90" s="1"/>
      <c r="BE90" s="1"/>
      <c r="BF90" s="1"/>
      <c r="BG90" s="1"/>
      <c r="BH90" s="1"/>
    </row>
    <row r="91" spans="2:60" ht="34" customHeight="1" x14ac:dyDescent="0.2">
      <c r="B91" s="308"/>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BB91" s="1"/>
      <c r="BC91" s="1"/>
      <c r="BD91" s="1"/>
      <c r="BE91" s="1"/>
      <c r="BF91" s="1"/>
      <c r="BG91" s="1"/>
      <c r="BH91" s="1"/>
    </row>
    <row r="92" spans="2:60" ht="34" customHeight="1" x14ac:dyDescent="0.2">
      <c r="B92" s="26" t="s">
        <v>1988</v>
      </c>
      <c r="C92" s="1"/>
      <c r="D92" s="1"/>
      <c r="E92" s="1"/>
      <c r="F92" s="1"/>
      <c r="G92" s="1"/>
      <c r="H92" s="1"/>
      <c r="I92" s="1"/>
      <c r="J92" s="1"/>
      <c r="K9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BA92" s="375"/>
      <c r="BB92" s="1"/>
      <c r="BC92" s="1"/>
      <c r="BD92" s="1"/>
      <c r="BE92" s="1"/>
      <c r="BF92" s="1"/>
      <c r="BG92" s="1"/>
      <c r="BH92" s="1"/>
    </row>
    <row r="93" spans="2:60" ht="34" customHeight="1" x14ac:dyDescent="0.2">
      <c r="B93" s="1644" t="s">
        <v>1365</v>
      </c>
      <c r="C93" s="1"/>
      <c r="D93" s="1"/>
      <c r="E93" s="1"/>
      <c r="F93" s="1"/>
      <c r="G93" s="1"/>
      <c r="H93" s="1"/>
      <c r="I93" s="1"/>
      <c r="J93" s="1"/>
      <c r="K9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BA93" s="375"/>
      <c r="BB93" s="1"/>
      <c r="BC93" s="1"/>
      <c r="BD93" s="1"/>
      <c r="BE93" s="1"/>
      <c r="BF93" s="1"/>
      <c r="BG93" s="1"/>
      <c r="BH93" s="1"/>
    </row>
    <row r="94" spans="2:60" ht="34" customHeight="1" x14ac:dyDescent="0.2">
      <c r="B94" s="308" t="s">
        <v>1455</v>
      </c>
      <c r="C94" s="1"/>
      <c r="D94" s="1"/>
      <c r="E94" s="1"/>
      <c r="F94" s="1"/>
      <c r="G94" s="1"/>
      <c r="H94" s="1"/>
      <c r="I94" s="1"/>
      <c r="J94" s="1"/>
      <c r="K94"/>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BA94" s="443"/>
      <c r="BB94" s="1"/>
      <c r="BC94" s="1"/>
      <c r="BD94" s="1"/>
      <c r="BE94" s="1"/>
      <c r="BF94" s="1"/>
      <c r="BG94" s="1"/>
      <c r="BH94" s="1"/>
    </row>
    <row r="95" spans="2:60" ht="48" hidden="1" customHeight="1" outlineLevel="1" thickBot="1" x14ac:dyDescent="0.25">
      <c r="B95" s="365"/>
      <c r="C95" s="365"/>
      <c r="D95" s="365"/>
      <c r="E95" s="365"/>
      <c r="F95" s="365"/>
      <c r="G95" s="365"/>
      <c r="H95"/>
      <c r="I95"/>
      <c r="J95"/>
      <c r="K95"/>
      <c r="L95"/>
      <c r="M95"/>
      <c r="N95"/>
      <c r="O95"/>
      <c r="Q95" s="34"/>
      <c r="R95" s="1"/>
      <c r="S95" s="1"/>
      <c r="T95" s="1"/>
      <c r="U95" s="1"/>
      <c r="V95" s="1"/>
      <c r="W95" s="1"/>
      <c r="X95" s="1"/>
      <c r="Y95" s="1"/>
      <c r="Z95" s="1"/>
      <c r="AA95" s="1"/>
      <c r="AB95" s="1"/>
      <c r="AC95" s="1"/>
      <c r="AD95" s="1"/>
      <c r="AE95" s="1"/>
      <c r="AF95" s="1"/>
      <c r="AG95" s="1"/>
      <c r="AH95" s="1"/>
      <c r="AI95" s="1"/>
      <c r="AJ95" s="1"/>
      <c r="AK95" s="1"/>
      <c r="AL95" s="1"/>
      <c r="AM95" s="1"/>
      <c r="AQ95" s="443"/>
      <c r="AR95" s="1"/>
      <c r="AS95" s="1"/>
      <c r="AT95" s="1"/>
      <c r="AU95" s="1"/>
      <c r="AV95" s="1"/>
      <c r="AW95" s="1"/>
      <c r="AX95" s="1"/>
    </row>
    <row r="96" spans="2:60" ht="51" hidden="1" customHeight="1" outlineLevel="1" thickBot="1" x14ac:dyDescent="0.25">
      <c r="B96" s="2284" t="s">
        <v>1443</v>
      </c>
      <c r="C96" s="2285" t="s">
        <v>1437</v>
      </c>
      <c r="D96" s="2286" t="s">
        <v>1438</v>
      </c>
      <c r="E96" s="2286" t="s">
        <v>1439</v>
      </c>
      <c r="F96" s="2286" t="s">
        <v>1440</v>
      </c>
      <c r="G96" s="2286" t="s">
        <v>1441</v>
      </c>
      <c r="H96" s="2287" t="s">
        <v>742</v>
      </c>
      <c r="I96" s="2287" t="s">
        <v>726</v>
      </c>
      <c r="J96" s="2288" t="s">
        <v>728</v>
      </c>
      <c r="K96"/>
      <c r="L96"/>
      <c r="M96"/>
      <c r="N96" s="34"/>
      <c r="O96" s="1"/>
      <c r="P96" s="1"/>
      <c r="Q96" s="1"/>
      <c r="R96" s="1"/>
      <c r="S96"/>
      <c r="T96"/>
      <c r="U96"/>
      <c r="V96"/>
      <c r="W96"/>
      <c r="X96"/>
      <c r="Y96"/>
      <c r="Z96"/>
      <c r="AA96"/>
      <c r="AB96"/>
      <c r="AC96"/>
      <c r="AD96"/>
      <c r="AE96"/>
      <c r="AF96"/>
      <c r="AG96"/>
      <c r="AH96"/>
      <c r="AI96"/>
      <c r="AJ96"/>
      <c r="AK96"/>
      <c r="AL96"/>
      <c r="AN96" s="443"/>
      <c r="AO96" s="1"/>
      <c r="AP96" s="1"/>
      <c r="AQ96" s="1"/>
      <c r="AR96" s="1"/>
      <c r="AS96" s="1"/>
      <c r="AT96" s="1"/>
      <c r="AU96" s="1"/>
    </row>
    <row r="97" spans="2:47" ht="34" hidden="1" customHeight="1" outlineLevel="1" x14ac:dyDescent="0.2">
      <c r="B97" s="499" t="s">
        <v>1526</v>
      </c>
      <c r="C97" s="507" t="s">
        <v>1442</v>
      </c>
      <c r="D97" s="500">
        <v>66183</v>
      </c>
      <c r="E97" s="507">
        <v>50</v>
      </c>
      <c r="F97" s="507">
        <v>1033</v>
      </c>
      <c r="G97" s="500" t="s">
        <v>1445</v>
      </c>
      <c r="H97" s="508">
        <v>1</v>
      </c>
      <c r="I97" s="508">
        <v>0</v>
      </c>
      <c r="J97" s="783">
        <v>0</v>
      </c>
      <c r="K97"/>
      <c r="L97"/>
      <c r="M97"/>
      <c r="N97" s="34"/>
      <c r="O97" s="1"/>
      <c r="P97" s="1"/>
      <c r="Q97" s="1"/>
      <c r="R97" s="1"/>
      <c r="S97"/>
      <c r="T97"/>
      <c r="U97"/>
      <c r="V97"/>
      <c r="W97"/>
      <c r="X97"/>
      <c r="Y97"/>
      <c r="Z97"/>
      <c r="AA97"/>
      <c r="AB97"/>
      <c r="AC97"/>
      <c r="AD97"/>
      <c r="AE97"/>
      <c r="AF97"/>
      <c r="AG97"/>
      <c r="AH97"/>
      <c r="AI97"/>
      <c r="AJ97"/>
      <c r="AK97"/>
      <c r="AL97"/>
      <c r="AN97" s="443"/>
      <c r="AO97" s="1"/>
      <c r="AP97" s="1"/>
      <c r="AQ97" s="1"/>
      <c r="AR97" s="1"/>
      <c r="AS97" s="1"/>
      <c r="AT97" s="1"/>
      <c r="AU97" s="1"/>
    </row>
    <row r="98" spans="2:47" ht="34" hidden="1" customHeight="1" outlineLevel="1" x14ac:dyDescent="0.2">
      <c r="B98" s="501" t="s">
        <v>1526</v>
      </c>
      <c r="C98" s="503" t="s">
        <v>1442</v>
      </c>
      <c r="D98" s="502">
        <v>77328</v>
      </c>
      <c r="E98" s="503">
        <v>50</v>
      </c>
      <c r="F98" s="503">
        <v>430</v>
      </c>
      <c r="G98" s="502" t="s">
        <v>1446</v>
      </c>
      <c r="H98" s="393">
        <v>1</v>
      </c>
      <c r="I98" s="393">
        <v>0</v>
      </c>
      <c r="J98" s="781">
        <v>0</v>
      </c>
      <c r="K98"/>
      <c r="L98"/>
      <c r="M98"/>
      <c r="N98" s="34"/>
      <c r="O98" s="1"/>
      <c r="P98" s="1"/>
      <c r="Q98" s="1"/>
      <c r="R98" s="1"/>
      <c r="S98"/>
      <c r="T98"/>
      <c r="U98"/>
      <c r="V98"/>
      <c r="W98"/>
      <c r="X98"/>
      <c r="Y98"/>
      <c r="Z98"/>
      <c r="AA98"/>
      <c r="AB98"/>
      <c r="AC98"/>
      <c r="AD98"/>
      <c r="AE98"/>
      <c r="AF98"/>
      <c r="AG98"/>
      <c r="AH98"/>
      <c r="AI98"/>
      <c r="AJ98"/>
      <c r="AK98"/>
      <c r="AL98"/>
      <c r="AN98" s="443"/>
      <c r="AO98" s="1"/>
      <c r="AP98" s="1"/>
      <c r="AQ98" s="1"/>
      <c r="AR98" s="1"/>
      <c r="AS98" s="1"/>
      <c r="AT98" s="1"/>
      <c r="AU98" s="1"/>
    </row>
    <row r="99" spans="2:47" ht="34" hidden="1" customHeight="1" outlineLevel="1" x14ac:dyDescent="0.2">
      <c r="B99" s="501" t="s">
        <v>1526</v>
      </c>
      <c r="C99" s="503" t="s">
        <v>1442</v>
      </c>
      <c r="D99" s="502">
        <v>78000</v>
      </c>
      <c r="E99" s="503">
        <v>50</v>
      </c>
      <c r="F99" s="503">
        <v>2095</v>
      </c>
      <c r="G99" s="502" t="s">
        <v>1445</v>
      </c>
      <c r="H99" s="393">
        <v>1</v>
      </c>
      <c r="I99" s="393">
        <v>0</v>
      </c>
      <c r="J99" s="781">
        <v>0</v>
      </c>
      <c r="K99"/>
      <c r="L99"/>
      <c r="M99"/>
      <c r="N99" s="34"/>
      <c r="O99" s="1"/>
      <c r="P99" s="1"/>
      <c r="Q99" s="1"/>
      <c r="R99" s="1"/>
      <c r="S99"/>
      <c r="T99"/>
      <c r="U99"/>
      <c r="V99"/>
      <c r="W99"/>
      <c r="X99"/>
      <c r="Y99"/>
      <c r="Z99"/>
      <c r="AA99"/>
      <c r="AB99"/>
      <c r="AC99"/>
      <c r="AD99"/>
      <c r="AE99"/>
      <c r="AF99"/>
      <c r="AG99"/>
      <c r="AH99"/>
      <c r="AI99"/>
      <c r="AJ99"/>
      <c r="AK99"/>
      <c r="AL99"/>
      <c r="AN99" s="443"/>
      <c r="AO99" s="1"/>
      <c r="AP99" s="1"/>
      <c r="AQ99" s="1"/>
      <c r="AR99" s="1"/>
      <c r="AS99" s="1"/>
      <c r="AT99" s="1"/>
      <c r="AU99" s="1"/>
    </row>
    <row r="100" spans="2:47" ht="34" hidden="1" customHeight="1" outlineLevel="1" x14ac:dyDescent="0.2">
      <c r="B100" s="501" t="s">
        <v>1527</v>
      </c>
      <c r="C100" s="503" t="s">
        <v>1442</v>
      </c>
      <c r="D100" s="502">
        <v>11212</v>
      </c>
      <c r="E100" s="503">
        <v>50</v>
      </c>
      <c r="F100" s="503">
        <v>2095</v>
      </c>
      <c r="G100" s="502" t="s">
        <v>1445</v>
      </c>
      <c r="H100" s="393">
        <v>1</v>
      </c>
      <c r="I100" s="393">
        <v>0</v>
      </c>
      <c r="J100" s="781">
        <v>0</v>
      </c>
      <c r="K100"/>
      <c r="L100"/>
      <c r="M100"/>
      <c r="N100" s="34"/>
      <c r="O100" s="1"/>
      <c r="P100" s="1"/>
      <c r="Q100" s="1"/>
      <c r="R100" s="1"/>
      <c r="S100"/>
      <c r="T100"/>
      <c r="U100"/>
      <c r="V100"/>
      <c r="W100"/>
      <c r="X100"/>
      <c r="Y100"/>
      <c r="Z100"/>
      <c r="AA100"/>
      <c r="AB100"/>
      <c r="AC100"/>
      <c r="AD100"/>
      <c r="AE100"/>
      <c r="AF100"/>
      <c r="AG100"/>
      <c r="AH100"/>
      <c r="AI100"/>
      <c r="AJ100"/>
      <c r="AK100"/>
      <c r="AL100"/>
      <c r="AN100" s="443"/>
      <c r="AO100" s="1"/>
      <c r="AP100" s="1"/>
      <c r="AQ100" s="1"/>
      <c r="AR100" s="1"/>
      <c r="AS100" s="1"/>
      <c r="AT100" s="1"/>
      <c r="AU100" s="1"/>
    </row>
    <row r="101" spans="2:47" ht="34" hidden="1" customHeight="1" outlineLevel="1" x14ac:dyDescent="0.2">
      <c r="B101" s="501" t="s">
        <v>1527</v>
      </c>
      <c r="C101" s="503" t="s">
        <v>1442</v>
      </c>
      <c r="D101" s="502">
        <v>11445</v>
      </c>
      <c r="E101" s="503">
        <v>50</v>
      </c>
      <c r="F101" s="503">
        <v>1340</v>
      </c>
      <c r="G101" s="502" t="s">
        <v>1445</v>
      </c>
      <c r="H101" s="393">
        <v>1</v>
      </c>
      <c r="I101" s="393">
        <v>0</v>
      </c>
      <c r="J101" s="781">
        <v>0</v>
      </c>
      <c r="K101"/>
      <c r="L101"/>
      <c r="M101"/>
      <c r="N101" s="34"/>
      <c r="O101" s="1"/>
      <c r="P101" s="1"/>
      <c r="Q101" s="1"/>
      <c r="R101" s="1"/>
      <c r="S101"/>
      <c r="T101"/>
      <c r="U101"/>
      <c r="V101"/>
      <c r="W101"/>
      <c r="X101"/>
      <c r="Y101"/>
      <c r="Z101"/>
      <c r="AA101"/>
      <c r="AB101"/>
      <c r="AC101"/>
      <c r="AD101"/>
      <c r="AE101"/>
      <c r="AF101"/>
      <c r="AG101"/>
      <c r="AH101"/>
      <c r="AI101"/>
      <c r="AJ101"/>
      <c r="AK101"/>
      <c r="AL101"/>
      <c r="AN101" s="443"/>
      <c r="AO101" s="1"/>
      <c r="AP101" s="1"/>
      <c r="AQ101" s="1"/>
      <c r="AR101" s="1"/>
      <c r="AS101" s="1"/>
      <c r="AT101" s="1"/>
      <c r="AU101" s="1"/>
    </row>
    <row r="102" spans="2:47" ht="34" hidden="1" customHeight="1" outlineLevel="1" x14ac:dyDescent="0.2">
      <c r="B102" s="501" t="s">
        <v>1527</v>
      </c>
      <c r="C102" s="503" t="s">
        <v>1442</v>
      </c>
      <c r="D102" s="502">
        <v>7409</v>
      </c>
      <c r="E102" s="503">
        <v>50</v>
      </c>
      <c r="F102" s="503">
        <v>1243</v>
      </c>
      <c r="G102" s="502" t="s">
        <v>1445</v>
      </c>
      <c r="H102" s="393">
        <v>1</v>
      </c>
      <c r="I102" s="393">
        <v>0</v>
      </c>
      <c r="J102" s="781">
        <v>0</v>
      </c>
      <c r="K102"/>
      <c r="L102"/>
      <c r="M102"/>
      <c r="N102" s="34"/>
      <c r="O102" s="1"/>
      <c r="P102" s="1"/>
      <c r="Q102" s="1"/>
      <c r="R102" s="1"/>
      <c r="S102"/>
      <c r="T102"/>
      <c r="U102"/>
      <c r="V102"/>
      <c r="W102"/>
      <c r="X102"/>
      <c r="Y102"/>
      <c r="Z102"/>
      <c r="AA102"/>
      <c r="AB102"/>
      <c r="AC102"/>
      <c r="AD102"/>
      <c r="AE102"/>
      <c r="AF102"/>
      <c r="AG102"/>
      <c r="AH102"/>
      <c r="AI102"/>
      <c r="AJ102"/>
      <c r="AK102"/>
      <c r="AL102"/>
      <c r="AN102" s="443"/>
      <c r="AO102" s="1"/>
      <c r="AP102" s="1"/>
      <c r="AQ102" s="1"/>
      <c r="AR102" s="1"/>
      <c r="AS102" s="1"/>
      <c r="AT102" s="1"/>
      <c r="AU102" s="1"/>
    </row>
    <row r="103" spans="2:47" ht="34" hidden="1" customHeight="1" outlineLevel="1" x14ac:dyDescent="0.2">
      <c r="B103" s="501" t="s">
        <v>1447</v>
      </c>
      <c r="C103" s="503" t="s">
        <v>1442</v>
      </c>
      <c r="D103" s="502">
        <v>80000</v>
      </c>
      <c r="E103" s="503">
        <v>50</v>
      </c>
      <c r="F103" s="503">
        <v>878</v>
      </c>
      <c r="G103" s="502" t="s">
        <v>1446</v>
      </c>
      <c r="H103" s="393">
        <v>1</v>
      </c>
      <c r="I103" s="393">
        <v>0</v>
      </c>
      <c r="J103" s="781">
        <v>0</v>
      </c>
      <c r="K103"/>
      <c r="L103"/>
      <c r="M103"/>
      <c r="N103" s="34"/>
      <c r="O103" s="1"/>
      <c r="P103" s="1"/>
      <c r="Q103" s="1"/>
      <c r="R103" s="1"/>
      <c r="S103"/>
      <c r="T103"/>
      <c r="U103"/>
      <c r="V103"/>
      <c r="W103"/>
      <c r="X103"/>
      <c r="Y103"/>
      <c r="Z103"/>
      <c r="AA103"/>
      <c r="AB103"/>
      <c r="AC103"/>
      <c r="AD103"/>
      <c r="AE103"/>
      <c r="AF103"/>
      <c r="AG103"/>
      <c r="AH103"/>
      <c r="AI103"/>
      <c r="AJ103"/>
      <c r="AK103"/>
      <c r="AL103"/>
      <c r="AN103" s="443"/>
      <c r="AO103" s="1"/>
      <c r="AP103" s="1"/>
      <c r="AQ103" s="1"/>
      <c r="AR103" s="1"/>
      <c r="AS103" s="1"/>
      <c r="AT103" s="1"/>
      <c r="AU103" s="1"/>
    </row>
    <row r="104" spans="2:47" ht="34" hidden="1" customHeight="1" outlineLevel="1" x14ac:dyDescent="0.2">
      <c r="B104" s="501" t="s">
        <v>1447</v>
      </c>
      <c r="C104" s="503" t="s">
        <v>1442</v>
      </c>
      <c r="D104" s="502">
        <v>78750</v>
      </c>
      <c r="E104" s="503">
        <v>50</v>
      </c>
      <c r="F104" s="503">
        <v>490</v>
      </c>
      <c r="G104" s="502" t="s">
        <v>1446</v>
      </c>
      <c r="H104" s="393">
        <v>1</v>
      </c>
      <c r="I104" s="393">
        <v>0</v>
      </c>
      <c r="J104" s="781">
        <v>0</v>
      </c>
      <c r="K104"/>
      <c r="L104"/>
      <c r="M104"/>
      <c r="N104" s="34"/>
      <c r="O104" s="1"/>
      <c r="P104" s="1"/>
      <c r="Q104" s="1"/>
      <c r="R104" s="1"/>
      <c r="S104"/>
      <c r="T104"/>
      <c r="U104"/>
      <c r="V104"/>
      <c r="W104"/>
      <c r="X104"/>
      <c r="Y104"/>
      <c r="Z104"/>
      <c r="AA104"/>
      <c r="AB104"/>
      <c r="AC104"/>
      <c r="AD104"/>
      <c r="AE104"/>
      <c r="AF104"/>
      <c r="AG104"/>
      <c r="AH104"/>
      <c r="AI104"/>
      <c r="AJ104"/>
      <c r="AK104"/>
      <c r="AL104"/>
      <c r="AN104" s="443"/>
      <c r="AO104" s="1"/>
      <c r="AP104" s="1"/>
      <c r="AQ104" s="1"/>
      <c r="AR104" s="1"/>
      <c r="AS104" s="1"/>
      <c r="AT104" s="1"/>
      <c r="AU104" s="1"/>
    </row>
    <row r="105" spans="2:47" ht="34" hidden="1" customHeight="1" outlineLevel="1" x14ac:dyDescent="0.2">
      <c r="B105" s="501" t="s">
        <v>1447</v>
      </c>
      <c r="C105" s="503" t="s">
        <v>1442</v>
      </c>
      <c r="D105" s="502">
        <v>41101</v>
      </c>
      <c r="E105" s="503">
        <v>50</v>
      </c>
      <c r="F105" s="503">
        <v>1287</v>
      </c>
      <c r="G105" s="502" t="s">
        <v>1445</v>
      </c>
      <c r="H105" s="393">
        <v>1</v>
      </c>
      <c r="I105" s="393">
        <v>0</v>
      </c>
      <c r="J105" s="781">
        <v>0</v>
      </c>
      <c r="K105"/>
      <c r="L105"/>
      <c r="M105"/>
      <c r="N105" s="34"/>
      <c r="O105" s="1"/>
      <c r="P105" s="1"/>
      <c r="Q105" s="1"/>
      <c r="R105" s="1"/>
      <c r="S105"/>
      <c r="T105"/>
      <c r="U105"/>
      <c r="V105"/>
      <c r="W105"/>
      <c r="X105"/>
      <c r="Y105"/>
      <c r="Z105"/>
      <c r="AA105"/>
      <c r="AB105"/>
      <c r="AC105"/>
      <c r="AD105"/>
      <c r="AE105"/>
      <c r="AF105"/>
      <c r="AG105"/>
      <c r="AH105"/>
      <c r="AI105"/>
      <c r="AJ105"/>
      <c r="AK105"/>
      <c r="AL105"/>
      <c r="AN105" s="443"/>
      <c r="AO105" s="1"/>
      <c r="AP105" s="1"/>
      <c r="AQ105" s="1"/>
      <c r="AR105" s="1"/>
      <c r="AS105" s="1"/>
      <c r="AT105" s="1"/>
      <c r="AU105" s="1"/>
    </row>
    <row r="106" spans="2:47" ht="34" hidden="1" customHeight="1" outlineLevel="1" x14ac:dyDescent="0.2">
      <c r="B106" s="501" t="s">
        <v>1448</v>
      </c>
      <c r="C106" s="503" t="s">
        <v>1442</v>
      </c>
      <c r="D106" s="502">
        <v>18604</v>
      </c>
      <c r="E106" s="503">
        <v>50</v>
      </c>
      <c r="F106" s="503">
        <v>960</v>
      </c>
      <c r="G106" s="502" t="s">
        <v>1446</v>
      </c>
      <c r="H106" s="393">
        <v>1</v>
      </c>
      <c r="I106" s="393">
        <v>0</v>
      </c>
      <c r="J106" s="781">
        <v>0</v>
      </c>
      <c r="K106"/>
      <c r="L106"/>
      <c r="M106"/>
      <c r="N106" s="34"/>
      <c r="O106" s="1"/>
      <c r="P106" s="1"/>
      <c r="Q106" s="1"/>
      <c r="R106" s="1"/>
      <c r="S106"/>
      <c r="T106"/>
      <c r="U106"/>
      <c r="V106"/>
      <c r="W106"/>
      <c r="X106"/>
      <c r="Y106"/>
      <c r="Z106"/>
      <c r="AA106"/>
      <c r="AB106"/>
      <c r="AC106"/>
      <c r="AD106"/>
      <c r="AE106"/>
      <c r="AF106"/>
      <c r="AG106"/>
      <c r="AH106"/>
      <c r="AI106"/>
      <c r="AJ106"/>
      <c r="AK106"/>
      <c r="AL106"/>
      <c r="AN106" s="443"/>
      <c r="AO106" s="1"/>
      <c r="AP106" s="1"/>
      <c r="AQ106" s="1"/>
      <c r="AR106" s="1"/>
      <c r="AS106" s="1"/>
      <c r="AT106" s="1"/>
      <c r="AU106" s="1"/>
    </row>
    <row r="107" spans="2:47" ht="34" hidden="1" customHeight="1" outlineLevel="1" x14ac:dyDescent="0.2">
      <c r="B107" s="501" t="s">
        <v>1448</v>
      </c>
      <c r="C107" s="503" t="s">
        <v>1442</v>
      </c>
      <c r="D107" s="502">
        <v>11000</v>
      </c>
      <c r="E107" s="503">
        <v>50</v>
      </c>
      <c r="F107" s="503">
        <v>922</v>
      </c>
      <c r="G107" s="502" t="s">
        <v>1446</v>
      </c>
      <c r="H107" s="393">
        <v>1</v>
      </c>
      <c r="I107" s="393">
        <v>0</v>
      </c>
      <c r="J107" s="781">
        <v>0</v>
      </c>
      <c r="K107"/>
      <c r="L107"/>
      <c r="M107"/>
      <c r="N107" s="34"/>
      <c r="O107" s="1"/>
      <c r="P107" s="1"/>
      <c r="Q107" s="1"/>
      <c r="R107" s="1"/>
      <c r="S107"/>
      <c r="T107"/>
      <c r="U107"/>
      <c r="V107"/>
      <c r="W107"/>
      <c r="X107"/>
      <c r="Y107"/>
      <c r="Z107"/>
      <c r="AA107"/>
      <c r="AB107"/>
      <c r="AC107"/>
      <c r="AD107"/>
      <c r="AE107"/>
      <c r="AF107"/>
      <c r="AG107"/>
      <c r="AH107"/>
      <c r="AI107"/>
      <c r="AJ107"/>
      <c r="AK107"/>
      <c r="AL107"/>
      <c r="AN107" s="443"/>
      <c r="AO107" s="1"/>
      <c r="AP107" s="1"/>
      <c r="AQ107" s="1"/>
      <c r="AR107" s="1"/>
      <c r="AS107" s="1"/>
      <c r="AT107" s="1"/>
      <c r="AU107" s="1"/>
    </row>
    <row r="108" spans="2:47" ht="34" hidden="1" customHeight="1" outlineLevel="1" x14ac:dyDescent="0.2">
      <c r="B108" s="501" t="s">
        <v>1449</v>
      </c>
      <c r="C108" s="503" t="s">
        <v>1442</v>
      </c>
      <c r="D108" s="502">
        <v>17596.849999999999</v>
      </c>
      <c r="E108" s="503">
        <v>50</v>
      </c>
      <c r="F108" s="503">
        <v>870</v>
      </c>
      <c r="G108" s="502" t="s">
        <v>1446</v>
      </c>
      <c r="H108" s="393">
        <v>1</v>
      </c>
      <c r="I108" s="393">
        <v>0</v>
      </c>
      <c r="J108" s="781">
        <v>0</v>
      </c>
      <c r="K108"/>
      <c r="L108"/>
      <c r="M108"/>
      <c r="N108" s="34"/>
      <c r="O108" s="1"/>
      <c r="P108" s="1"/>
      <c r="Q108" s="1"/>
      <c r="R108" s="1"/>
      <c r="S108"/>
      <c r="T108"/>
      <c r="U108"/>
      <c r="V108"/>
      <c r="W108"/>
      <c r="X108"/>
      <c r="Y108"/>
      <c r="Z108"/>
      <c r="AA108"/>
      <c r="AB108"/>
      <c r="AC108"/>
      <c r="AD108"/>
      <c r="AE108"/>
      <c r="AF108"/>
      <c r="AG108"/>
      <c r="AH108"/>
      <c r="AI108"/>
      <c r="AJ108"/>
      <c r="AK108"/>
      <c r="AL108"/>
      <c r="AN108" s="443"/>
      <c r="AO108" s="1"/>
      <c r="AP108" s="1"/>
      <c r="AQ108" s="1"/>
      <c r="AR108" s="1"/>
      <c r="AS108" s="1"/>
      <c r="AT108" s="1"/>
      <c r="AU108" s="1"/>
    </row>
    <row r="109" spans="2:47" ht="34" hidden="1" customHeight="1" outlineLevel="1" x14ac:dyDescent="0.2">
      <c r="B109" s="501" t="s">
        <v>1449</v>
      </c>
      <c r="C109" s="503" t="s">
        <v>1442</v>
      </c>
      <c r="D109" s="502">
        <v>46151</v>
      </c>
      <c r="E109" s="503">
        <v>50</v>
      </c>
      <c r="F109" s="503">
        <v>585</v>
      </c>
      <c r="G109" s="502" t="s">
        <v>1446</v>
      </c>
      <c r="H109" s="393">
        <v>1</v>
      </c>
      <c r="I109" s="393">
        <v>0</v>
      </c>
      <c r="J109" s="781">
        <v>0</v>
      </c>
      <c r="K109"/>
      <c r="L109"/>
      <c r="M109"/>
      <c r="N109" s="34"/>
      <c r="O109" s="1"/>
      <c r="P109" s="1"/>
      <c r="Q109" s="1"/>
      <c r="R109" s="1"/>
      <c r="S109"/>
      <c r="T109"/>
      <c r="U109"/>
      <c r="V109"/>
      <c r="W109"/>
      <c r="X109"/>
      <c r="Y109"/>
      <c r="Z109"/>
      <c r="AA109"/>
      <c r="AB109"/>
      <c r="AC109"/>
      <c r="AD109"/>
      <c r="AE109"/>
      <c r="AF109"/>
      <c r="AG109"/>
      <c r="AH109"/>
      <c r="AI109"/>
      <c r="AJ109"/>
      <c r="AK109"/>
      <c r="AL109"/>
      <c r="AN109" s="443"/>
      <c r="AO109" s="1"/>
      <c r="AP109" s="1"/>
      <c r="AQ109" s="1"/>
      <c r="AR109" s="1"/>
      <c r="AS109" s="1"/>
      <c r="AT109" s="1"/>
      <c r="AU109" s="1"/>
    </row>
    <row r="110" spans="2:47" ht="34" hidden="1" customHeight="1" outlineLevel="1" x14ac:dyDescent="0.2">
      <c r="B110" s="501" t="s">
        <v>1449</v>
      </c>
      <c r="C110" s="503" t="s">
        <v>1442</v>
      </c>
      <c r="D110" s="502">
        <v>64020.5</v>
      </c>
      <c r="E110" s="503">
        <v>50</v>
      </c>
      <c r="F110" s="503">
        <v>799</v>
      </c>
      <c r="G110" s="502" t="s">
        <v>1446</v>
      </c>
      <c r="H110" s="393">
        <v>1</v>
      </c>
      <c r="I110" s="393">
        <v>0</v>
      </c>
      <c r="J110" s="781">
        <v>0</v>
      </c>
      <c r="K110"/>
      <c r="L110"/>
      <c r="M110"/>
      <c r="N110" s="34"/>
      <c r="O110" s="1"/>
      <c r="P110" s="1"/>
      <c r="Q110" s="1"/>
      <c r="R110" s="1"/>
      <c r="S110"/>
      <c r="T110"/>
      <c r="U110"/>
      <c r="V110"/>
      <c r="W110"/>
      <c r="X110"/>
      <c r="Y110"/>
      <c r="Z110"/>
      <c r="AA110"/>
      <c r="AB110"/>
      <c r="AC110"/>
      <c r="AD110"/>
      <c r="AE110"/>
      <c r="AF110"/>
      <c r="AG110"/>
      <c r="AH110"/>
      <c r="AI110"/>
      <c r="AJ110"/>
      <c r="AK110"/>
      <c r="AL110"/>
      <c r="AN110" s="443"/>
      <c r="AO110" s="1"/>
      <c r="AP110" s="1"/>
      <c r="AQ110" s="1"/>
      <c r="AR110" s="1"/>
      <c r="AS110" s="1"/>
      <c r="AT110" s="1"/>
      <c r="AU110" s="1"/>
    </row>
    <row r="111" spans="2:47" ht="34" hidden="1" customHeight="1" outlineLevel="1" x14ac:dyDescent="0.2">
      <c r="B111" s="501" t="s">
        <v>1449</v>
      </c>
      <c r="C111" s="503" t="s">
        <v>1442</v>
      </c>
      <c r="D111" s="502">
        <v>64020.5</v>
      </c>
      <c r="E111" s="503">
        <v>50</v>
      </c>
      <c r="F111" s="503">
        <v>1317</v>
      </c>
      <c r="G111" s="502" t="s">
        <v>1445</v>
      </c>
      <c r="H111" s="393">
        <v>1</v>
      </c>
      <c r="I111" s="393">
        <v>0</v>
      </c>
      <c r="J111" s="781">
        <v>0</v>
      </c>
      <c r="K111"/>
      <c r="L111"/>
      <c r="M111"/>
      <c r="N111" s="34"/>
      <c r="O111" s="1"/>
      <c r="P111" s="1"/>
      <c r="Q111" s="1"/>
      <c r="R111" s="1"/>
      <c r="S111"/>
      <c r="T111"/>
      <c r="U111"/>
      <c r="V111"/>
      <c r="W111"/>
      <c r="X111"/>
      <c r="Y111"/>
      <c r="Z111"/>
      <c r="AA111"/>
      <c r="AB111"/>
      <c r="AC111"/>
      <c r="AD111"/>
      <c r="AE111"/>
      <c r="AF111"/>
      <c r="AG111"/>
      <c r="AH111"/>
      <c r="AI111"/>
      <c r="AJ111"/>
      <c r="AK111"/>
      <c r="AL111"/>
      <c r="AN111" s="443"/>
      <c r="AO111" s="1"/>
      <c r="AP111" s="1"/>
      <c r="AQ111" s="1"/>
      <c r="AR111" s="1"/>
      <c r="AS111" s="1"/>
      <c r="AT111" s="1"/>
      <c r="AU111" s="1"/>
    </row>
    <row r="112" spans="2:47" ht="34" hidden="1" customHeight="1" outlineLevel="1" x14ac:dyDescent="0.2">
      <c r="B112" s="501" t="s">
        <v>1449</v>
      </c>
      <c r="C112" s="503" t="s">
        <v>1442</v>
      </c>
      <c r="D112" s="502">
        <v>46151</v>
      </c>
      <c r="E112" s="503">
        <v>50</v>
      </c>
      <c r="F112" s="503">
        <v>1453</v>
      </c>
      <c r="G112" s="502" t="s">
        <v>1445</v>
      </c>
      <c r="H112" s="393">
        <v>1</v>
      </c>
      <c r="I112" s="393">
        <v>0</v>
      </c>
      <c r="J112" s="781">
        <v>0</v>
      </c>
      <c r="K112"/>
      <c r="L112"/>
      <c r="M112"/>
      <c r="N112" s="34"/>
      <c r="O112" s="1"/>
      <c r="P112" s="1"/>
      <c r="Q112" s="1"/>
      <c r="R112" s="1"/>
      <c r="S112"/>
      <c r="T112"/>
      <c r="U112"/>
      <c r="V112"/>
      <c r="W112"/>
      <c r="X112"/>
      <c r="Y112"/>
      <c r="Z112"/>
      <c r="AA112"/>
      <c r="AB112"/>
      <c r="AC112"/>
      <c r="AD112"/>
      <c r="AE112"/>
      <c r="AF112"/>
      <c r="AG112"/>
      <c r="AH112"/>
      <c r="AI112"/>
      <c r="AJ112"/>
      <c r="AK112"/>
      <c r="AL112"/>
      <c r="AN112" s="443"/>
      <c r="AO112" s="1"/>
      <c r="AP112" s="1"/>
      <c r="AQ112" s="1"/>
      <c r="AR112" s="1"/>
      <c r="AS112" s="1"/>
      <c r="AT112" s="1"/>
      <c r="AU112" s="1"/>
    </row>
    <row r="113" spans="2:47" ht="34" hidden="1" customHeight="1" outlineLevel="1" x14ac:dyDescent="0.2">
      <c r="B113" s="501" t="s">
        <v>1449</v>
      </c>
      <c r="C113" s="503" t="s">
        <v>1442</v>
      </c>
      <c r="D113" s="502">
        <v>64020.5</v>
      </c>
      <c r="E113" s="503">
        <v>50</v>
      </c>
      <c r="F113" s="503">
        <v>1001</v>
      </c>
      <c r="G113" s="502" t="s">
        <v>1445</v>
      </c>
      <c r="H113" s="393">
        <v>1</v>
      </c>
      <c r="I113" s="393">
        <v>0</v>
      </c>
      <c r="J113" s="781">
        <v>0</v>
      </c>
      <c r="K113"/>
      <c r="L113"/>
      <c r="M113"/>
      <c r="N113" s="34"/>
      <c r="O113" s="1"/>
      <c r="P113" s="1"/>
      <c r="Q113" s="1"/>
      <c r="R113" s="1"/>
      <c r="S113"/>
      <c r="T113"/>
      <c r="U113"/>
      <c r="V113"/>
      <c r="W113"/>
      <c r="X113"/>
      <c r="Y113"/>
      <c r="Z113"/>
      <c r="AA113"/>
      <c r="AB113"/>
      <c r="AC113"/>
      <c r="AD113"/>
      <c r="AE113"/>
      <c r="AF113"/>
      <c r="AG113"/>
      <c r="AH113"/>
      <c r="AI113"/>
      <c r="AJ113"/>
      <c r="AK113"/>
      <c r="AL113"/>
      <c r="AN113" s="443"/>
      <c r="AO113" s="1"/>
      <c r="AP113" s="1"/>
      <c r="AQ113" s="1"/>
      <c r="AR113" s="1"/>
      <c r="AS113" s="1"/>
      <c r="AT113" s="1"/>
      <c r="AU113" s="1"/>
    </row>
    <row r="114" spans="2:47" ht="34" hidden="1" customHeight="1" outlineLevel="1" x14ac:dyDescent="0.2">
      <c r="B114" s="501" t="s">
        <v>1449</v>
      </c>
      <c r="C114" s="503" t="s">
        <v>1442</v>
      </c>
      <c r="D114" s="502">
        <v>48580</v>
      </c>
      <c r="E114" s="503">
        <v>50</v>
      </c>
      <c r="F114" s="503">
        <v>684</v>
      </c>
      <c r="G114" s="502" t="s">
        <v>1446</v>
      </c>
      <c r="H114" s="393">
        <v>1</v>
      </c>
      <c r="I114" s="393">
        <v>0</v>
      </c>
      <c r="J114" s="781">
        <v>0</v>
      </c>
      <c r="K114"/>
      <c r="L114"/>
      <c r="M114"/>
      <c r="N114" s="34"/>
      <c r="O114" s="1"/>
      <c r="P114" s="1"/>
      <c r="Q114" s="1"/>
      <c r="R114" s="1"/>
      <c r="S114"/>
      <c r="T114"/>
      <c r="U114"/>
      <c r="V114"/>
      <c r="W114"/>
      <c r="X114"/>
      <c r="Y114"/>
      <c r="Z114"/>
      <c r="AA114"/>
      <c r="AB114"/>
      <c r="AC114"/>
      <c r="AD114"/>
      <c r="AE114"/>
      <c r="AF114"/>
      <c r="AG114"/>
      <c r="AH114"/>
      <c r="AI114"/>
      <c r="AJ114"/>
      <c r="AK114"/>
      <c r="AL114"/>
      <c r="AN114" s="443"/>
      <c r="AO114" s="1"/>
      <c r="AP114" s="1"/>
      <c r="AQ114" s="1"/>
      <c r="AR114" s="1"/>
      <c r="AS114" s="1"/>
      <c r="AT114" s="1"/>
      <c r="AU114" s="1"/>
    </row>
    <row r="115" spans="2:47" ht="34" hidden="1" customHeight="1" outlineLevel="1" x14ac:dyDescent="0.2">
      <c r="B115" s="501" t="s">
        <v>1450</v>
      </c>
      <c r="C115" s="503" t="s">
        <v>1442</v>
      </c>
      <c r="D115" s="502">
        <v>11000</v>
      </c>
      <c r="E115" s="513">
        <v>30</v>
      </c>
      <c r="F115" s="513">
        <v>1171</v>
      </c>
      <c r="G115" s="504" t="s">
        <v>1445</v>
      </c>
      <c r="H115" s="393">
        <v>1</v>
      </c>
      <c r="I115" s="393">
        <v>0</v>
      </c>
      <c r="J115" s="781">
        <v>0</v>
      </c>
      <c r="K115"/>
      <c r="L115"/>
      <c r="M115"/>
      <c r="N115" s="34"/>
      <c r="O115" s="1"/>
      <c r="P115" s="1"/>
      <c r="Q115" s="1"/>
      <c r="R115" s="1"/>
      <c r="S115"/>
      <c r="T115"/>
      <c r="U115"/>
      <c r="V115"/>
      <c r="W115"/>
      <c r="X115"/>
      <c r="Y115"/>
      <c r="Z115"/>
      <c r="AA115"/>
      <c r="AB115"/>
      <c r="AC115"/>
      <c r="AD115"/>
      <c r="AE115"/>
      <c r="AF115"/>
      <c r="AG115"/>
      <c r="AH115"/>
      <c r="AI115"/>
      <c r="AJ115"/>
      <c r="AK115"/>
      <c r="AL115"/>
      <c r="AN115" s="443"/>
      <c r="AO115" s="1"/>
      <c r="AP115" s="1"/>
      <c r="AQ115" s="1"/>
      <c r="AR115" s="1"/>
      <c r="AS115" s="1"/>
      <c r="AT115" s="1"/>
      <c r="AU115" s="1"/>
    </row>
    <row r="116" spans="2:47" ht="34" hidden="1" customHeight="1" outlineLevel="1" x14ac:dyDescent="0.2">
      <c r="B116" s="501" t="s">
        <v>1450</v>
      </c>
      <c r="C116" s="503" t="s">
        <v>1442</v>
      </c>
      <c r="D116" s="502">
        <v>11000</v>
      </c>
      <c r="E116" s="513">
        <v>30</v>
      </c>
      <c r="F116" s="513">
        <v>345</v>
      </c>
      <c r="G116" s="504" t="s">
        <v>1446</v>
      </c>
      <c r="H116" s="393">
        <v>1</v>
      </c>
      <c r="I116" s="393">
        <v>0</v>
      </c>
      <c r="J116" s="781">
        <v>0</v>
      </c>
      <c r="K116"/>
      <c r="L116"/>
      <c r="M116"/>
      <c r="N116" s="34"/>
      <c r="O116" s="1"/>
      <c r="P116" s="1"/>
      <c r="Q116" s="1"/>
      <c r="R116" s="1"/>
      <c r="S116"/>
      <c r="T116"/>
      <c r="U116"/>
      <c r="V116"/>
      <c r="W116"/>
      <c r="X116"/>
      <c r="Y116"/>
      <c r="Z116"/>
      <c r="AA116"/>
      <c r="AB116"/>
      <c r="AC116"/>
      <c r="AD116"/>
      <c r="AE116"/>
      <c r="AF116"/>
      <c r="AG116"/>
      <c r="AH116"/>
      <c r="AI116"/>
      <c r="AJ116"/>
      <c r="AK116"/>
      <c r="AL116"/>
      <c r="AN116" s="443"/>
      <c r="AO116" s="1"/>
      <c r="AP116" s="1"/>
      <c r="AQ116" s="1"/>
      <c r="AR116" s="1"/>
      <c r="AS116" s="1"/>
      <c r="AT116" s="1"/>
      <c r="AU116" s="1"/>
    </row>
    <row r="117" spans="2:47" ht="34" hidden="1" customHeight="1" outlineLevel="1" x14ac:dyDescent="0.2">
      <c r="B117" s="501" t="s">
        <v>1450</v>
      </c>
      <c r="C117" s="503" t="s">
        <v>1442</v>
      </c>
      <c r="D117" s="502">
        <v>11000</v>
      </c>
      <c r="E117" s="513">
        <v>30</v>
      </c>
      <c r="F117" s="513">
        <v>735</v>
      </c>
      <c r="G117" s="504" t="s">
        <v>1446</v>
      </c>
      <c r="H117" s="393">
        <v>1</v>
      </c>
      <c r="I117" s="393">
        <v>0</v>
      </c>
      <c r="J117" s="781">
        <v>0</v>
      </c>
      <c r="K117"/>
      <c r="L117"/>
      <c r="M117"/>
      <c r="N117" s="34"/>
      <c r="O117" s="1"/>
      <c r="P117" s="1"/>
      <c r="Q117" s="1"/>
      <c r="R117" s="1"/>
      <c r="S117"/>
      <c r="T117"/>
      <c r="U117"/>
      <c r="V117"/>
      <c r="W117"/>
      <c r="X117"/>
      <c r="Y117"/>
      <c r="Z117"/>
      <c r="AA117"/>
      <c r="AB117"/>
      <c r="AC117"/>
      <c r="AD117"/>
      <c r="AE117"/>
      <c r="AF117"/>
      <c r="AG117"/>
      <c r="AH117"/>
      <c r="AI117"/>
      <c r="AJ117"/>
      <c r="AK117"/>
      <c r="AL117"/>
      <c r="AN117" s="443"/>
      <c r="AO117" s="1"/>
      <c r="AP117" s="1"/>
      <c r="AQ117" s="1"/>
      <c r="AR117" s="1"/>
      <c r="AS117" s="1"/>
      <c r="AT117" s="1"/>
      <c r="AU117" s="1"/>
    </row>
    <row r="118" spans="2:47" ht="34" hidden="1" customHeight="1" outlineLevel="1" x14ac:dyDescent="0.2">
      <c r="B118" s="501" t="s">
        <v>1450</v>
      </c>
      <c r="C118" s="503" t="s">
        <v>1442</v>
      </c>
      <c r="D118" s="502">
        <v>11000</v>
      </c>
      <c r="E118" s="513">
        <v>30</v>
      </c>
      <c r="F118" s="513">
        <v>1531</v>
      </c>
      <c r="G118" s="504" t="s">
        <v>1445</v>
      </c>
      <c r="H118" s="393">
        <v>1</v>
      </c>
      <c r="I118" s="393">
        <v>0</v>
      </c>
      <c r="J118" s="781">
        <v>0</v>
      </c>
      <c r="K118"/>
      <c r="L118"/>
      <c r="M118"/>
      <c r="N118" s="34"/>
      <c r="O118" s="1"/>
      <c r="P118" s="1"/>
      <c r="Q118" s="1"/>
      <c r="R118" s="1"/>
      <c r="S118"/>
      <c r="T118"/>
      <c r="U118"/>
      <c r="V118"/>
      <c r="W118"/>
      <c r="X118"/>
      <c r="Y118"/>
      <c r="Z118"/>
      <c r="AA118"/>
      <c r="AB118"/>
      <c r="AC118"/>
      <c r="AD118"/>
      <c r="AE118"/>
      <c r="AF118"/>
      <c r="AG118"/>
      <c r="AH118"/>
      <c r="AI118"/>
      <c r="AJ118"/>
      <c r="AK118"/>
      <c r="AL118"/>
      <c r="AN118" s="443"/>
      <c r="AO118" s="1"/>
      <c r="AP118" s="1"/>
      <c r="AQ118" s="1"/>
      <c r="AR118" s="1"/>
      <c r="AS118" s="1"/>
      <c r="AT118" s="1"/>
      <c r="AU118" s="1"/>
    </row>
    <row r="119" spans="2:47" ht="34" hidden="1" customHeight="1" outlineLevel="1" x14ac:dyDescent="0.2">
      <c r="B119" s="501" t="s">
        <v>1450</v>
      </c>
      <c r="C119" s="503" t="s">
        <v>1442</v>
      </c>
      <c r="D119" s="502">
        <v>11000</v>
      </c>
      <c r="E119" s="513">
        <v>30</v>
      </c>
      <c r="F119" s="513">
        <v>341</v>
      </c>
      <c r="G119" s="504" t="s">
        <v>1446</v>
      </c>
      <c r="H119" s="393">
        <v>1</v>
      </c>
      <c r="I119" s="393">
        <v>0</v>
      </c>
      <c r="J119" s="781">
        <v>0</v>
      </c>
      <c r="K119"/>
      <c r="L119"/>
      <c r="M119"/>
      <c r="N119" s="34"/>
      <c r="O119" s="1"/>
      <c r="P119" s="1"/>
      <c r="Q119" s="1"/>
      <c r="R119" s="1"/>
      <c r="S119"/>
      <c r="T119"/>
      <c r="U119"/>
      <c r="V119"/>
      <c r="W119"/>
      <c r="X119"/>
      <c r="Y119"/>
      <c r="Z119"/>
      <c r="AA119"/>
      <c r="AB119"/>
      <c r="AC119"/>
      <c r="AD119"/>
      <c r="AE119"/>
      <c r="AF119"/>
      <c r="AG119"/>
      <c r="AH119"/>
      <c r="AI119"/>
      <c r="AJ119"/>
      <c r="AK119"/>
      <c r="AL119"/>
      <c r="AN119" s="443"/>
      <c r="AO119" s="1"/>
      <c r="AP119" s="1"/>
      <c r="AQ119" s="1"/>
      <c r="AR119" s="1"/>
      <c r="AS119" s="1"/>
      <c r="AT119" s="1"/>
      <c r="AU119" s="1"/>
    </row>
    <row r="120" spans="2:47" ht="34" hidden="1" customHeight="1" outlineLevel="1" x14ac:dyDescent="0.2">
      <c r="B120" s="501" t="s">
        <v>1450</v>
      </c>
      <c r="C120" s="503" t="s">
        <v>1442</v>
      </c>
      <c r="D120" s="502">
        <v>11000</v>
      </c>
      <c r="E120" s="513">
        <v>30</v>
      </c>
      <c r="F120" s="513">
        <v>1052</v>
      </c>
      <c r="G120" s="504" t="s">
        <v>1445</v>
      </c>
      <c r="H120" s="393">
        <v>1</v>
      </c>
      <c r="I120" s="393">
        <v>0</v>
      </c>
      <c r="J120" s="781">
        <v>0</v>
      </c>
      <c r="K120"/>
      <c r="L120"/>
      <c r="M120"/>
      <c r="N120" s="34"/>
      <c r="O120" s="1"/>
      <c r="P120" s="1"/>
      <c r="Q120" s="1"/>
      <c r="R120" s="1"/>
      <c r="S120"/>
      <c r="T120"/>
      <c r="U120"/>
      <c r="V120"/>
      <c r="W120"/>
      <c r="X120"/>
      <c r="Y120"/>
      <c r="Z120"/>
      <c r="AA120"/>
      <c r="AB120"/>
      <c r="AC120"/>
      <c r="AD120"/>
      <c r="AE120"/>
      <c r="AF120"/>
      <c r="AG120"/>
      <c r="AH120"/>
      <c r="AI120"/>
      <c r="AJ120"/>
      <c r="AK120"/>
      <c r="AL120"/>
      <c r="AN120" s="443"/>
      <c r="AO120" s="1"/>
      <c r="AP120" s="1"/>
      <c r="AQ120" s="1"/>
      <c r="AR120" s="1"/>
      <c r="AS120" s="1"/>
      <c r="AT120" s="1"/>
      <c r="AU120" s="1"/>
    </row>
    <row r="121" spans="2:47" ht="34" hidden="1" customHeight="1" outlineLevel="1" x14ac:dyDescent="0.2">
      <c r="B121" s="501" t="s">
        <v>1450</v>
      </c>
      <c r="C121" s="503" t="s">
        <v>1442</v>
      </c>
      <c r="D121" s="502">
        <v>11000</v>
      </c>
      <c r="E121" s="513">
        <v>30</v>
      </c>
      <c r="F121" s="513">
        <v>235</v>
      </c>
      <c r="G121" s="504" t="s">
        <v>1446</v>
      </c>
      <c r="H121" s="393">
        <v>1</v>
      </c>
      <c r="I121" s="393">
        <v>0</v>
      </c>
      <c r="J121" s="781">
        <v>0</v>
      </c>
      <c r="K121"/>
      <c r="L121"/>
      <c r="M121"/>
      <c r="N121" s="34"/>
      <c r="O121" s="1"/>
      <c r="P121" s="1"/>
      <c r="Q121" s="1"/>
      <c r="R121" s="1"/>
      <c r="S121"/>
      <c r="T121"/>
      <c r="U121"/>
      <c r="V121"/>
      <c r="W121"/>
      <c r="X121"/>
      <c r="Y121"/>
      <c r="Z121"/>
      <c r="AA121"/>
      <c r="AB121"/>
      <c r="AC121"/>
      <c r="AD121"/>
      <c r="AE121"/>
      <c r="AF121"/>
      <c r="AG121"/>
      <c r="AH121"/>
      <c r="AI121"/>
      <c r="AJ121"/>
      <c r="AK121"/>
      <c r="AL121"/>
      <c r="AN121" s="443"/>
      <c r="AO121" s="1"/>
      <c r="AP121" s="1"/>
      <c r="AQ121" s="1"/>
      <c r="AR121" s="1"/>
      <c r="AS121" s="1"/>
      <c r="AT121" s="1"/>
      <c r="AU121" s="1"/>
    </row>
    <row r="122" spans="2:47" ht="34" hidden="1" customHeight="1" outlineLevel="1" x14ac:dyDescent="0.2">
      <c r="B122" s="501" t="s">
        <v>1450</v>
      </c>
      <c r="C122" s="503" t="s">
        <v>1442</v>
      </c>
      <c r="D122" s="502">
        <v>11000</v>
      </c>
      <c r="E122" s="513">
        <v>30</v>
      </c>
      <c r="F122" s="513">
        <v>735</v>
      </c>
      <c r="G122" s="504" t="s">
        <v>1446</v>
      </c>
      <c r="H122" s="393">
        <v>1</v>
      </c>
      <c r="I122" s="393">
        <v>0</v>
      </c>
      <c r="J122" s="781">
        <v>0</v>
      </c>
      <c r="K122"/>
      <c r="L122"/>
      <c r="M122"/>
      <c r="N122" s="34"/>
      <c r="O122" s="1"/>
      <c r="P122" s="1"/>
      <c r="Q122" s="1"/>
      <c r="R122" s="1"/>
      <c r="S122"/>
      <c r="T122"/>
      <c r="U122"/>
      <c r="V122"/>
      <c r="W122"/>
      <c r="X122"/>
      <c r="Y122"/>
      <c r="Z122"/>
      <c r="AA122"/>
      <c r="AB122"/>
      <c r="AC122"/>
      <c r="AD122"/>
      <c r="AE122"/>
      <c r="AF122"/>
      <c r="AG122"/>
      <c r="AH122"/>
      <c r="AI122"/>
      <c r="AJ122"/>
      <c r="AK122"/>
      <c r="AL122"/>
      <c r="AN122" s="443"/>
      <c r="AO122" s="1"/>
      <c r="AP122" s="1"/>
      <c r="AQ122" s="1"/>
      <c r="AR122" s="1"/>
      <c r="AS122" s="1"/>
      <c r="AT122" s="1"/>
      <c r="AU122" s="1"/>
    </row>
    <row r="123" spans="2:47" ht="34" hidden="1" customHeight="1" outlineLevel="1" x14ac:dyDescent="0.2">
      <c r="B123" s="501" t="s">
        <v>1450</v>
      </c>
      <c r="C123" s="503" t="s">
        <v>1442</v>
      </c>
      <c r="D123" s="502">
        <v>11000</v>
      </c>
      <c r="E123" s="513">
        <v>30</v>
      </c>
      <c r="F123" s="513">
        <v>714</v>
      </c>
      <c r="G123" s="504" t="s">
        <v>1446</v>
      </c>
      <c r="H123" s="393">
        <v>1</v>
      </c>
      <c r="I123" s="393">
        <v>0</v>
      </c>
      <c r="J123" s="781">
        <v>0</v>
      </c>
      <c r="K123"/>
      <c r="L123"/>
      <c r="M123"/>
      <c r="N123" s="34"/>
      <c r="O123" s="1"/>
      <c r="P123" s="1"/>
      <c r="Q123" s="1"/>
      <c r="R123" s="1"/>
      <c r="S123"/>
      <c r="T123"/>
      <c r="U123"/>
      <c r="V123"/>
      <c r="W123"/>
      <c r="X123"/>
      <c r="Y123"/>
      <c r="Z123"/>
      <c r="AA123"/>
      <c r="AB123"/>
      <c r="AC123"/>
      <c r="AD123"/>
      <c r="AE123"/>
      <c r="AF123"/>
      <c r="AG123"/>
      <c r="AH123"/>
      <c r="AI123"/>
      <c r="AJ123"/>
      <c r="AK123"/>
      <c r="AL123"/>
      <c r="AN123" s="443"/>
      <c r="AO123" s="1"/>
      <c r="AP123" s="1"/>
      <c r="AQ123" s="1"/>
      <c r="AR123" s="1"/>
      <c r="AS123" s="1"/>
      <c r="AT123" s="1"/>
      <c r="AU123" s="1"/>
    </row>
    <row r="124" spans="2:47" ht="34" hidden="1" customHeight="1" outlineLevel="1" x14ac:dyDescent="0.2">
      <c r="B124" s="515" t="s">
        <v>1451</v>
      </c>
      <c r="C124" s="76" t="s">
        <v>1442</v>
      </c>
      <c r="D124" s="516">
        <v>31788</v>
      </c>
      <c r="E124" s="513">
        <v>50</v>
      </c>
      <c r="F124" s="513">
        <v>2291</v>
      </c>
      <c r="G124" s="504" t="s">
        <v>1445</v>
      </c>
      <c r="H124" s="393">
        <v>1</v>
      </c>
      <c r="I124" s="393">
        <v>0</v>
      </c>
      <c r="J124" s="781">
        <v>0</v>
      </c>
      <c r="K124"/>
      <c r="L124"/>
      <c r="M124"/>
      <c r="N124" s="34"/>
      <c r="O124" s="1"/>
      <c r="P124" s="1"/>
      <c r="Q124" s="1"/>
      <c r="R124" s="1"/>
      <c r="S124"/>
      <c r="T124"/>
      <c r="U124"/>
      <c r="V124"/>
      <c r="W124"/>
      <c r="X124"/>
      <c r="Y124"/>
      <c r="Z124"/>
      <c r="AA124"/>
      <c r="AB124"/>
      <c r="AC124"/>
      <c r="AD124"/>
      <c r="AE124"/>
      <c r="AF124"/>
      <c r="AG124"/>
      <c r="AH124"/>
      <c r="AI124"/>
      <c r="AJ124"/>
      <c r="AK124"/>
      <c r="AL124"/>
      <c r="AN124" s="443"/>
      <c r="AO124" s="1"/>
      <c r="AP124" s="1"/>
      <c r="AQ124" s="1"/>
      <c r="AR124" s="1"/>
      <c r="AS124" s="1"/>
      <c r="AT124" s="1"/>
      <c r="AU124" s="1"/>
    </row>
    <row r="125" spans="2:47" ht="34" hidden="1" customHeight="1" outlineLevel="1" x14ac:dyDescent="0.2">
      <c r="B125" s="515" t="s">
        <v>1451</v>
      </c>
      <c r="C125" s="76" t="s">
        <v>1442</v>
      </c>
      <c r="D125" s="516">
        <v>16670.7</v>
      </c>
      <c r="E125" s="513">
        <v>50</v>
      </c>
      <c r="F125" s="513">
        <v>995</v>
      </c>
      <c r="G125" s="504" t="s">
        <v>1446</v>
      </c>
      <c r="H125" s="393">
        <v>1</v>
      </c>
      <c r="I125" s="393">
        <v>0</v>
      </c>
      <c r="J125" s="781">
        <v>0</v>
      </c>
      <c r="K125"/>
      <c r="L125"/>
      <c r="M125"/>
      <c r="N125" s="34"/>
      <c r="O125" s="1"/>
      <c r="P125" s="1"/>
      <c r="Q125" s="1"/>
      <c r="R125" s="1"/>
      <c r="S125"/>
      <c r="T125"/>
      <c r="U125"/>
      <c r="V125"/>
      <c r="W125"/>
      <c r="X125"/>
      <c r="Y125"/>
      <c r="Z125"/>
      <c r="AA125"/>
      <c r="AB125"/>
      <c r="AC125"/>
      <c r="AD125"/>
      <c r="AE125"/>
      <c r="AF125"/>
      <c r="AG125"/>
      <c r="AH125"/>
      <c r="AI125"/>
      <c r="AJ125"/>
      <c r="AK125"/>
      <c r="AL125"/>
      <c r="AN125" s="443"/>
      <c r="AO125" s="1"/>
      <c r="AP125" s="1"/>
      <c r="AQ125" s="1"/>
      <c r="AR125" s="1"/>
      <c r="AS125" s="1"/>
      <c r="AT125" s="1"/>
      <c r="AU125" s="1"/>
    </row>
    <row r="126" spans="2:47" ht="34" hidden="1" customHeight="1" outlineLevel="1" x14ac:dyDescent="0.2">
      <c r="B126" s="515" t="s">
        <v>1451</v>
      </c>
      <c r="C126" s="76" t="s">
        <v>1442</v>
      </c>
      <c r="D126" s="516">
        <v>26800.2</v>
      </c>
      <c r="E126" s="513">
        <v>50</v>
      </c>
      <c r="F126" s="513">
        <v>2330</v>
      </c>
      <c r="G126" s="504" t="s">
        <v>1445</v>
      </c>
      <c r="H126" s="393">
        <v>1</v>
      </c>
      <c r="I126" s="393">
        <v>0</v>
      </c>
      <c r="J126" s="781">
        <v>0</v>
      </c>
      <c r="K126"/>
      <c r="L126"/>
      <c r="M126"/>
      <c r="N126" s="34"/>
      <c r="O126" s="1"/>
      <c r="P126" s="1"/>
      <c r="Q126" s="1"/>
      <c r="R126" s="1"/>
      <c r="S126"/>
      <c r="T126"/>
      <c r="U126"/>
      <c r="V126"/>
      <c r="W126"/>
      <c r="X126"/>
      <c r="Y126"/>
      <c r="Z126"/>
      <c r="AA126"/>
      <c r="AB126"/>
      <c r="AC126"/>
      <c r="AD126"/>
      <c r="AE126"/>
      <c r="AF126"/>
      <c r="AG126"/>
      <c r="AH126"/>
      <c r="AI126"/>
      <c r="AJ126"/>
      <c r="AK126"/>
      <c r="AL126"/>
      <c r="AN126" s="443"/>
      <c r="AO126" s="1"/>
      <c r="AP126" s="1"/>
      <c r="AQ126" s="1"/>
      <c r="AR126" s="1"/>
      <c r="AS126" s="1"/>
      <c r="AT126" s="1"/>
      <c r="AU126" s="1"/>
    </row>
    <row r="127" spans="2:47" ht="34" hidden="1" customHeight="1" outlineLevel="1" x14ac:dyDescent="0.2">
      <c r="B127" s="515" t="s">
        <v>1451</v>
      </c>
      <c r="C127" s="76" t="s">
        <v>1442</v>
      </c>
      <c r="D127" s="516">
        <v>31788</v>
      </c>
      <c r="E127" s="513">
        <v>50</v>
      </c>
      <c r="F127" s="513">
        <v>710</v>
      </c>
      <c r="G127" s="504" t="s">
        <v>1446</v>
      </c>
      <c r="H127" s="393">
        <v>1</v>
      </c>
      <c r="I127" s="393">
        <v>0</v>
      </c>
      <c r="J127" s="781">
        <v>0</v>
      </c>
      <c r="K127"/>
      <c r="L127"/>
      <c r="M127"/>
      <c r="N127" s="34"/>
      <c r="O127" s="1"/>
      <c r="P127" s="1"/>
      <c r="Q127" s="1"/>
      <c r="R127" s="1"/>
      <c r="S127"/>
      <c r="T127"/>
      <c r="U127"/>
      <c r="V127"/>
      <c r="W127"/>
      <c r="X127"/>
      <c r="Y127"/>
      <c r="Z127"/>
      <c r="AA127"/>
      <c r="AB127"/>
      <c r="AC127"/>
      <c r="AD127"/>
      <c r="AE127"/>
      <c r="AF127"/>
      <c r="AG127"/>
      <c r="AH127"/>
      <c r="AI127"/>
      <c r="AJ127"/>
      <c r="AK127"/>
      <c r="AL127"/>
      <c r="AN127" s="443"/>
      <c r="AO127" s="1"/>
      <c r="AP127" s="1"/>
      <c r="AQ127" s="1"/>
      <c r="AR127" s="1"/>
      <c r="AS127" s="1"/>
      <c r="AT127" s="1"/>
      <c r="AU127" s="1"/>
    </row>
    <row r="128" spans="2:47" ht="34" hidden="1" customHeight="1" outlineLevel="1" x14ac:dyDescent="0.2">
      <c r="B128" s="515" t="s">
        <v>1451</v>
      </c>
      <c r="C128" s="76" t="s">
        <v>1442</v>
      </c>
      <c r="D128" s="516">
        <v>26800.2</v>
      </c>
      <c r="E128" s="513">
        <v>50</v>
      </c>
      <c r="F128" s="513">
        <v>3246</v>
      </c>
      <c r="G128" s="504" t="s">
        <v>1445</v>
      </c>
      <c r="H128" s="393">
        <v>1</v>
      </c>
      <c r="I128" s="393">
        <v>0</v>
      </c>
      <c r="J128" s="781">
        <v>0</v>
      </c>
      <c r="K128"/>
      <c r="L128"/>
      <c r="M128"/>
      <c r="N128" s="34"/>
      <c r="O128" s="1"/>
      <c r="P128" s="1"/>
      <c r="Q128" s="1"/>
      <c r="R128" s="1"/>
      <c r="S128"/>
      <c r="T128"/>
      <c r="U128"/>
      <c r="V128"/>
      <c r="W128"/>
      <c r="X128"/>
      <c r="Y128"/>
      <c r="Z128"/>
      <c r="AA128"/>
      <c r="AB128"/>
      <c r="AC128"/>
      <c r="AD128"/>
      <c r="AE128"/>
      <c r="AF128"/>
      <c r="AG128"/>
      <c r="AH128"/>
      <c r="AI128"/>
      <c r="AJ128"/>
      <c r="AK128"/>
      <c r="AL128"/>
      <c r="AN128" s="443"/>
      <c r="AO128" s="1"/>
      <c r="AP128" s="1"/>
      <c r="AQ128" s="1"/>
      <c r="AR128" s="1"/>
      <c r="AS128" s="1"/>
      <c r="AT128" s="1"/>
      <c r="AU128" s="1"/>
    </row>
    <row r="129" spans="2:47" ht="34" hidden="1" customHeight="1" outlineLevel="1" x14ac:dyDescent="0.2">
      <c r="B129" s="515" t="s">
        <v>1451</v>
      </c>
      <c r="C129" s="76" t="s">
        <v>1442</v>
      </c>
      <c r="D129" s="516">
        <v>16670.7</v>
      </c>
      <c r="E129" s="513">
        <v>50</v>
      </c>
      <c r="F129" s="513">
        <v>1044</v>
      </c>
      <c r="G129" s="504" t="s">
        <v>1445</v>
      </c>
      <c r="H129" s="393">
        <v>1</v>
      </c>
      <c r="I129" s="393">
        <v>0</v>
      </c>
      <c r="J129" s="781">
        <v>0</v>
      </c>
      <c r="K129"/>
      <c r="L129"/>
      <c r="M129"/>
      <c r="N129" s="34"/>
      <c r="O129" s="1"/>
      <c r="P129" s="1"/>
      <c r="Q129" s="1"/>
      <c r="R129" s="1"/>
      <c r="S129"/>
      <c r="T129"/>
      <c r="U129"/>
      <c r="V129"/>
      <c r="W129"/>
      <c r="X129"/>
      <c r="Y129"/>
      <c r="Z129"/>
      <c r="AA129"/>
      <c r="AB129"/>
      <c r="AC129"/>
      <c r="AD129"/>
      <c r="AE129"/>
      <c r="AF129"/>
      <c r="AG129"/>
      <c r="AH129"/>
      <c r="AI129"/>
      <c r="AJ129"/>
      <c r="AK129"/>
      <c r="AL129"/>
      <c r="AN129" s="443"/>
      <c r="AO129" s="1"/>
      <c r="AP129" s="1"/>
      <c r="AQ129" s="1"/>
      <c r="AR129" s="1"/>
      <c r="AS129" s="1"/>
      <c r="AT129" s="1"/>
      <c r="AU129" s="1"/>
    </row>
    <row r="130" spans="2:47" ht="34" hidden="1" customHeight="1" outlineLevel="1" x14ac:dyDescent="0.2">
      <c r="B130" s="515" t="s">
        <v>1451</v>
      </c>
      <c r="C130" s="76" t="s">
        <v>1442</v>
      </c>
      <c r="D130" s="516">
        <v>17596.849999999999</v>
      </c>
      <c r="E130" s="513">
        <v>50</v>
      </c>
      <c r="F130" s="513">
        <v>812</v>
      </c>
      <c r="G130" s="504" t="s">
        <v>1446</v>
      </c>
      <c r="H130" s="393">
        <v>1</v>
      </c>
      <c r="I130" s="393">
        <v>0</v>
      </c>
      <c r="J130" s="781">
        <v>0</v>
      </c>
      <c r="K130"/>
      <c r="L130"/>
      <c r="M130"/>
      <c r="N130" s="34"/>
      <c r="O130" s="1"/>
      <c r="P130" s="1"/>
      <c r="Q130" s="1"/>
      <c r="R130" s="1"/>
      <c r="S130"/>
      <c r="T130"/>
      <c r="U130"/>
      <c r="V130"/>
      <c r="W130"/>
      <c r="X130"/>
      <c r="Y130"/>
      <c r="Z130"/>
      <c r="AA130"/>
      <c r="AB130"/>
      <c r="AC130"/>
      <c r="AD130"/>
      <c r="AE130"/>
      <c r="AF130"/>
      <c r="AG130"/>
      <c r="AH130"/>
      <c r="AI130"/>
      <c r="AJ130"/>
      <c r="AK130"/>
      <c r="AL130"/>
      <c r="AN130" s="443"/>
      <c r="AO130" s="1"/>
      <c r="AP130" s="1"/>
      <c r="AQ130" s="1"/>
      <c r="AR130" s="1"/>
      <c r="AS130" s="1"/>
      <c r="AT130" s="1"/>
      <c r="AU130" s="1"/>
    </row>
    <row r="131" spans="2:47" ht="34" hidden="1" customHeight="1" outlineLevel="1" x14ac:dyDescent="0.2">
      <c r="B131" s="515" t="s">
        <v>1451</v>
      </c>
      <c r="C131" s="76" t="s">
        <v>1442</v>
      </c>
      <c r="D131" s="516">
        <v>28289.1</v>
      </c>
      <c r="E131" s="513">
        <v>50</v>
      </c>
      <c r="F131" s="513">
        <v>2903</v>
      </c>
      <c r="G131" s="504" t="s">
        <v>1445</v>
      </c>
      <c r="H131" s="393">
        <v>1</v>
      </c>
      <c r="I131" s="393">
        <v>0</v>
      </c>
      <c r="J131" s="781">
        <v>0</v>
      </c>
      <c r="K131"/>
      <c r="L131"/>
      <c r="M131"/>
      <c r="N131" s="34"/>
      <c r="O131" s="1"/>
      <c r="P131" s="1"/>
      <c r="Q131" s="1"/>
      <c r="R131" s="1"/>
      <c r="S131"/>
      <c r="T131"/>
      <c r="U131"/>
      <c r="V131"/>
      <c r="W131"/>
      <c r="X131"/>
      <c r="Y131"/>
      <c r="Z131"/>
      <c r="AA131"/>
      <c r="AB131"/>
      <c r="AC131"/>
      <c r="AD131"/>
      <c r="AE131"/>
      <c r="AF131"/>
      <c r="AG131"/>
      <c r="AH131"/>
      <c r="AI131"/>
      <c r="AJ131"/>
      <c r="AK131"/>
      <c r="AL131"/>
      <c r="AN131" s="443"/>
      <c r="AO131" s="1"/>
      <c r="AP131" s="1"/>
      <c r="AQ131" s="1"/>
      <c r="AR131" s="1"/>
      <c r="AS131" s="1"/>
      <c r="AT131" s="1"/>
      <c r="AU131" s="1"/>
    </row>
    <row r="132" spans="2:47" ht="34" hidden="1" customHeight="1" outlineLevel="1" x14ac:dyDescent="0.2">
      <c r="B132" s="515" t="s">
        <v>1451</v>
      </c>
      <c r="C132" s="76" t="s">
        <v>1442</v>
      </c>
      <c r="D132" s="516">
        <v>33554</v>
      </c>
      <c r="E132" s="513">
        <v>50</v>
      </c>
      <c r="F132" s="513">
        <v>751</v>
      </c>
      <c r="G132" s="504" t="s">
        <v>1446</v>
      </c>
      <c r="H132" s="393">
        <v>1</v>
      </c>
      <c r="I132" s="393">
        <v>0</v>
      </c>
      <c r="J132" s="781">
        <v>0</v>
      </c>
      <c r="K132"/>
      <c r="L132"/>
      <c r="M132"/>
      <c r="N132" s="34"/>
      <c r="O132" s="1"/>
      <c r="P132" s="1"/>
      <c r="Q132" s="1"/>
      <c r="R132" s="1"/>
      <c r="S132"/>
      <c r="T132"/>
      <c r="U132"/>
      <c r="V132"/>
      <c r="W132"/>
      <c r="X132"/>
      <c r="Y132"/>
      <c r="Z132"/>
      <c r="AA132"/>
      <c r="AB132"/>
      <c r="AC132"/>
      <c r="AD132"/>
      <c r="AE132"/>
      <c r="AF132"/>
      <c r="AG132"/>
      <c r="AH132"/>
      <c r="AI132"/>
      <c r="AJ132"/>
      <c r="AK132"/>
      <c r="AL132"/>
      <c r="AN132" s="443"/>
      <c r="AO132" s="1"/>
      <c r="AP132" s="1"/>
      <c r="AQ132" s="1"/>
      <c r="AR132" s="1"/>
      <c r="AS132" s="1"/>
      <c r="AT132" s="1"/>
      <c r="AU132" s="1"/>
    </row>
    <row r="133" spans="2:47" ht="34" hidden="1" customHeight="1" outlineLevel="1" x14ac:dyDescent="0.2">
      <c r="B133" s="274" t="s">
        <v>1452</v>
      </c>
      <c r="C133" s="81" t="s">
        <v>1442</v>
      </c>
      <c r="D133" s="516">
        <v>22447</v>
      </c>
      <c r="E133" s="513">
        <v>50</v>
      </c>
      <c r="F133" s="513">
        <v>806</v>
      </c>
      <c r="G133" s="504" t="s">
        <v>1446</v>
      </c>
      <c r="H133" s="393">
        <v>1</v>
      </c>
      <c r="I133" s="393">
        <v>0</v>
      </c>
      <c r="J133" s="781">
        <v>0</v>
      </c>
      <c r="K133"/>
      <c r="L133"/>
      <c r="M133"/>
      <c r="N133" s="34"/>
      <c r="O133" s="1"/>
      <c r="P133" s="1"/>
      <c r="Q133" s="1"/>
      <c r="R133" s="1"/>
      <c r="S133"/>
      <c r="T133"/>
      <c r="U133"/>
      <c r="V133"/>
      <c r="W133"/>
      <c r="X133"/>
      <c r="Y133"/>
      <c r="Z133"/>
      <c r="AA133"/>
      <c r="AB133"/>
      <c r="AC133"/>
      <c r="AD133"/>
      <c r="AE133"/>
      <c r="AF133"/>
      <c r="AG133"/>
      <c r="AH133"/>
      <c r="AI133"/>
      <c r="AJ133"/>
      <c r="AK133"/>
      <c r="AL133"/>
      <c r="AN133" s="443"/>
      <c r="AO133" s="1"/>
      <c r="AP133" s="1"/>
      <c r="AQ133" s="1"/>
      <c r="AR133" s="1"/>
      <c r="AS133" s="1"/>
      <c r="AT133" s="1"/>
      <c r="AU133" s="1"/>
    </row>
    <row r="134" spans="2:47" ht="34" hidden="1" customHeight="1" outlineLevel="1" x14ac:dyDescent="0.2">
      <c r="B134" s="274" t="s">
        <v>1452</v>
      </c>
      <c r="C134" s="81" t="s">
        <v>1442</v>
      </c>
      <c r="D134" s="516">
        <v>22447</v>
      </c>
      <c r="E134" s="513">
        <v>50</v>
      </c>
      <c r="F134" s="513">
        <v>982</v>
      </c>
      <c r="G134" s="504" t="s">
        <v>1446</v>
      </c>
      <c r="H134" s="393">
        <v>1</v>
      </c>
      <c r="I134" s="393">
        <v>0</v>
      </c>
      <c r="J134" s="781">
        <v>0</v>
      </c>
      <c r="K134"/>
      <c r="L134"/>
      <c r="M134"/>
      <c r="N134" s="34"/>
      <c r="O134" s="1"/>
      <c r="P134" s="1"/>
      <c r="Q134" s="1"/>
      <c r="R134" s="1"/>
      <c r="S134"/>
      <c r="T134"/>
      <c r="U134"/>
      <c r="V134"/>
      <c r="W134"/>
      <c r="X134"/>
      <c r="Y134"/>
      <c r="Z134"/>
      <c r="AA134"/>
      <c r="AB134"/>
      <c r="AC134"/>
      <c r="AD134"/>
      <c r="AE134"/>
      <c r="AF134"/>
      <c r="AG134"/>
      <c r="AH134"/>
      <c r="AI134"/>
      <c r="AJ134"/>
      <c r="AK134"/>
      <c r="AL134"/>
      <c r="AN134" s="443"/>
      <c r="AO134" s="1"/>
      <c r="AP134" s="1"/>
      <c r="AQ134" s="1"/>
      <c r="AR134" s="1"/>
      <c r="AS134" s="1"/>
      <c r="AT134" s="1"/>
      <c r="AU134" s="1"/>
    </row>
    <row r="135" spans="2:47" ht="34" hidden="1" customHeight="1" outlineLevel="1" x14ac:dyDescent="0.2">
      <c r="B135" s="274" t="s">
        <v>1452</v>
      </c>
      <c r="C135" s="81" t="s">
        <v>1442</v>
      </c>
      <c r="D135" s="516">
        <v>22447</v>
      </c>
      <c r="E135" s="513">
        <v>50</v>
      </c>
      <c r="F135" s="513">
        <v>1057</v>
      </c>
      <c r="G135" s="504" t="s">
        <v>1445</v>
      </c>
      <c r="H135" s="393">
        <v>1</v>
      </c>
      <c r="I135" s="393">
        <v>0</v>
      </c>
      <c r="J135" s="781">
        <v>0</v>
      </c>
      <c r="K135"/>
      <c r="L135"/>
      <c r="M135"/>
      <c r="N135" s="34"/>
      <c r="O135" s="1"/>
      <c r="P135" s="1"/>
      <c r="Q135" s="1"/>
      <c r="R135" s="1"/>
      <c r="S135"/>
      <c r="T135"/>
      <c r="U135"/>
      <c r="V135"/>
      <c r="W135"/>
      <c r="X135"/>
      <c r="Y135"/>
      <c r="Z135"/>
      <c r="AA135"/>
      <c r="AB135"/>
      <c r="AC135"/>
      <c r="AD135"/>
      <c r="AE135"/>
      <c r="AF135"/>
      <c r="AG135"/>
      <c r="AH135"/>
      <c r="AI135"/>
      <c r="AJ135"/>
      <c r="AK135"/>
      <c r="AL135"/>
      <c r="AN135" s="443"/>
      <c r="AO135" s="1"/>
      <c r="AP135" s="1"/>
      <c r="AQ135" s="1"/>
      <c r="AR135" s="1"/>
      <c r="AS135" s="1"/>
      <c r="AT135" s="1"/>
      <c r="AU135" s="1"/>
    </row>
    <row r="136" spans="2:47" ht="34" hidden="1" customHeight="1" outlineLevel="1" x14ac:dyDescent="0.2">
      <c r="B136" s="274" t="s">
        <v>1452</v>
      </c>
      <c r="C136" s="81" t="s">
        <v>1442</v>
      </c>
      <c r="D136" s="516">
        <v>22447</v>
      </c>
      <c r="E136" s="513">
        <v>50</v>
      </c>
      <c r="F136" s="513">
        <v>1754</v>
      </c>
      <c r="G136" s="504" t="s">
        <v>1445</v>
      </c>
      <c r="H136" s="393">
        <v>1</v>
      </c>
      <c r="I136" s="393">
        <v>0</v>
      </c>
      <c r="J136" s="781">
        <v>0</v>
      </c>
      <c r="K136"/>
      <c r="L136"/>
      <c r="M136"/>
      <c r="N136" s="34"/>
      <c r="O136" s="1"/>
      <c r="P136" s="1"/>
      <c r="Q136" s="1"/>
      <c r="R136" s="1"/>
      <c r="S136"/>
      <c r="T136"/>
      <c r="U136"/>
      <c r="V136"/>
      <c r="W136"/>
      <c r="X136"/>
      <c r="Y136"/>
      <c r="Z136"/>
      <c r="AA136"/>
      <c r="AB136"/>
      <c r="AC136"/>
      <c r="AD136"/>
      <c r="AE136"/>
      <c r="AF136"/>
      <c r="AG136"/>
      <c r="AH136"/>
      <c r="AI136"/>
      <c r="AJ136"/>
      <c r="AK136"/>
      <c r="AL136"/>
      <c r="AN136" s="443"/>
      <c r="AO136" s="1"/>
      <c r="AP136" s="1"/>
      <c r="AQ136" s="1"/>
      <c r="AR136" s="1"/>
      <c r="AS136" s="1"/>
      <c r="AT136" s="1"/>
      <c r="AU136" s="1"/>
    </row>
    <row r="137" spans="2:47" ht="34" hidden="1" customHeight="1" outlineLevel="1" x14ac:dyDescent="0.2">
      <c r="B137" s="274" t="s">
        <v>1452</v>
      </c>
      <c r="C137" s="81" t="s">
        <v>1442</v>
      </c>
      <c r="D137" s="516">
        <v>22447</v>
      </c>
      <c r="E137" s="513">
        <v>50</v>
      </c>
      <c r="F137" s="513">
        <v>430</v>
      </c>
      <c r="G137" s="504" t="s">
        <v>1446</v>
      </c>
      <c r="H137" s="393">
        <v>1</v>
      </c>
      <c r="I137" s="393">
        <v>0</v>
      </c>
      <c r="J137" s="781">
        <v>0</v>
      </c>
      <c r="K137"/>
      <c r="L137"/>
      <c r="M137"/>
      <c r="N137" s="34"/>
      <c r="O137" s="1"/>
      <c r="P137" s="1"/>
      <c r="Q137" s="1"/>
      <c r="R137" s="1"/>
      <c r="S137"/>
      <c r="T137"/>
      <c r="U137"/>
      <c r="V137"/>
      <c r="W137"/>
      <c r="X137"/>
      <c r="Y137"/>
      <c r="Z137"/>
      <c r="AA137"/>
      <c r="AB137"/>
      <c r="AC137"/>
      <c r="AD137"/>
      <c r="AE137"/>
      <c r="AF137"/>
      <c r="AG137"/>
      <c r="AH137"/>
      <c r="AI137"/>
      <c r="AJ137"/>
      <c r="AK137"/>
      <c r="AL137"/>
      <c r="AN137" s="443"/>
      <c r="AO137" s="1"/>
      <c r="AP137" s="1"/>
      <c r="AQ137" s="1"/>
      <c r="AR137" s="1"/>
      <c r="AS137" s="1"/>
      <c r="AT137" s="1"/>
      <c r="AU137" s="1"/>
    </row>
    <row r="138" spans="2:47" ht="34" hidden="1" customHeight="1" outlineLevel="1" x14ac:dyDescent="0.2">
      <c r="B138" s="274" t="s">
        <v>1453</v>
      </c>
      <c r="C138" s="81" t="s">
        <v>1442</v>
      </c>
      <c r="D138" s="516">
        <v>11095</v>
      </c>
      <c r="E138" s="513">
        <v>50</v>
      </c>
      <c r="F138" s="513">
        <v>823</v>
      </c>
      <c r="G138" s="504" t="s">
        <v>1446</v>
      </c>
      <c r="H138" s="393">
        <v>1</v>
      </c>
      <c r="I138" s="393">
        <v>0</v>
      </c>
      <c r="J138" s="781">
        <v>0</v>
      </c>
      <c r="K138"/>
      <c r="L138"/>
      <c r="M138"/>
      <c r="N138" s="34"/>
      <c r="O138" s="1"/>
      <c r="P138" s="1"/>
      <c r="Q138" s="1"/>
      <c r="R138" s="1"/>
      <c r="S138"/>
      <c r="T138"/>
      <c r="U138"/>
      <c r="V138"/>
      <c r="W138"/>
      <c r="X138"/>
      <c r="Y138"/>
      <c r="Z138"/>
      <c r="AA138"/>
      <c r="AB138"/>
      <c r="AC138"/>
      <c r="AD138"/>
      <c r="AE138"/>
      <c r="AF138"/>
      <c r="AG138"/>
      <c r="AH138"/>
      <c r="AI138"/>
      <c r="AJ138"/>
      <c r="AK138"/>
      <c r="AL138"/>
      <c r="AN138" s="443"/>
      <c r="AO138" s="1"/>
      <c r="AP138" s="1"/>
      <c r="AQ138" s="1"/>
      <c r="AR138" s="1"/>
      <c r="AS138" s="1"/>
      <c r="AT138" s="1"/>
      <c r="AU138" s="1"/>
    </row>
    <row r="139" spans="2:47" ht="34" hidden="1" customHeight="1" outlineLevel="1" x14ac:dyDescent="0.2">
      <c r="B139" s="274" t="s">
        <v>1453</v>
      </c>
      <c r="C139" s="81" t="s">
        <v>1442</v>
      </c>
      <c r="D139" s="516">
        <v>9798</v>
      </c>
      <c r="E139" s="513">
        <v>50</v>
      </c>
      <c r="F139" s="513">
        <v>903</v>
      </c>
      <c r="G139" s="504" t="s">
        <v>1446</v>
      </c>
      <c r="H139" s="393">
        <v>1</v>
      </c>
      <c r="I139" s="393">
        <v>0</v>
      </c>
      <c r="J139" s="781">
        <v>0</v>
      </c>
      <c r="K139"/>
      <c r="L139"/>
      <c r="M139"/>
      <c r="N139" s="34"/>
      <c r="O139" s="1"/>
      <c r="P139" s="1"/>
      <c r="Q139" s="1"/>
      <c r="R139" s="1"/>
      <c r="S139"/>
      <c r="T139"/>
      <c r="U139"/>
      <c r="V139"/>
      <c r="W139"/>
      <c r="X139"/>
      <c r="Y139"/>
      <c r="Z139"/>
      <c r="AA139"/>
      <c r="AB139"/>
      <c r="AC139"/>
      <c r="AD139"/>
      <c r="AE139"/>
      <c r="AF139"/>
      <c r="AG139"/>
      <c r="AH139"/>
      <c r="AI139"/>
      <c r="AJ139"/>
      <c r="AK139"/>
      <c r="AL139"/>
      <c r="AN139" s="443"/>
      <c r="AO139" s="1"/>
      <c r="AP139" s="1"/>
      <c r="AQ139" s="1"/>
      <c r="AR139" s="1"/>
      <c r="AS139" s="1"/>
      <c r="AT139" s="1"/>
      <c r="AU139" s="1"/>
    </row>
    <row r="140" spans="2:47" ht="34" hidden="1" customHeight="1" outlineLevel="1" x14ac:dyDescent="0.2">
      <c r="B140" s="274" t="s">
        <v>1453</v>
      </c>
      <c r="C140" s="81" t="s">
        <v>1442</v>
      </c>
      <c r="D140" s="516">
        <v>16000</v>
      </c>
      <c r="E140" s="513">
        <v>50</v>
      </c>
      <c r="F140" s="513">
        <v>587</v>
      </c>
      <c r="G140" s="504" t="s">
        <v>1446</v>
      </c>
      <c r="H140" s="393">
        <v>1</v>
      </c>
      <c r="I140" s="393">
        <v>0</v>
      </c>
      <c r="J140" s="781">
        <v>0</v>
      </c>
      <c r="K140"/>
      <c r="L140"/>
      <c r="M140"/>
      <c r="N140" s="34"/>
      <c r="O140" s="1"/>
      <c r="P140" s="1"/>
      <c r="Q140" s="1"/>
      <c r="R140" s="1"/>
      <c r="S140"/>
      <c r="T140"/>
      <c r="U140"/>
      <c r="V140"/>
      <c r="W140"/>
      <c r="X140"/>
      <c r="Y140"/>
      <c r="Z140"/>
      <c r="AA140"/>
      <c r="AB140"/>
      <c r="AC140"/>
      <c r="AD140"/>
      <c r="AE140"/>
      <c r="AF140"/>
      <c r="AG140"/>
      <c r="AH140"/>
      <c r="AI140"/>
      <c r="AJ140"/>
      <c r="AK140"/>
      <c r="AL140"/>
      <c r="AN140" s="443"/>
      <c r="AO140" s="1"/>
      <c r="AP140" s="1"/>
      <c r="AQ140" s="1"/>
      <c r="AR140" s="1"/>
      <c r="AS140" s="1"/>
      <c r="AT140" s="1"/>
      <c r="AU140" s="1"/>
    </row>
    <row r="141" spans="2:47" ht="34" hidden="1" customHeight="1" outlineLevel="1" x14ac:dyDescent="0.2">
      <c r="B141" s="274" t="s">
        <v>1453</v>
      </c>
      <c r="C141" s="81" t="s">
        <v>1442</v>
      </c>
      <c r="D141" s="516">
        <v>16405</v>
      </c>
      <c r="E141" s="513">
        <v>50</v>
      </c>
      <c r="F141" s="513">
        <v>735</v>
      </c>
      <c r="G141" s="504" t="s">
        <v>1446</v>
      </c>
      <c r="H141" s="393">
        <v>1</v>
      </c>
      <c r="I141" s="393">
        <v>0</v>
      </c>
      <c r="J141" s="781">
        <v>0</v>
      </c>
      <c r="K141"/>
      <c r="L141"/>
      <c r="M141"/>
      <c r="N141" s="34"/>
      <c r="O141" s="1"/>
      <c r="P141" s="1"/>
      <c r="Q141" s="1"/>
      <c r="R141" s="1"/>
      <c r="S141"/>
      <c r="T141"/>
      <c r="U141"/>
      <c r="V141"/>
      <c r="W141"/>
      <c r="X141"/>
      <c r="Y141"/>
      <c r="Z141"/>
      <c r="AA141"/>
      <c r="AB141"/>
      <c r="AC141"/>
      <c r="AD141"/>
      <c r="AE141"/>
      <c r="AF141"/>
      <c r="AG141"/>
      <c r="AH141"/>
      <c r="AI141"/>
      <c r="AJ141"/>
      <c r="AK141"/>
      <c r="AL141"/>
      <c r="AN141" s="443"/>
      <c r="AO141" s="1"/>
      <c r="AP141" s="1"/>
      <c r="AQ141" s="1"/>
      <c r="AR141" s="1"/>
      <c r="AS141" s="1"/>
      <c r="AT141" s="1"/>
      <c r="AU141" s="1"/>
    </row>
    <row r="142" spans="2:47" ht="34" hidden="1" customHeight="1" outlineLevel="1" x14ac:dyDescent="0.2">
      <c r="B142" s="274" t="s">
        <v>1453</v>
      </c>
      <c r="C142" s="81" t="s">
        <v>1442</v>
      </c>
      <c r="D142" s="516">
        <v>11095</v>
      </c>
      <c r="E142" s="513">
        <v>50</v>
      </c>
      <c r="F142" s="513">
        <v>1064</v>
      </c>
      <c r="G142" s="504" t="s">
        <v>1445</v>
      </c>
      <c r="H142" s="393">
        <v>1</v>
      </c>
      <c r="I142" s="393">
        <v>0</v>
      </c>
      <c r="J142" s="781">
        <v>0</v>
      </c>
      <c r="K142"/>
      <c r="L142"/>
      <c r="M142"/>
      <c r="N142" s="34"/>
      <c r="O142" s="1"/>
      <c r="P142" s="1"/>
      <c r="Q142" s="1"/>
      <c r="R142" s="1"/>
      <c r="S142"/>
      <c r="T142"/>
      <c r="U142"/>
      <c r="V142"/>
      <c r="W142"/>
      <c r="X142"/>
      <c r="Y142"/>
      <c r="Z142"/>
      <c r="AA142"/>
      <c r="AB142"/>
      <c r="AC142"/>
      <c r="AD142"/>
      <c r="AE142"/>
      <c r="AF142"/>
      <c r="AG142"/>
      <c r="AH142"/>
      <c r="AI142"/>
      <c r="AJ142"/>
      <c r="AK142"/>
      <c r="AL142"/>
      <c r="AN142" s="443"/>
      <c r="AO142" s="1"/>
      <c r="AP142" s="1"/>
      <c r="AQ142" s="1"/>
      <c r="AR142" s="1"/>
      <c r="AS142" s="1"/>
      <c r="AT142" s="1"/>
      <c r="AU142" s="1"/>
    </row>
    <row r="143" spans="2:47" ht="34" hidden="1" customHeight="1" outlineLevel="1" x14ac:dyDescent="0.2">
      <c r="B143" s="274" t="s">
        <v>1453</v>
      </c>
      <c r="C143" s="81" t="s">
        <v>1442</v>
      </c>
      <c r="D143" s="516">
        <v>20801</v>
      </c>
      <c r="E143" s="513">
        <v>50</v>
      </c>
      <c r="F143" s="513">
        <v>1124</v>
      </c>
      <c r="G143" s="504" t="s">
        <v>1445</v>
      </c>
      <c r="H143" s="393">
        <v>1</v>
      </c>
      <c r="I143" s="393">
        <v>0</v>
      </c>
      <c r="J143" s="781">
        <v>0</v>
      </c>
      <c r="K143"/>
      <c r="L143"/>
      <c r="M143"/>
      <c r="N143" s="34"/>
      <c r="O143" s="1"/>
      <c r="P143" s="1"/>
      <c r="Q143" s="1"/>
      <c r="R143" s="1"/>
      <c r="S143"/>
      <c r="T143"/>
      <c r="U143"/>
      <c r="V143"/>
      <c r="W143"/>
      <c r="X143"/>
      <c r="Y143"/>
      <c r="Z143"/>
      <c r="AA143"/>
      <c r="AB143"/>
      <c r="AC143"/>
      <c r="AD143"/>
      <c r="AE143"/>
      <c r="AF143"/>
      <c r="AG143"/>
      <c r="AH143"/>
      <c r="AI143"/>
      <c r="AJ143"/>
      <c r="AK143"/>
      <c r="AL143"/>
      <c r="AN143" s="492"/>
      <c r="AO143" s="1"/>
      <c r="AP143" s="1"/>
      <c r="AQ143" s="1"/>
      <c r="AR143" s="1"/>
      <c r="AS143" s="1"/>
      <c r="AT143" s="1"/>
      <c r="AU143" s="1"/>
    </row>
    <row r="144" spans="2:47" ht="34" hidden="1" customHeight="1" outlineLevel="1" x14ac:dyDescent="0.2">
      <c r="B144" s="274" t="s">
        <v>1453</v>
      </c>
      <c r="C144" s="81" t="s">
        <v>1442</v>
      </c>
      <c r="D144" s="516">
        <v>15983</v>
      </c>
      <c r="E144" s="513">
        <v>50</v>
      </c>
      <c r="F144" s="513">
        <v>821</v>
      </c>
      <c r="G144" s="504" t="s">
        <v>1446</v>
      </c>
      <c r="H144" s="393">
        <v>1</v>
      </c>
      <c r="I144" s="393">
        <v>0</v>
      </c>
      <c r="J144" s="781">
        <v>0</v>
      </c>
      <c r="K144"/>
      <c r="L144"/>
      <c r="M144"/>
      <c r="N144" s="34"/>
      <c r="O144" s="1"/>
      <c r="P144" s="1"/>
      <c r="Q144" s="1"/>
      <c r="R144" s="1"/>
      <c r="S144"/>
      <c r="T144"/>
      <c r="U144"/>
      <c r="V144"/>
      <c r="W144"/>
      <c r="X144"/>
      <c r="Y144"/>
      <c r="Z144"/>
      <c r="AA144"/>
      <c r="AB144"/>
      <c r="AC144"/>
      <c r="AD144"/>
      <c r="AE144"/>
      <c r="AF144"/>
      <c r="AG144"/>
      <c r="AH144"/>
      <c r="AI144"/>
      <c r="AJ144"/>
      <c r="AK144"/>
      <c r="AL144"/>
      <c r="AN144" s="443"/>
      <c r="AO144" s="1"/>
      <c r="AP144" s="1"/>
      <c r="AQ144" s="1"/>
      <c r="AR144" s="1"/>
      <c r="AS144" s="1"/>
      <c r="AT144" s="1"/>
      <c r="AU144" s="1"/>
    </row>
    <row r="145" spans="2:47" ht="34" hidden="1" customHeight="1" outlineLevel="1" x14ac:dyDescent="0.2">
      <c r="B145" s="274" t="s">
        <v>1453</v>
      </c>
      <c r="C145" s="81" t="s">
        <v>1442</v>
      </c>
      <c r="D145" s="516">
        <v>16000</v>
      </c>
      <c r="E145" s="513">
        <v>50</v>
      </c>
      <c r="F145" s="513">
        <v>1085</v>
      </c>
      <c r="G145" s="504" t="s">
        <v>1445</v>
      </c>
      <c r="H145" s="393">
        <v>1</v>
      </c>
      <c r="I145" s="393">
        <v>0</v>
      </c>
      <c r="J145" s="781">
        <v>0</v>
      </c>
      <c r="K145"/>
      <c r="L145"/>
      <c r="M145"/>
      <c r="N145" s="34"/>
      <c r="O145" s="1"/>
      <c r="P145" s="1"/>
      <c r="Q145" s="1"/>
      <c r="R145" s="1"/>
      <c r="S145"/>
      <c r="T145"/>
      <c r="U145"/>
      <c r="V145"/>
      <c r="W145"/>
      <c r="X145"/>
      <c r="Y145"/>
      <c r="Z145"/>
      <c r="AA145"/>
      <c r="AB145"/>
      <c r="AC145"/>
      <c r="AD145"/>
      <c r="AE145"/>
      <c r="AF145"/>
      <c r="AG145"/>
      <c r="AH145"/>
      <c r="AI145"/>
      <c r="AJ145"/>
      <c r="AK145"/>
      <c r="AL145"/>
      <c r="AO145" s="1"/>
      <c r="AP145" s="1"/>
      <c r="AQ145" s="1"/>
      <c r="AR145" s="1"/>
      <c r="AS145" s="1"/>
      <c r="AT145" s="1"/>
      <c r="AU145" s="1"/>
    </row>
    <row r="146" spans="2:47" ht="34" hidden="1" customHeight="1" outlineLevel="1" x14ac:dyDescent="0.2">
      <c r="B146" s="274" t="s">
        <v>1453</v>
      </c>
      <c r="C146" s="81" t="s">
        <v>1442</v>
      </c>
      <c r="D146" s="516">
        <v>9798</v>
      </c>
      <c r="E146" s="513">
        <v>50</v>
      </c>
      <c r="F146" s="513">
        <v>1429</v>
      </c>
      <c r="G146" s="504" t="s">
        <v>1445</v>
      </c>
      <c r="H146" s="393">
        <v>1</v>
      </c>
      <c r="I146" s="393">
        <v>0</v>
      </c>
      <c r="J146" s="781">
        <v>0</v>
      </c>
      <c r="K146"/>
      <c r="L146"/>
      <c r="M146"/>
      <c r="N146" s="34"/>
      <c r="O146" s="1"/>
      <c r="P146" s="1"/>
      <c r="Q146" s="1"/>
      <c r="R146" s="1"/>
      <c r="S146"/>
      <c r="T146"/>
      <c r="U146"/>
      <c r="V146"/>
      <c r="W146"/>
      <c r="X146"/>
      <c r="Y146"/>
      <c r="Z146"/>
      <c r="AA146"/>
      <c r="AB146"/>
      <c r="AC146"/>
      <c r="AD146"/>
      <c r="AE146"/>
      <c r="AF146"/>
      <c r="AG146"/>
      <c r="AH146"/>
      <c r="AI146"/>
      <c r="AJ146"/>
      <c r="AK146"/>
      <c r="AL146"/>
      <c r="AN146" s="421"/>
      <c r="AO146" s="1"/>
      <c r="AP146" s="1"/>
      <c r="AQ146" s="1"/>
      <c r="AR146" s="1"/>
      <c r="AS146" s="1"/>
      <c r="AT146" s="1"/>
      <c r="AU146" s="1"/>
    </row>
    <row r="147" spans="2:47" ht="34" hidden="1" customHeight="1" outlineLevel="1" x14ac:dyDescent="0.2">
      <c r="B147" s="274" t="s">
        <v>1453</v>
      </c>
      <c r="C147" s="81" t="s">
        <v>1442</v>
      </c>
      <c r="D147" s="516">
        <v>11095</v>
      </c>
      <c r="E147" s="513">
        <v>50</v>
      </c>
      <c r="F147" s="513">
        <v>353</v>
      </c>
      <c r="G147" s="504" t="s">
        <v>1446</v>
      </c>
      <c r="H147" s="393">
        <v>1</v>
      </c>
      <c r="I147" s="393">
        <v>0</v>
      </c>
      <c r="J147" s="781">
        <v>0</v>
      </c>
      <c r="K147"/>
      <c r="L147"/>
      <c r="M147"/>
      <c r="N147" s="34"/>
      <c r="O147" s="1"/>
      <c r="P147" s="1"/>
      <c r="Q147" s="1"/>
      <c r="R147" s="1"/>
      <c r="S147"/>
      <c r="T147"/>
      <c r="U147"/>
      <c r="V147"/>
      <c r="W147"/>
      <c r="X147"/>
      <c r="Y147"/>
      <c r="Z147"/>
      <c r="AA147"/>
      <c r="AB147"/>
      <c r="AC147"/>
      <c r="AD147"/>
      <c r="AE147"/>
      <c r="AF147"/>
      <c r="AG147"/>
      <c r="AH147"/>
      <c r="AI147"/>
      <c r="AJ147"/>
      <c r="AK147"/>
      <c r="AL147"/>
      <c r="AO147" s="1"/>
      <c r="AP147" s="1"/>
      <c r="AQ147" s="1"/>
      <c r="AR147" s="1"/>
      <c r="AS147" s="1"/>
      <c r="AT147" s="1"/>
      <c r="AU147" s="1"/>
    </row>
    <row r="148" spans="2:47" ht="34" hidden="1" customHeight="1" outlineLevel="1" x14ac:dyDescent="0.2">
      <c r="B148" s="274" t="s">
        <v>1453</v>
      </c>
      <c r="C148" s="81" t="s">
        <v>1442</v>
      </c>
      <c r="D148" s="516">
        <v>28126</v>
      </c>
      <c r="E148" s="513">
        <v>50</v>
      </c>
      <c r="F148" s="513">
        <v>790</v>
      </c>
      <c r="G148" s="504" t="s">
        <v>1446</v>
      </c>
      <c r="H148" s="393">
        <v>1</v>
      </c>
      <c r="I148" s="393">
        <v>0</v>
      </c>
      <c r="J148" s="781">
        <v>0</v>
      </c>
      <c r="K148"/>
      <c r="L148"/>
      <c r="M148"/>
      <c r="N148" s="34"/>
      <c r="S148"/>
      <c r="T148"/>
      <c r="U148"/>
      <c r="V148"/>
      <c r="W148"/>
      <c r="X148"/>
      <c r="Y148"/>
      <c r="Z148"/>
      <c r="AA148"/>
      <c r="AB148"/>
      <c r="AC148"/>
      <c r="AD148"/>
      <c r="AE148"/>
      <c r="AF148"/>
      <c r="AG148"/>
      <c r="AH148"/>
      <c r="AI148"/>
      <c r="AJ148"/>
      <c r="AK148"/>
      <c r="AL148"/>
    </row>
    <row r="149" spans="2:47" ht="34" hidden="1" customHeight="1" outlineLevel="1" x14ac:dyDescent="0.2">
      <c r="B149" s="274" t="s">
        <v>1453</v>
      </c>
      <c r="C149" s="81" t="s">
        <v>1442</v>
      </c>
      <c r="D149" s="516">
        <v>11095</v>
      </c>
      <c r="E149" s="513">
        <v>50</v>
      </c>
      <c r="F149" s="513">
        <v>927</v>
      </c>
      <c r="G149" s="504" t="s">
        <v>1446</v>
      </c>
      <c r="H149" s="393">
        <v>1</v>
      </c>
      <c r="I149" s="393">
        <v>0</v>
      </c>
      <c r="J149" s="781">
        <v>0</v>
      </c>
      <c r="K149"/>
      <c r="L149"/>
      <c r="M149"/>
      <c r="N149" s="34"/>
    </row>
    <row r="150" spans="2:47" ht="34" hidden="1" customHeight="1" outlineLevel="1" x14ac:dyDescent="0.2">
      <c r="B150" s="274" t="s">
        <v>1453</v>
      </c>
      <c r="C150" s="81" t="s">
        <v>1442</v>
      </c>
      <c r="D150" s="516">
        <v>20801</v>
      </c>
      <c r="E150" s="513">
        <v>50</v>
      </c>
      <c r="F150" s="513">
        <v>1228</v>
      </c>
      <c r="G150" s="504" t="s">
        <v>1445</v>
      </c>
      <c r="H150" s="393">
        <v>1</v>
      </c>
      <c r="I150" s="393">
        <v>0</v>
      </c>
      <c r="J150" s="781">
        <v>0</v>
      </c>
      <c r="K150"/>
      <c r="L150"/>
      <c r="M150"/>
      <c r="N150" s="34"/>
    </row>
    <row r="151" spans="2:47" ht="34" hidden="1" customHeight="1" outlineLevel="1" x14ac:dyDescent="0.2">
      <c r="B151" s="274" t="s">
        <v>1453</v>
      </c>
      <c r="C151" s="81" t="s">
        <v>1442</v>
      </c>
      <c r="D151" s="516">
        <v>16000</v>
      </c>
      <c r="E151" s="513">
        <v>50</v>
      </c>
      <c r="F151" s="513">
        <v>639</v>
      </c>
      <c r="G151" s="504" t="s">
        <v>1446</v>
      </c>
      <c r="H151" s="393">
        <v>1</v>
      </c>
      <c r="I151" s="393">
        <v>0</v>
      </c>
      <c r="J151" s="781">
        <v>0</v>
      </c>
      <c r="K151"/>
      <c r="L151"/>
      <c r="M151"/>
      <c r="N151" s="34"/>
    </row>
    <row r="152" spans="2:47" ht="34" hidden="1" customHeight="1" outlineLevel="1" x14ac:dyDescent="0.2">
      <c r="B152" s="274" t="s">
        <v>1453</v>
      </c>
      <c r="C152" s="81" t="s">
        <v>1442</v>
      </c>
      <c r="D152" s="516">
        <v>16000</v>
      </c>
      <c r="E152" s="513">
        <v>50</v>
      </c>
      <c r="F152" s="513">
        <v>599</v>
      </c>
      <c r="G152" s="504" t="s">
        <v>1446</v>
      </c>
      <c r="H152" s="393">
        <v>1</v>
      </c>
      <c r="I152" s="393">
        <v>0</v>
      </c>
      <c r="J152" s="781">
        <v>0</v>
      </c>
      <c r="K152"/>
      <c r="L152"/>
      <c r="M152"/>
      <c r="N152" s="34"/>
    </row>
    <row r="153" spans="2:47" ht="34" hidden="1" customHeight="1" outlineLevel="1" x14ac:dyDescent="0.2">
      <c r="B153" s="274" t="s">
        <v>1453</v>
      </c>
      <c r="C153" s="81" t="s">
        <v>1442</v>
      </c>
      <c r="D153" s="516">
        <v>16000</v>
      </c>
      <c r="E153" s="513">
        <v>50</v>
      </c>
      <c r="F153" s="513">
        <v>536</v>
      </c>
      <c r="G153" s="504" t="s">
        <v>1446</v>
      </c>
      <c r="H153" s="393">
        <v>1</v>
      </c>
      <c r="I153" s="393">
        <v>0</v>
      </c>
      <c r="J153" s="781">
        <v>0</v>
      </c>
      <c r="K153"/>
      <c r="L153"/>
      <c r="M153"/>
      <c r="N153" s="34"/>
    </row>
    <row r="154" spans="2:47" ht="34" hidden="1" customHeight="1" outlineLevel="1" x14ac:dyDescent="0.2">
      <c r="B154" s="274" t="s">
        <v>1454</v>
      </c>
      <c r="C154" s="81" t="s">
        <v>1442</v>
      </c>
      <c r="D154" s="516">
        <v>11199</v>
      </c>
      <c r="E154" s="513">
        <v>50</v>
      </c>
      <c r="F154" s="513">
        <v>825</v>
      </c>
      <c r="G154" s="504" t="s">
        <v>1446</v>
      </c>
      <c r="H154" s="393">
        <v>1</v>
      </c>
      <c r="I154" s="393">
        <v>0</v>
      </c>
      <c r="J154" s="781">
        <v>0</v>
      </c>
      <c r="K154"/>
      <c r="L154"/>
      <c r="M154"/>
      <c r="N154" s="34"/>
    </row>
    <row r="155" spans="2:47" ht="34" hidden="1" customHeight="1" outlineLevel="1" x14ac:dyDescent="0.2">
      <c r="B155" s="274" t="s">
        <v>1454</v>
      </c>
      <c r="C155" s="81" t="s">
        <v>1442</v>
      </c>
      <c r="D155" s="516">
        <v>12519</v>
      </c>
      <c r="E155" s="513">
        <v>50</v>
      </c>
      <c r="F155" s="513">
        <v>854</v>
      </c>
      <c r="G155" s="504" t="s">
        <v>1446</v>
      </c>
      <c r="H155" s="393">
        <v>1</v>
      </c>
      <c r="I155" s="393">
        <v>0</v>
      </c>
      <c r="J155" s="781">
        <v>0</v>
      </c>
      <c r="K155"/>
      <c r="L155"/>
      <c r="M155"/>
      <c r="N155" s="34"/>
    </row>
    <row r="156" spans="2:47" ht="34" hidden="1" customHeight="1" outlineLevel="1" x14ac:dyDescent="0.2">
      <c r="B156" s="274" t="s">
        <v>1454</v>
      </c>
      <c r="C156" s="81" t="s">
        <v>1442</v>
      </c>
      <c r="D156" s="516">
        <v>10306</v>
      </c>
      <c r="E156" s="513">
        <v>50</v>
      </c>
      <c r="F156" s="513">
        <v>1183</v>
      </c>
      <c r="G156" s="504" t="s">
        <v>1445</v>
      </c>
      <c r="H156" s="393">
        <v>1</v>
      </c>
      <c r="I156" s="393">
        <v>0</v>
      </c>
      <c r="J156" s="781">
        <v>0</v>
      </c>
      <c r="K156"/>
      <c r="L156"/>
      <c r="M156"/>
      <c r="N156" s="34"/>
    </row>
    <row r="157" spans="2:47" ht="34" hidden="1" customHeight="1" outlineLevel="1" x14ac:dyDescent="0.2">
      <c r="B157" s="274" t="s">
        <v>1454</v>
      </c>
      <c r="C157" s="81" t="s">
        <v>1442</v>
      </c>
      <c r="D157" s="516">
        <v>17870</v>
      </c>
      <c r="E157" s="513">
        <v>50</v>
      </c>
      <c r="F157" s="513">
        <v>1444</v>
      </c>
      <c r="G157" s="504" t="s">
        <v>1445</v>
      </c>
      <c r="H157" s="393">
        <v>1</v>
      </c>
      <c r="I157" s="393">
        <v>0</v>
      </c>
      <c r="J157" s="781">
        <v>0</v>
      </c>
      <c r="K157"/>
      <c r="L157"/>
      <c r="M157"/>
      <c r="N157" s="34"/>
    </row>
    <row r="158" spans="2:47" ht="34" hidden="1" customHeight="1" outlineLevel="1" x14ac:dyDescent="0.2">
      <c r="B158" s="274" t="s">
        <v>1454</v>
      </c>
      <c r="C158" s="81" t="s">
        <v>1442</v>
      </c>
      <c r="D158" s="516">
        <v>15211</v>
      </c>
      <c r="E158" s="513">
        <v>50</v>
      </c>
      <c r="F158" s="513">
        <v>1160</v>
      </c>
      <c r="G158" s="504" t="s">
        <v>1445</v>
      </c>
      <c r="H158" s="393">
        <v>1</v>
      </c>
      <c r="I158" s="393">
        <v>0</v>
      </c>
      <c r="J158" s="781">
        <v>0</v>
      </c>
      <c r="K158"/>
      <c r="L158"/>
      <c r="M158"/>
      <c r="N158" s="34"/>
    </row>
    <row r="159" spans="2:47" ht="34" hidden="1" customHeight="1" outlineLevel="1" x14ac:dyDescent="0.2">
      <c r="B159" s="274" t="s">
        <v>1454</v>
      </c>
      <c r="C159" s="81" t="s">
        <v>1442</v>
      </c>
      <c r="D159" s="516">
        <v>12519</v>
      </c>
      <c r="E159" s="513">
        <v>50</v>
      </c>
      <c r="F159" s="513">
        <v>1551</v>
      </c>
      <c r="G159" s="504" t="s">
        <v>1445</v>
      </c>
      <c r="H159" s="393">
        <v>1</v>
      </c>
      <c r="I159" s="393">
        <v>0</v>
      </c>
      <c r="J159" s="781">
        <v>0</v>
      </c>
      <c r="K159"/>
      <c r="L159"/>
      <c r="M159"/>
      <c r="N159" s="34"/>
    </row>
    <row r="160" spans="2:47" ht="34" hidden="1" customHeight="1" outlineLevel="1" x14ac:dyDescent="0.2">
      <c r="B160" s="274" t="s">
        <v>1454</v>
      </c>
      <c r="C160" s="81" t="s">
        <v>1442</v>
      </c>
      <c r="D160" s="516">
        <v>11218</v>
      </c>
      <c r="E160" s="513">
        <v>50</v>
      </c>
      <c r="F160" s="513">
        <v>941</v>
      </c>
      <c r="G160" s="504" t="s">
        <v>1446</v>
      </c>
      <c r="H160" s="393">
        <v>1</v>
      </c>
      <c r="I160" s="393">
        <v>0</v>
      </c>
      <c r="J160" s="781">
        <v>0</v>
      </c>
      <c r="K160"/>
      <c r="L160"/>
      <c r="M160"/>
      <c r="N160" s="34"/>
    </row>
    <row r="161" spans="2:14" ht="34" hidden="1" customHeight="1" outlineLevel="1" x14ac:dyDescent="0.2">
      <c r="B161" s="274" t="s">
        <v>1454</v>
      </c>
      <c r="C161" s="81" t="s">
        <v>1442</v>
      </c>
      <c r="D161" s="516">
        <v>10306</v>
      </c>
      <c r="E161" s="513">
        <v>50</v>
      </c>
      <c r="F161" s="513">
        <v>780</v>
      </c>
      <c r="G161" s="504" t="s">
        <v>1446</v>
      </c>
      <c r="H161" s="393">
        <v>1</v>
      </c>
      <c r="I161" s="393">
        <v>0</v>
      </c>
      <c r="J161" s="781">
        <v>0</v>
      </c>
      <c r="K161"/>
      <c r="L161"/>
      <c r="M161"/>
      <c r="N161" s="34"/>
    </row>
    <row r="162" spans="2:14" ht="34" hidden="1" customHeight="1" outlineLevel="1" x14ac:dyDescent="0.2">
      <c r="B162" s="274" t="s">
        <v>1454</v>
      </c>
      <c r="C162" s="81" t="s">
        <v>1442</v>
      </c>
      <c r="D162" s="516">
        <v>17870</v>
      </c>
      <c r="E162" s="513">
        <v>50</v>
      </c>
      <c r="F162" s="513">
        <v>402</v>
      </c>
      <c r="G162" s="504" t="s">
        <v>1446</v>
      </c>
      <c r="H162" s="393">
        <v>1</v>
      </c>
      <c r="I162" s="393">
        <v>0</v>
      </c>
      <c r="J162" s="781">
        <v>0</v>
      </c>
      <c r="K162"/>
      <c r="L162"/>
      <c r="M162"/>
      <c r="N162" s="34"/>
    </row>
    <row r="163" spans="2:14" ht="34" hidden="1" customHeight="1" outlineLevel="1" x14ac:dyDescent="0.2">
      <c r="B163" s="274" t="s">
        <v>1454</v>
      </c>
      <c r="C163" s="81" t="s">
        <v>1442</v>
      </c>
      <c r="D163" s="516">
        <v>15211</v>
      </c>
      <c r="E163" s="513">
        <v>50</v>
      </c>
      <c r="F163" s="513">
        <v>1076</v>
      </c>
      <c r="G163" s="504" t="s">
        <v>1445</v>
      </c>
      <c r="H163" s="393">
        <v>1</v>
      </c>
      <c r="I163" s="393">
        <v>0</v>
      </c>
      <c r="J163" s="781">
        <v>0</v>
      </c>
      <c r="K163"/>
      <c r="L163"/>
      <c r="M163"/>
      <c r="N163" s="34"/>
    </row>
    <row r="164" spans="2:14" ht="34" hidden="1" customHeight="1" outlineLevel="1" thickBot="1" x14ac:dyDescent="0.25">
      <c r="B164" s="486" t="s">
        <v>1454</v>
      </c>
      <c r="C164" s="487" t="s">
        <v>1442</v>
      </c>
      <c r="D164" s="517">
        <v>18200</v>
      </c>
      <c r="E164" s="514">
        <v>50</v>
      </c>
      <c r="F164" s="514">
        <v>575</v>
      </c>
      <c r="G164" s="505" t="s">
        <v>1446</v>
      </c>
      <c r="H164" s="506">
        <v>1</v>
      </c>
      <c r="I164" s="506">
        <v>0</v>
      </c>
      <c r="J164" s="782">
        <v>0</v>
      </c>
      <c r="K164"/>
      <c r="L164"/>
      <c r="M164"/>
      <c r="N164" s="34"/>
    </row>
    <row r="165" spans="2:14" s="328" customFormat="1" ht="34" hidden="1" customHeight="1" outlineLevel="1" x14ac:dyDescent="0.2">
      <c r="B165" s="499" t="s">
        <v>1527</v>
      </c>
      <c r="C165" s="507" t="s">
        <v>1456</v>
      </c>
      <c r="D165" s="500">
        <v>9070</v>
      </c>
      <c r="E165" s="507">
        <v>50</v>
      </c>
      <c r="F165" s="507">
        <v>10700</v>
      </c>
      <c r="G165" s="500" t="s">
        <v>1457</v>
      </c>
      <c r="H165" s="508">
        <v>1</v>
      </c>
      <c r="I165" s="508">
        <v>0</v>
      </c>
      <c r="J165" s="783">
        <v>0</v>
      </c>
      <c r="K165"/>
      <c r="L165"/>
      <c r="M165"/>
      <c r="N165" s="34"/>
    </row>
    <row r="166" spans="2:14" s="328" customFormat="1" ht="34" hidden="1" customHeight="1" outlineLevel="1" x14ac:dyDescent="0.2">
      <c r="B166" s="501" t="s">
        <v>1527</v>
      </c>
      <c r="C166" s="503" t="s">
        <v>1456</v>
      </c>
      <c r="D166" s="502">
        <v>14000</v>
      </c>
      <c r="E166" s="503">
        <v>50</v>
      </c>
      <c r="F166" s="503">
        <v>5405</v>
      </c>
      <c r="G166" s="502" t="s">
        <v>1457</v>
      </c>
      <c r="H166" s="393">
        <v>1</v>
      </c>
      <c r="I166" s="393">
        <v>0</v>
      </c>
      <c r="J166" s="781">
        <v>0</v>
      </c>
      <c r="K166"/>
      <c r="L166"/>
      <c r="M166"/>
      <c r="N166" s="34"/>
    </row>
    <row r="167" spans="2:14" s="328" customFormat="1" ht="34" hidden="1" customHeight="1" outlineLevel="1" x14ac:dyDescent="0.2">
      <c r="B167" s="501" t="s">
        <v>1527</v>
      </c>
      <c r="C167" s="503" t="s">
        <v>1456</v>
      </c>
      <c r="D167" s="502">
        <v>11309</v>
      </c>
      <c r="E167" s="503">
        <v>50</v>
      </c>
      <c r="F167" s="503">
        <v>8642</v>
      </c>
      <c r="G167" s="502" t="s">
        <v>1457</v>
      </c>
      <c r="H167" s="393">
        <v>1</v>
      </c>
      <c r="I167" s="393">
        <v>0</v>
      </c>
      <c r="J167" s="781">
        <v>0</v>
      </c>
      <c r="K167"/>
      <c r="L167"/>
      <c r="M167"/>
      <c r="N167" s="34"/>
    </row>
    <row r="168" spans="2:14" s="328" customFormat="1" ht="34" hidden="1" customHeight="1" outlineLevel="1" x14ac:dyDescent="0.2">
      <c r="B168" s="501" t="s">
        <v>1447</v>
      </c>
      <c r="C168" s="503" t="s">
        <v>1456</v>
      </c>
      <c r="D168" s="502">
        <v>80000</v>
      </c>
      <c r="E168" s="503">
        <v>50</v>
      </c>
      <c r="F168" s="503">
        <v>16960</v>
      </c>
      <c r="G168" s="502" t="s">
        <v>1457</v>
      </c>
      <c r="H168" s="393">
        <v>1</v>
      </c>
      <c r="I168" s="393">
        <v>0</v>
      </c>
      <c r="J168" s="781">
        <v>0</v>
      </c>
      <c r="K168"/>
      <c r="L168"/>
      <c r="M168"/>
      <c r="N168" s="34"/>
    </row>
    <row r="169" spans="2:14" s="328" customFormat="1" ht="34" hidden="1" customHeight="1" outlineLevel="1" x14ac:dyDescent="0.2">
      <c r="B169" s="501" t="s">
        <v>1447</v>
      </c>
      <c r="C169" s="503" t="s">
        <v>1456</v>
      </c>
      <c r="D169" s="502">
        <v>80000</v>
      </c>
      <c r="E169" s="503">
        <v>50</v>
      </c>
      <c r="F169" s="503">
        <v>9342</v>
      </c>
      <c r="G169" s="502" t="s">
        <v>1457</v>
      </c>
      <c r="H169" s="393">
        <v>1</v>
      </c>
      <c r="I169" s="393">
        <v>0</v>
      </c>
      <c r="J169" s="781">
        <v>0</v>
      </c>
      <c r="K169"/>
      <c r="L169"/>
      <c r="M169"/>
      <c r="N169" s="34"/>
    </row>
    <row r="170" spans="2:14" s="328" customFormat="1" ht="34" hidden="1" customHeight="1" outlineLevel="1" x14ac:dyDescent="0.2">
      <c r="B170" s="501" t="s">
        <v>1447</v>
      </c>
      <c r="C170" s="503" t="s">
        <v>1456</v>
      </c>
      <c r="D170" s="502">
        <v>31500</v>
      </c>
      <c r="E170" s="503">
        <v>50</v>
      </c>
      <c r="F170" s="503">
        <v>9700</v>
      </c>
      <c r="G170" s="502" t="s">
        <v>1457</v>
      </c>
      <c r="H170" s="393">
        <v>1</v>
      </c>
      <c r="I170" s="393">
        <v>0</v>
      </c>
      <c r="J170" s="781">
        <v>0</v>
      </c>
      <c r="K170"/>
      <c r="L170"/>
      <c r="M170"/>
      <c r="N170" s="34"/>
    </row>
    <row r="171" spans="2:14" s="328" customFormat="1" ht="34" hidden="1" customHeight="1" outlineLevel="1" x14ac:dyDescent="0.2">
      <c r="B171" s="501" t="s">
        <v>1449</v>
      </c>
      <c r="C171" s="503" t="s">
        <v>1456</v>
      </c>
      <c r="D171" s="502">
        <v>46151</v>
      </c>
      <c r="E171" s="503">
        <v>50</v>
      </c>
      <c r="F171" s="503">
        <v>3278</v>
      </c>
      <c r="G171" s="502" t="s">
        <v>1445</v>
      </c>
      <c r="H171" s="393">
        <v>1</v>
      </c>
      <c r="I171" s="393">
        <v>0</v>
      </c>
      <c r="J171" s="781">
        <v>0</v>
      </c>
      <c r="K171"/>
      <c r="L171"/>
      <c r="M171"/>
      <c r="N171" s="34"/>
    </row>
    <row r="172" spans="2:14" s="328" customFormat="1" ht="34" hidden="1" customHeight="1" outlineLevel="1" x14ac:dyDescent="0.2">
      <c r="B172" s="515" t="s">
        <v>1451</v>
      </c>
      <c r="C172" s="76" t="s">
        <v>1456</v>
      </c>
      <c r="D172" s="516">
        <v>26800.2</v>
      </c>
      <c r="E172" s="513">
        <v>50</v>
      </c>
      <c r="F172" s="513">
        <v>2541</v>
      </c>
      <c r="G172" s="504" t="s">
        <v>1445</v>
      </c>
      <c r="H172" s="393">
        <v>1</v>
      </c>
      <c r="I172" s="393">
        <v>0</v>
      </c>
      <c r="J172" s="781">
        <v>0</v>
      </c>
      <c r="K172"/>
      <c r="L172"/>
      <c r="M172"/>
      <c r="N172" s="34"/>
    </row>
    <row r="173" spans="2:14" s="328" customFormat="1" ht="34" hidden="1" customHeight="1" outlineLevel="1" x14ac:dyDescent="0.2">
      <c r="B173" s="515" t="s">
        <v>1451</v>
      </c>
      <c r="C173" s="76" t="s">
        <v>1456</v>
      </c>
      <c r="D173" s="516">
        <v>16670.7</v>
      </c>
      <c r="E173" s="513">
        <v>50</v>
      </c>
      <c r="F173" s="513">
        <v>2654</v>
      </c>
      <c r="G173" s="504" t="s">
        <v>1445</v>
      </c>
      <c r="H173" s="393">
        <v>1</v>
      </c>
      <c r="I173" s="393">
        <v>0</v>
      </c>
      <c r="J173" s="781">
        <v>0</v>
      </c>
      <c r="K173"/>
      <c r="L173"/>
      <c r="M173"/>
      <c r="N173" s="34"/>
    </row>
    <row r="174" spans="2:14" s="328" customFormat="1" ht="34" hidden="1" customHeight="1" outlineLevel="1" x14ac:dyDescent="0.2">
      <c r="B174" s="515" t="s">
        <v>1451</v>
      </c>
      <c r="C174" s="76" t="s">
        <v>1456</v>
      </c>
      <c r="D174" s="516">
        <v>31788</v>
      </c>
      <c r="E174" s="513">
        <v>50</v>
      </c>
      <c r="F174" s="513">
        <v>3912</v>
      </c>
      <c r="G174" s="504" t="s">
        <v>1457</v>
      </c>
      <c r="H174" s="393">
        <v>1</v>
      </c>
      <c r="I174" s="393">
        <v>0</v>
      </c>
      <c r="J174" s="781">
        <v>0</v>
      </c>
      <c r="K174"/>
      <c r="L174"/>
      <c r="M174"/>
      <c r="N174" s="34"/>
    </row>
    <row r="175" spans="2:14" s="328" customFormat="1" ht="34" hidden="1" customHeight="1" outlineLevel="1" x14ac:dyDescent="0.2">
      <c r="B175" s="274" t="s">
        <v>1452</v>
      </c>
      <c r="C175" s="81" t="s">
        <v>1456</v>
      </c>
      <c r="D175" s="516">
        <v>22447</v>
      </c>
      <c r="E175" s="513">
        <v>50</v>
      </c>
      <c r="F175" s="513">
        <v>2720</v>
      </c>
      <c r="G175" s="504" t="s">
        <v>1445</v>
      </c>
      <c r="H175" s="393">
        <v>1</v>
      </c>
      <c r="I175" s="393">
        <v>0</v>
      </c>
      <c r="J175" s="781">
        <v>0</v>
      </c>
      <c r="K175"/>
      <c r="L175"/>
      <c r="M175"/>
      <c r="N175" s="34"/>
    </row>
    <row r="176" spans="2:14" s="328" customFormat="1" ht="34" hidden="1" customHeight="1" outlineLevel="1" x14ac:dyDescent="0.2">
      <c r="B176" s="274" t="s">
        <v>1453</v>
      </c>
      <c r="C176" s="81" t="s">
        <v>1456</v>
      </c>
      <c r="D176" s="516">
        <v>15983</v>
      </c>
      <c r="E176" s="513">
        <v>50</v>
      </c>
      <c r="F176" s="513">
        <v>8996</v>
      </c>
      <c r="G176" s="504" t="s">
        <v>1457</v>
      </c>
      <c r="H176" s="393">
        <v>1</v>
      </c>
      <c r="I176" s="393">
        <v>0</v>
      </c>
      <c r="J176" s="781">
        <v>0</v>
      </c>
      <c r="K176"/>
      <c r="L176"/>
      <c r="M176"/>
      <c r="N176" s="34"/>
    </row>
    <row r="177" spans="2:27" s="328" customFormat="1" ht="34" hidden="1" customHeight="1" outlineLevel="1" x14ac:dyDescent="0.2">
      <c r="B177" s="274" t="s">
        <v>1453</v>
      </c>
      <c r="C177" s="81" t="s">
        <v>1456</v>
      </c>
      <c r="D177" s="516">
        <v>28126</v>
      </c>
      <c r="E177" s="513">
        <v>50</v>
      </c>
      <c r="F177" s="513">
        <v>8900</v>
      </c>
      <c r="G177" s="504" t="s">
        <v>1457</v>
      </c>
      <c r="H177" s="393">
        <v>1</v>
      </c>
      <c r="I177" s="393">
        <v>0</v>
      </c>
      <c r="J177" s="781">
        <v>0</v>
      </c>
      <c r="K177"/>
      <c r="L177"/>
      <c r="M177"/>
      <c r="N177" s="34"/>
    </row>
    <row r="178" spans="2:27" s="328" customFormat="1" ht="34" hidden="1" customHeight="1" outlineLevel="1" x14ac:dyDescent="0.2">
      <c r="B178" s="274" t="s">
        <v>1453</v>
      </c>
      <c r="C178" s="81" t="s">
        <v>1456</v>
      </c>
      <c r="D178" s="516">
        <v>16405</v>
      </c>
      <c r="E178" s="513">
        <v>50</v>
      </c>
      <c r="F178" s="513">
        <v>8298</v>
      </c>
      <c r="G178" s="504" t="s">
        <v>1457</v>
      </c>
      <c r="H178" s="393">
        <v>1</v>
      </c>
      <c r="I178" s="393">
        <v>0</v>
      </c>
      <c r="J178" s="781">
        <v>0</v>
      </c>
      <c r="K178"/>
      <c r="L178"/>
      <c r="M178"/>
      <c r="N178" s="34"/>
    </row>
    <row r="179" spans="2:27" s="328" customFormat="1" ht="34" hidden="1" customHeight="1" outlineLevel="1" x14ac:dyDescent="0.2">
      <c r="B179" s="274" t="s">
        <v>1453</v>
      </c>
      <c r="C179" s="81" t="s">
        <v>1456</v>
      </c>
      <c r="D179" s="516">
        <v>19073</v>
      </c>
      <c r="E179" s="513">
        <v>50</v>
      </c>
      <c r="F179" s="513">
        <v>8186</v>
      </c>
      <c r="G179" s="504" t="s">
        <v>1457</v>
      </c>
      <c r="H179" s="393">
        <v>1</v>
      </c>
      <c r="I179" s="393">
        <v>0</v>
      </c>
      <c r="J179" s="781">
        <v>0</v>
      </c>
      <c r="K179"/>
      <c r="L179"/>
      <c r="M179"/>
      <c r="N179" s="34"/>
    </row>
    <row r="180" spans="2:27" s="328" customFormat="1" ht="34" hidden="1" customHeight="1" outlineLevel="1" x14ac:dyDescent="0.2">
      <c r="B180" s="274" t="s">
        <v>1453</v>
      </c>
      <c r="C180" s="81" t="s">
        <v>1456</v>
      </c>
      <c r="D180" s="516">
        <v>19073</v>
      </c>
      <c r="E180" s="513">
        <v>50</v>
      </c>
      <c r="F180" s="513">
        <v>8700</v>
      </c>
      <c r="G180" s="504" t="s">
        <v>1457</v>
      </c>
      <c r="H180" s="393">
        <v>1</v>
      </c>
      <c r="I180" s="393">
        <v>0</v>
      </c>
      <c r="J180" s="781">
        <v>0</v>
      </c>
      <c r="K180"/>
      <c r="L180"/>
      <c r="M180"/>
      <c r="N180" s="34"/>
    </row>
    <row r="181" spans="2:27" s="328" customFormat="1" ht="34" hidden="1" customHeight="1" outlineLevel="1" x14ac:dyDescent="0.2">
      <c r="B181" s="274" t="s">
        <v>1454</v>
      </c>
      <c r="C181" s="81" t="s">
        <v>1456</v>
      </c>
      <c r="D181" s="516">
        <v>11218</v>
      </c>
      <c r="E181" s="513">
        <v>50</v>
      </c>
      <c r="F181" s="513">
        <v>8507</v>
      </c>
      <c r="G181" s="504" t="s">
        <v>1457</v>
      </c>
      <c r="H181" s="393">
        <v>1</v>
      </c>
      <c r="I181" s="393">
        <v>0</v>
      </c>
      <c r="J181" s="781">
        <v>0</v>
      </c>
      <c r="K181"/>
      <c r="L181"/>
      <c r="M181"/>
      <c r="N181" s="34"/>
    </row>
    <row r="182" spans="2:27" s="328" customFormat="1" ht="34" hidden="1" customHeight="1" outlineLevel="1" x14ac:dyDescent="0.2">
      <c r="B182" s="274" t="s">
        <v>1454</v>
      </c>
      <c r="C182" s="81" t="s">
        <v>1456</v>
      </c>
      <c r="D182" s="516">
        <v>11199</v>
      </c>
      <c r="E182" s="513">
        <v>50</v>
      </c>
      <c r="F182" s="513">
        <v>8728</v>
      </c>
      <c r="G182" s="504" t="s">
        <v>1457</v>
      </c>
      <c r="H182" s="393">
        <v>1</v>
      </c>
      <c r="I182" s="393">
        <v>0</v>
      </c>
      <c r="J182" s="781">
        <v>0</v>
      </c>
      <c r="K182"/>
      <c r="L182"/>
      <c r="M182"/>
      <c r="N182" s="34"/>
    </row>
    <row r="183" spans="2:27" s="328" customFormat="1" ht="34" hidden="1" customHeight="1" outlineLevel="1" thickBot="1" x14ac:dyDescent="0.25">
      <c r="B183" s="278" t="s">
        <v>1454</v>
      </c>
      <c r="C183" s="280" t="s">
        <v>1456</v>
      </c>
      <c r="D183" s="522">
        <v>18200</v>
      </c>
      <c r="E183" s="523">
        <v>50</v>
      </c>
      <c r="F183" s="523">
        <v>8295</v>
      </c>
      <c r="G183" s="509" t="s">
        <v>1457</v>
      </c>
      <c r="H183" s="510">
        <v>1</v>
      </c>
      <c r="I183" s="510">
        <v>0</v>
      </c>
      <c r="J183" s="784">
        <v>0</v>
      </c>
      <c r="K183"/>
      <c r="L183"/>
      <c r="M183"/>
      <c r="N183"/>
    </row>
    <row r="184" spans="2:27" s="328" customFormat="1" ht="34" hidden="1" customHeight="1" outlineLevel="1" x14ac:dyDescent="0.2">
      <c r="B184" s="55"/>
      <c r="C184" s="55"/>
      <c r="D184" s="779"/>
      <c r="E184" s="775"/>
      <c r="F184" s="779"/>
      <c r="G184" s="776"/>
      <c r="H184" s="777"/>
      <c r="I184" s="777"/>
      <c r="J184" s="777"/>
      <c r="K184"/>
      <c r="L184"/>
      <c r="M184"/>
      <c r="N184"/>
    </row>
    <row r="185" spans="2:27" s="328" customFormat="1" ht="34" customHeight="1" collapsed="1" x14ac:dyDescent="0.2">
      <c r="B185" s="55"/>
      <c r="C185" s="55"/>
      <c r="D185" s="774"/>
      <c r="E185" s="775"/>
      <c r="F185" s="776"/>
      <c r="G185" s="776"/>
      <c r="H185" s="776"/>
      <c r="I185" s="776"/>
      <c r="J185" s="775"/>
      <c r="K185" s="498"/>
      <c r="L185" s="776"/>
      <c r="M185" s="776"/>
      <c r="N185" s="776"/>
      <c r="O185" s="776"/>
      <c r="P185" s="776"/>
      <c r="Q185" s="776"/>
      <c r="R185" s="112"/>
      <c r="S185" s="777"/>
      <c r="T185" s="777"/>
      <c r="U185" s="777"/>
      <c r="V185" s="778"/>
      <c r="W185" s="779"/>
      <c r="X185" s="779"/>
      <c r="Y185" s="779"/>
      <c r="Z185" s="779"/>
      <c r="AA185"/>
    </row>
    <row r="186" spans="2:27" s="328" customFormat="1" ht="34" customHeight="1" x14ac:dyDescent="0.2">
      <c r="B186" s="1460" t="s">
        <v>1895</v>
      </c>
      <c r="C186" s="55"/>
      <c r="D186" s="774"/>
      <c r="E186" s="775"/>
      <c r="F186" s="776"/>
      <c r="G186" s="776"/>
      <c r="H186" s="776"/>
      <c r="I186" s="776"/>
      <c r="J186" s="775"/>
      <c r="K186" s="498"/>
      <c r="L186" s="776"/>
      <c r="M186" s="776"/>
      <c r="N186" s="776"/>
      <c r="O186" s="776"/>
      <c r="P186" s="776"/>
      <c r="Q186" s="776"/>
      <c r="R186" s="112"/>
      <c r="S186" s="777"/>
      <c r="T186" s="777"/>
      <c r="U186" s="777"/>
      <c r="V186" s="778"/>
      <c r="W186" s="779"/>
      <c r="X186" s="779"/>
      <c r="Y186" s="779"/>
      <c r="Z186" s="779"/>
      <c r="AA186"/>
    </row>
    <row r="187" spans="2:27" s="328" customFormat="1" ht="31" customHeight="1" x14ac:dyDescent="0.2">
      <c r="B187" s="2906" t="s">
        <v>1996</v>
      </c>
      <c r="C187" s="2907"/>
      <c r="D187" s="2907"/>
      <c r="E187" s="2907"/>
      <c r="F187" s="2907"/>
      <c r="G187" s="2907"/>
      <c r="H187" s="2907"/>
      <c r="I187" s="776"/>
      <c r="J187" s="775"/>
      <c r="K187" s="498"/>
      <c r="L187" s="776"/>
      <c r="M187" s="776"/>
      <c r="N187" s="776"/>
      <c r="O187" s="776"/>
      <c r="P187" s="776"/>
      <c r="Q187" s="776"/>
      <c r="R187" s="112"/>
      <c r="S187" s="777"/>
      <c r="T187" s="777"/>
      <c r="U187" s="777"/>
      <c r="V187" s="778"/>
      <c r="W187" s="779"/>
      <c r="X187" s="779"/>
      <c r="Y187" s="779"/>
      <c r="Z187" s="779"/>
      <c r="AA187"/>
    </row>
    <row r="188" spans="2:27" s="328" customFormat="1" ht="31" customHeight="1" x14ac:dyDescent="0.2">
      <c r="B188" s="2907"/>
      <c r="C188" s="2907"/>
      <c r="D188" s="2907"/>
      <c r="E188" s="2907"/>
      <c r="F188" s="2907"/>
      <c r="G188" s="2907"/>
      <c r="H188" s="2907"/>
      <c r="I188" s="776"/>
      <c r="J188" s="775"/>
      <c r="K188" s="498"/>
      <c r="L188" s="776"/>
      <c r="M188" s="776"/>
      <c r="N188" s="776"/>
      <c r="O188" s="776"/>
      <c r="P188" s="776"/>
      <c r="Q188" s="776"/>
      <c r="R188" s="112"/>
      <c r="S188" s="777"/>
      <c r="T188" s="777"/>
      <c r="U188" s="777"/>
      <c r="V188" s="778"/>
      <c r="W188" s="779"/>
      <c r="X188" s="779"/>
      <c r="Y188" s="779"/>
      <c r="Z188" s="779"/>
      <c r="AA188"/>
    </row>
    <row r="189" spans="2:27" s="328" customFormat="1" ht="45" customHeight="1" x14ac:dyDescent="0.2">
      <c r="B189" s="2908" t="s">
        <v>2324</v>
      </c>
      <c r="C189" s="2908"/>
      <c r="D189" s="2908"/>
      <c r="E189" s="2908"/>
      <c r="F189" s="2908"/>
      <c r="G189" s="2908"/>
      <c r="H189" s="2908"/>
      <c r="I189" s="776"/>
      <c r="J189" s="775"/>
      <c r="K189" s="498"/>
      <c r="L189" s="776"/>
      <c r="M189" s="776"/>
      <c r="N189" s="776"/>
      <c r="O189" s="776"/>
      <c r="P189" s="776"/>
      <c r="Q189" s="776"/>
      <c r="R189" s="112"/>
      <c r="S189" s="777"/>
      <c r="T189" s="777"/>
      <c r="U189" s="777"/>
      <c r="V189" s="778"/>
      <c r="W189" s="779"/>
      <c r="X189" s="779"/>
      <c r="Y189" s="779"/>
      <c r="Z189" s="779"/>
      <c r="AA189"/>
    </row>
    <row r="190" spans="2:27" s="328" customFormat="1" ht="40" customHeight="1" x14ac:dyDescent="0.2">
      <c r="B190" s="2907" t="s">
        <v>1976</v>
      </c>
      <c r="C190" s="2907"/>
      <c r="D190" s="2907"/>
      <c r="E190" s="2907"/>
      <c r="F190" s="2907"/>
      <c r="G190" s="2907"/>
      <c r="H190" s="2907"/>
      <c r="I190" s="776"/>
      <c r="J190" s="775"/>
      <c r="K190" s="498"/>
      <c r="L190" s="776"/>
      <c r="M190" s="776"/>
      <c r="N190" s="776"/>
      <c r="O190" s="776"/>
      <c r="P190" s="776"/>
      <c r="Q190" s="776"/>
      <c r="R190" s="112"/>
      <c r="S190" s="777"/>
      <c r="T190" s="777"/>
      <c r="U190" s="777"/>
      <c r="V190" s="778"/>
      <c r="W190" s="779"/>
      <c r="X190" s="779"/>
      <c r="Y190" s="779"/>
      <c r="Z190" s="779"/>
      <c r="AA190"/>
    </row>
    <row r="191" spans="2:27" s="328" customFormat="1" ht="34" customHeight="1" x14ac:dyDescent="0.2">
      <c r="B191" s="1688" t="s">
        <v>1978</v>
      </c>
      <c r="C191" s="1684">
        <f>COUNTIF('13'!$C$97:$C$183,"EU")</f>
        <v>68</v>
      </c>
      <c r="D191" s="774"/>
      <c r="E191" s="775"/>
      <c r="F191" s="776"/>
      <c r="G191" s="776"/>
      <c r="H191" s="776"/>
      <c r="I191" s="776"/>
      <c r="J191" s="775"/>
      <c r="K191" s="498"/>
      <c r="L191" s="776"/>
      <c r="M191" s="776"/>
      <c r="N191" s="776"/>
      <c r="O191" s="776"/>
      <c r="P191" s="776"/>
      <c r="Q191" s="776"/>
      <c r="R191" s="112"/>
      <c r="S191" s="777"/>
      <c r="T191" s="777"/>
      <c r="U191" s="777"/>
      <c r="V191" s="778"/>
      <c r="W191" s="779"/>
      <c r="X191" s="779"/>
      <c r="Y191" s="779"/>
      <c r="Z191" s="779"/>
      <c r="AA191"/>
    </row>
    <row r="192" spans="2:27" s="328" customFormat="1" ht="34" customHeight="1" x14ac:dyDescent="0.2">
      <c r="B192" s="1688" t="s">
        <v>1979</v>
      </c>
      <c r="C192" s="1684">
        <f>COUNTIF('13'!$C$97:$C$183,"NEU")</f>
        <v>19</v>
      </c>
      <c r="D192" s="774"/>
      <c r="E192" s="775"/>
      <c r="F192" s="776"/>
      <c r="G192" s="776"/>
      <c r="H192" s="776"/>
      <c r="I192" s="776"/>
      <c r="J192" s="775"/>
      <c r="K192" s="498"/>
      <c r="L192" s="776"/>
      <c r="M192" s="776"/>
      <c r="N192" s="776"/>
      <c r="O192" s="776"/>
      <c r="P192" s="776"/>
      <c r="Q192" s="776"/>
      <c r="R192" s="112"/>
      <c r="S192" s="777"/>
      <c r="T192" s="777"/>
      <c r="U192" s="777"/>
      <c r="V192" s="778"/>
      <c r="W192" s="779"/>
      <c r="X192" s="779"/>
      <c r="Y192" s="779"/>
      <c r="Z192" s="779"/>
      <c r="AA192"/>
    </row>
    <row r="193" spans="2:27" s="328" customFormat="1" ht="34" customHeight="1" x14ac:dyDescent="0.2">
      <c r="B193" s="1687" t="s">
        <v>1977</v>
      </c>
      <c r="C193" s="1685"/>
      <c r="D193" s="774"/>
      <c r="E193" s="775"/>
      <c r="F193" s="776"/>
      <c r="G193" s="776"/>
      <c r="H193" s="776"/>
      <c r="I193" s="776"/>
      <c r="J193" s="775"/>
      <c r="K193" s="498"/>
      <c r="L193" s="776"/>
      <c r="M193" s="776"/>
      <c r="N193" s="776"/>
      <c r="O193" s="776"/>
      <c r="P193" s="776"/>
      <c r="Q193" s="776"/>
      <c r="R193" s="112"/>
      <c r="S193" s="777"/>
      <c r="T193" s="777"/>
      <c r="U193" s="777"/>
      <c r="V193" s="778"/>
      <c r="W193" s="779"/>
      <c r="X193" s="779"/>
      <c r="Y193" s="779"/>
      <c r="Z193" s="779"/>
      <c r="AA193"/>
    </row>
    <row r="194" spans="2:27" s="328" customFormat="1" ht="34" customHeight="1" x14ac:dyDescent="0.2">
      <c r="B194" s="1688" t="s">
        <v>1980</v>
      </c>
      <c r="C194" s="1684">
        <f>C191*2</f>
        <v>136</v>
      </c>
      <c r="D194" s="774"/>
      <c r="E194" s="775"/>
      <c r="F194" s="776"/>
      <c r="G194" s="776"/>
      <c r="H194" s="776"/>
      <c r="I194" s="776"/>
      <c r="J194" s="775"/>
      <c r="K194" s="498"/>
      <c r="L194" s="776"/>
      <c r="M194" s="776"/>
      <c r="N194" s="776"/>
      <c r="O194" s="776"/>
      <c r="P194" s="776"/>
      <c r="Q194" s="776"/>
      <c r="R194" s="112"/>
      <c r="S194" s="777"/>
      <c r="T194" s="777"/>
      <c r="U194" s="777"/>
      <c r="V194" s="778"/>
      <c r="W194" s="779"/>
      <c r="X194" s="779"/>
      <c r="Y194" s="779"/>
      <c r="Z194" s="779"/>
      <c r="AA194"/>
    </row>
    <row r="195" spans="2:27" s="328" customFormat="1" ht="34" customHeight="1" x14ac:dyDescent="0.2">
      <c r="B195" s="1688" t="s">
        <v>1981</v>
      </c>
      <c r="C195" s="1684">
        <f>C192*2</f>
        <v>38</v>
      </c>
      <c r="D195" s="774"/>
      <c r="E195" s="775"/>
      <c r="F195" s="776"/>
      <c r="G195" s="776"/>
      <c r="H195" s="776"/>
      <c r="I195" s="776"/>
      <c r="J195" s="775"/>
      <c r="K195" s="498"/>
      <c r="L195" s="776"/>
      <c r="M195" s="776"/>
      <c r="N195" s="776"/>
      <c r="O195" s="776"/>
      <c r="P195" s="776"/>
      <c r="Q195" s="776"/>
      <c r="R195" s="112"/>
      <c r="S195" s="777"/>
      <c r="T195" s="777"/>
      <c r="U195" s="777"/>
      <c r="V195" s="778"/>
      <c r="W195" s="779"/>
      <c r="X195" s="779"/>
      <c r="Y195" s="779"/>
      <c r="Z195" s="779"/>
      <c r="AA195"/>
    </row>
    <row r="196" spans="2:27" s="328" customFormat="1" ht="34" customHeight="1" x14ac:dyDescent="0.2">
      <c r="B196" s="1687" t="s">
        <v>1982</v>
      </c>
      <c r="C196" s="1685"/>
      <c r="D196" s="774"/>
      <c r="E196" s="775"/>
      <c r="F196" s="776"/>
      <c r="G196" s="776"/>
      <c r="H196" s="776"/>
      <c r="I196" s="776"/>
      <c r="J196" s="775"/>
      <c r="K196" s="498"/>
      <c r="L196" s="776"/>
      <c r="M196" s="776"/>
      <c r="N196" s="776"/>
      <c r="O196" s="776"/>
      <c r="P196" s="776"/>
      <c r="Q196" s="776"/>
      <c r="R196" s="112"/>
      <c r="S196" s="777"/>
      <c r="T196" s="777"/>
      <c r="U196" s="777"/>
      <c r="V196" s="778"/>
      <c r="W196" s="779"/>
      <c r="X196" s="779"/>
      <c r="Y196" s="779"/>
      <c r="Z196" s="779"/>
      <c r="AA196"/>
    </row>
    <row r="197" spans="2:27" customFormat="1" ht="34" customHeight="1" x14ac:dyDescent="0.2"/>
    <row r="198" spans="2:27" s="328" customFormat="1" ht="34" customHeight="1" x14ac:dyDescent="0.2">
      <c r="B198" s="26" t="s">
        <v>1640</v>
      </c>
      <c r="C198" s="55"/>
      <c r="D198" s="774"/>
      <c r="E198" s="775"/>
      <c r="F198" s="776"/>
      <c r="G198" s="776"/>
      <c r="H198" s="776"/>
      <c r="I198" s="776"/>
      <c r="J198" s="775"/>
      <c r="K198" s="498"/>
      <c r="L198" s="776"/>
      <c r="M198" s="776"/>
      <c r="N198" s="776"/>
      <c r="O198" s="776"/>
      <c r="P198" s="776"/>
      <c r="Q198" s="776"/>
      <c r="R198" s="112"/>
      <c r="S198" s="777"/>
      <c r="T198" s="777"/>
      <c r="U198" s="777"/>
      <c r="V198" s="778"/>
      <c r="W198" s="779"/>
      <c r="X198" s="779"/>
      <c r="Y198" s="779"/>
      <c r="Z198" s="779"/>
      <c r="AA198"/>
    </row>
    <row r="199" spans="2:27" s="328" customFormat="1" ht="34" customHeight="1" x14ac:dyDescent="0.2">
      <c r="B199" s="1644" t="s">
        <v>1357</v>
      </c>
      <c r="C199" s="55"/>
      <c r="D199" s="774"/>
      <c r="E199" s="775"/>
      <c r="F199" s="776"/>
      <c r="G199" s="776"/>
      <c r="H199" s="776"/>
      <c r="I199" s="776"/>
      <c r="J199" s="775"/>
      <c r="K199" s="498"/>
      <c r="L199" s="776"/>
      <c r="M199" s="776"/>
      <c r="N199" s="776"/>
      <c r="O199" s="776"/>
      <c r="P199" s="776"/>
      <c r="Q199" s="776"/>
      <c r="R199" s="112"/>
      <c r="S199" s="777"/>
      <c r="T199" s="777"/>
      <c r="U199" s="777"/>
      <c r="V199" s="778"/>
      <c r="W199" s="779"/>
      <c r="X199" s="779"/>
      <c r="Y199" s="779"/>
      <c r="Z199" s="779"/>
      <c r="AA199"/>
    </row>
    <row r="200" spans="2:27" s="328" customFormat="1" ht="34" customHeight="1" x14ac:dyDescent="0.2">
      <c r="B200" s="1027" t="s">
        <v>1638</v>
      </c>
      <c r="C200" s="55"/>
      <c r="D200" s="774"/>
      <c r="E200" s="775"/>
      <c r="F200" s="776"/>
      <c r="G200" s="776"/>
      <c r="H200" s="776"/>
      <c r="I200" s="776"/>
      <c r="J200" s="775"/>
      <c r="K200" s="498"/>
      <c r="L200" s="776"/>
      <c r="M200" s="776"/>
      <c r="N200" s="776"/>
      <c r="O200" s="776"/>
      <c r="P200" s="776"/>
      <c r="Q200" s="776"/>
      <c r="R200" s="112"/>
      <c r="S200" s="777"/>
      <c r="T200" s="777"/>
      <c r="U200" s="777"/>
      <c r="V200" s="778"/>
      <c r="W200" s="779"/>
      <c r="X200" s="779"/>
      <c r="Y200" s="779"/>
      <c r="Z200" s="779"/>
      <c r="AA200"/>
    </row>
    <row r="201" spans="2:27" s="328" customFormat="1" ht="34" customHeight="1" thickBot="1" x14ac:dyDescent="0.25">
      <c r="B201" s="232"/>
      <c r="C201" s="55"/>
      <c r="D201" s="1034"/>
      <c r="E201" s="1034"/>
      <c r="F201" s="1034"/>
      <c r="G201" s="776"/>
      <c r="H201" s="776"/>
      <c r="I201" s="776"/>
      <c r="J201" s="775"/>
      <c r="K201" s="498"/>
      <c r="L201" s="776"/>
      <c r="M201" s="776"/>
      <c r="N201" s="776"/>
      <c r="O201" s="776"/>
      <c r="P201" s="776"/>
      <c r="Q201" s="776"/>
      <c r="R201" s="112"/>
      <c r="S201" s="777"/>
      <c r="T201" s="777"/>
      <c r="U201" s="777"/>
      <c r="V201" s="778"/>
      <c r="W201" s="779"/>
      <c r="X201" s="779"/>
      <c r="Y201" s="779"/>
      <c r="Z201" s="779"/>
      <c r="AA201"/>
    </row>
    <row r="202" spans="2:27" s="328" customFormat="1" ht="55" customHeight="1" thickBot="1" x14ac:dyDescent="0.25">
      <c r="B202"/>
      <c r="C202"/>
      <c r="D202" s="1903" t="s">
        <v>1560</v>
      </c>
      <c r="E202" s="1904" t="s">
        <v>1558</v>
      </c>
      <c r="F202" s="1905" t="s">
        <v>781</v>
      </c>
      <c r="G202" s="1905" t="s">
        <v>1547</v>
      </c>
      <c r="H202" s="1906" t="s">
        <v>782</v>
      </c>
      <c r="I202" s="1702" t="s">
        <v>37</v>
      </c>
      <c r="J202" s="775"/>
      <c r="K202" s="498"/>
      <c r="L202" s="776"/>
      <c r="M202" s="776"/>
      <c r="N202" s="776"/>
      <c r="O202" s="776"/>
      <c r="P202" s="776"/>
      <c r="Q202" s="776"/>
      <c r="R202" s="112"/>
      <c r="S202" s="777"/>
      <c r="T202" s="777"/>
      <c r="U202" s="777"/>
      <c r="V202" s="778"/>
      <c r="W202" s="779"/>
      <c r="X202" s="779"/>
      <c r="Y202" s="779"/>
      <c r="Z202" s="779"/>
      <c r="AA202"/>
    </row>
    <row r="203" spans="2:27" s="328" customFormat="1" ht="55" customHeight="1" thickBot="1" x14ac:dyDescent="0.25">
      <c r="B203" s="1941" t="s">
        <v>1546</v>
      </c>
      <c r="C203" s="1912" t="s">
        <v>2028</v>
      </c>
      <c r="D203" s="1913">
        <f>C35</f>
        <v>42</v>
      </c>
      <c r="E203" s="1907">
        <v>1</v>
      </c>
      <c r="F203" s="1914">
        <f>C35</f>
        <v>42</v>
      </c>
      <c r="G203" s="1914">
        <f>AVERAGEIF('13'!C97:C183,"EU",'13'!E97:E183)</f>
        <v>47.352941176470587</v>
      </c>
      <c r="H203" s="1915">
        <f>AVERAGEIF('13'!$C$97:$C$183,"NEU",'13'!$E$97:$E$183)</f>
        <v>50</v>
      </c>
      <c r="I203" s="1916"/>
      <c r="J203" s="775"/>
      <c r="K203" s="498"/>
      <c r="L203" s="776"/>
      <c r="M203" s="776"/>
      <c r="N203" s="776"/>
      <c r="O203" s="776"/>
      <c r="P203" s="776"/>
      <c r="Q203" s="776"/>
      <c r="R203" s="112"/>
      <c r="S203" s="777"/>
      <c r="T203" s="777"/>
      <c r="U203" s="777"/>
      <c r="V203" s="778"/>
      <c r="W203" s="779"/>
      <c r="X203" s="779"/>
      <c r="Y203" s="779"/>
      <c r="Z203" s="779"/>
      <c r="AA203"/>
    </row>
    <row r="204" spans="2:27" s="328" customFormat="1" ht="34" customHeight="1" x14ac:dyDescent="0.2">
      <c r="B204" s="2909" t="s">
        <v>773</v>
      </c>
      <c r="C204" s="1917" t="s">
        <v>1587</v>
      </c>
      <c r="D204" s="1909">
        <f>$C$302</f>
        <v>1369</v>
      </c>
      <c r="E204" s="1910">
        <f>(1-D207)*$C$302</f>
        <v>951.45500000000004</v>
      </c>
      <c r="F204" s="1910">
        <f>$C$302</f>
        <v>1369</v>
      </c>
      <c r="G204" s="1910">
        <f>'16'!G191</f>
        <v>136</v>
      </c>
      <c r="H204" s="1911">
        <f>'16'!I191</f>
        <v>38</v>
      </c>
      <c r="I204" s="1908"/>
      <c r="J204" s="525"/>
      <c r="M204" s="776"/>
      <c r="N204" s="776"/>
      <c r="O204" s="776"/>
      <c r="P204" s="776"/>
      <c r="Q204" s="776"/>
      <c r="R204" s="112"/>
      <c r="S204" s="777"/>
      <c r="T204" s="777"/>
      <c r="U204" s="777"/>
      <c r="V204" s="778"/>
      <c r="W204" s="779"/>
      <c r="X204" s="779"/>
      <c r="Y204" s="779"/>
      <c r="Z204" s="779"/>
      <c r="AA204"/>
    </row>
    <row r="205" spans="2:27" s="328" customFormat="1" ht="34" customHeight="1" thickBot="1" x14ac:dyDescent="0.25">
      <c r="B205" s="2910"/>
      <c r="C205" s="1918" t="s">
        <v>1563</v>
      </c>
      <c r="D205" s="1919">
        <f>$C$34</f>
        <v>1120</v>
      </c>
      <c r="E205" s="1920">
        <f>$C$34</f>
        <v>1120</v>
      </c>
      <c r="F205" s="1920">
        <f>C59</f>
        <v>41.595245732871298</v>
      </c>
      <c r="G205" s="1920">
        <f>AVERAGEIF($C$97:$C$183,"EU",$F$97:$F$183)*2</f>
        <v>2084.8823529411766</v>
      </c>
      <c r="H205" s="1921">
        <f>AVERAGEIF($C$97:$C$183,"NEU",$F$97:$F$183)*2</f>
        <v>15206.736842105263</v>
      </c>
      <c r="I205" s="1922" t="s">
        <v>1997</v>
      </c>
      <c r="M205" s="776"/>
      <c r="N205" s="776"/>
      <c r="O205" s="776"/>
      <c r="P205" s="776"/>
      <c r="Q205" s="776"/>
      <c r="R205" s="112"/>
      <c r="S205" s="777"/>
      <c r="T205" s="777"/>
      <c r="U205" s="777"/>
      <c r="V205" s="778"/>
      <c r="W205" s="779"/>
      <c r="X205" s="779"/>
      <c r="Y205" s="779"/>
      <c r="Z205" s="779"/>
      <c r="AA205"/>
    </row>
    <row r="206" spans="2:27" s="328" customFormat="1" ht="34" customHeight="1" x14ac:dyDescent="0.2">
      <c r="B206" s="2911" t="s">
        <v>722</v>
      </c>
      <c r="C206" s="1705" t="s">
        <v>726</v>
      </c>
      <c r="D206" s="1706">
        <f>C39</f>
        <v>0.10500000000000001</v>
      </c>
      <c r="E206" s="1707"/>
      <c r="F206" s="1708"/>
      <c r="G206" s="1708"/>
      <c r="H206" s="1709"/>
      <c r="I206" s="1710"/>
      <c r="O206" s="776"/>
      <c r="P206" s="776"/>
      <c r="Q206" s="776"/>
      <c r="R206" s="112"/>
      <c r="S206" s="777"/>
      <c r="T206" s="777"/>
      <c r="U206" s="777"/>
      <c r="V206" s="778"/>
      <c r="W206" s="779"/>
      <c r="X206" s="779"/>
      <c r="Y206" s="779"/>
      <c r="Z206" s="779"/>
      <c r="AA206"/>
    </row>
    <row r="207" spans="2:27" s="328" customFormat="1" ht="34" customHeight="1" x14ac:dyDescent="0.2">
      <c r="B207" s="2912"/>
      <c r="C207" s="1705" t="s">
        <v>728</v>
      </c>
      <c r="D207" s="1706">
        <f>C40</f>
        <v>0.30499999999999999</v>
      </c>
      <c r="E207" s="1711"/>
      <c r="F207" s="1712"/>
      <c r="G207" s="1713"/>
      <c r="H207" s="1714"/>
      <c r="I207" s="1715"/>
      <c r="O207" s="776"/>
      <c r="P207" s="776"/>
      <c r="Q207" s="776"/>
      <c r="R207" s="112"/>
      <c r="S207" s="777"/>
      <c r="T207" s="777"/>
      <c r="U207" s="777"/>
      <c r="V207" s="778"/>
      <c r="W207" s="779"/>
      <c r="X207" s="779"/>
      <c r="Y207" s="779"/>
      <c r="Z207" s="779"/>
      <c r="AA207"/>
    </row>
    <row r="208" spans="2:27" s="328" customFormat="1" ht="34" customHeight="1" x14ac:dyDescent="0.2">
      <c r="B208" s="2912"/>
      <c r="C208" s="1705" t="s">
        <v>756</v>
      </c>
      <c r="D208" s="1706">
        <f>C41</f>
        <v>0.29500000000000004</v>
      </c>
      <c r="E208" s="1711"/>
      <c r="F208" s="1712"/>
      <c r="G208" s="2914">
        <v>1</v>
      </c>
      <c r="H208" s="2916">
        <v>1</v>
      </c>
      <c r="I208" s="1716"/>
      <c r="O208" s="776"/>
      <c r="P208" s="776"/>
      <c r="Q208" s="776"/>
      <c r="R208" s="112"/>
      <c r="S208" s="777"/>
      <c r="T208" s="777"/>
      <c r="U208" s="777"/>
      <c r="V208" s="778"/>
      <c r="W208" s="779"/>
      <c r="X208" s="779"/>
      <c r="Y208" s="779"/>
      <c r="Z208" s="779"/>
      <c r="AA208"/>
    </row>
    <row r="209" spans="2:27" s="328" customFormat="1" ht="34" customHeight="1" x14ac:dyDescent="0.2">
      <c r="B209" s="2912"/>
      <c r="C209" s="1705" t="s">
        <v>735</v>
      </c>
      <c r="D209" s="1706">
        <f>C42</f>
        <v>0.29500000000000004</v>
      </c>
      <c r="E209" s="1711"/>
      <c r="F209" s="1712"/>
      <c r="G209" s="2915"/>
      <c r="H209" s="2917"/>
      <c r="I209" s="1716"/>
      <c r="O209" s="776"/>
      <c r="P209" s="776"/>
      <c r="Q209" s="776"/>
      <c r="R209" s="112"/>
      <c r="S209" s="777"/>
      <c r="T209" s="777"/>
      <c r="U209" s="777"/>
      <c r="V209" s="778"/>
      <c r="W209" s="779"/>
      <c r="X209" s="779"/>
      <c r="Y209" s="779"/>
      <c r="Z209" s="779"/>
      <c r="AA209"/>
    </row>
    <row r="210" spans="2:27" s="328" customFormat="1" ht="34" customHeight="1" thickBot="1" x14ac:dyDescent="0.25">
      <c r="B210" s="2913"/>
      <c r="C210" s="1717" t="s">
        <v>1556</v>
      </c>
      <c r="D210" s="1718"/>
      <c r="E210" s="1719"/>
      <c r="F210" s="1720">
        <v>1</v>
      </c>
      <c r="G210" s="1720"/>
      <c r="H210" s="1721"/>
      <c r="I210" s="1722"/>
      <c r="O210" s="776"/>
      <c r="P210" s="776"/>
      <c r="Q210" s="776"/>
      <c r="R210" s="112"/>
      <c r="S210" s="777"/>
      <c r="T210" s="777"/>
      <c r="U210" s="777"/>
      <c r="V210" s="778"/>
      <c r="W210" s="779"/>
      <c r="X210" s="779"/>
      <c r="Y210" s="779"/>
      <c r="Z210" s="779"/>
      <c r="AA210"/>
    </row>
    <row r="211" spans="2:27" s="328" customFormat="1" ht="34" customHeight="1" x14ac:dyDescent="0.2">
      <c r="B211" s="2911" t="s">
        <v>775</v>
      </c>
      <c r="C211" s="1723" t="s">
        <v>758</v>
      </c>
      <c r="D211" s="1724">
        <f>C237</f>
        <v>3.3400000000000001E-3</v>
      </c>
      <c r="E211" s="1725"/>
      <c r="F211" s="1726"/>
      <c r="G211" s="1726"/>
      <c r="H211" s="1727"/>
      <c r="I211" s="1728"/>
      <c r="O211" s="776"/>
      <c r="P211" s="776"/>
      <c r="Q211" s="776"/>
      <c r="R211" s="112"/>
      <c r="S211" s="777"/>
      <c r="T211" s="777"/>
      <c r="U211" s="777"/>
      <c r="V211" s="778"/>
      <c r="W211" s="779"/>
      <c r="X211" s="779"/>
      <c r="Y211" s="779"/>
      <c r="Z211" s="779"/>
      <c r="AA211"/>
    </row>
    <row r="212" spans="2:27" s="328" customFormat="1" ht="34" customHeight="1" x14ac:dyDescent="0.2">
      <c r="B212" s="2912"/>
      <c r="C212" s="1705" t="s">
        <v>759</v>
      </c>
      <c r="D212" s="1729">
        <f>C231</f>
        <v>2.9499999999999998E-2</v>
      </c>
      <c r="E212" s="1730"/>
      <c r="F212" s="1712"/>
      <c r="G212" s="1712"/>
      <c r="H212" s="1731"/>
      <c r="I212" s="1716"/>
      <c r="O212" s="776"/>
      <c r="P212" s="776"/>
      <c r="Q212" s="776"/>
      <c r="R212" s="112"/>
      <c r="S212" s="777"/>
      <c r="T212" s="777"/>
      <c r="U212" s="777"/>
      <c r="V212" s="778"/>
      <c r="W212" s="779"/>
      <c r="X212" s="779"/>
      <c r="Y212" s="779"/>
      <c r="Z212" s="779"/>
      <c r="AA212"/>
    </row>
    <row r="213" spans="2:27" s="328" customFormat="1" ht="34" customHeight="1" x14ac:dyDescent="0.2">
      <c r="B213" s="2912"/>
      <c r="C213" s="1705" t="s">
        <v>1564</v>
      </c>
      <c r="D213" s="1729">
        <f>C233</f>
        <v>0.25800000000000001</v>
      </c>
      <c r="E213" s="1732"/>
      <c r="F213" s="1712"/>
      <c r="G213" s="2918">
        <f>AVERAGE($C$232:$C$233)</f>
        <v>0.39250000000000002</v>
      </c>
      <c r="H213" s="2920">
        <f>AVERAGE($C$232,$C$235)</f>
        <v>0.33950000000000002</v>
      </c>
      <c r="I213" s="1716"/>
      <c r="O213" s="776"/>
      <c r="P213" s="776"/>
      <c r="Q213" s="776"/>
      <c r="R213" s="112"/>
      <c r="S213" s="777"/>
      <c r="T213" s="777"/>
      <c r="U213" s="777"/>
      <c r="V213" s="778"/>
      <c r="W213" s="779"/>
      <c r="X213" s="779"/>
      <c r="Y213" s="779"/>
      <c r="Z213" s="779"/>
      <c r="AA213"/>
    </row>
    <row r="214" spans="2:27" s="328" customFormat="1" ht="34" customHeight="1" x14ac:dyDescent="0.2">
      <c r="B214" s="2912"/>
      <c r="C214" s="1705" t="s">
        <v>761</v>
      </c>
      <c r="D214" s="1729">
        <f>C232</f>
        <v>0.52700000000000002</v>
      </c>
      <c r="E214" s="1732"/>
      <c r="F214" s="1712"/>
      <c r="G214" s="2919"/>
      <c r="H214" s="2921"/>
      <c r="I214" s="1716"/>
      <c r="O214" s="776"/>
      <c r="P214" s="776"/>
      <c r="Q214" s="776"/>
      <c r="R214" s="112"/>
      <c r="S214" s="777"/>
      <c r="T214" s="777"/>
      <c r="U214" s="777"/>
      <c r="V214" s="778"/>
      <c r="W214" s="779"/>
      <c r="X214" s="779"/>
      <c r="Y214" s="779"/>
      <c r="Z214" s="779"/>
      <c r="AA214"/>
    </row>
    <row r="215" spans="2:27" s="328" customFormat="1" ht="34" customHeight="1" x14ac:dyDescent="0.2">
      <c r="B215" s="2912"/>
      <c r="C215" s="1733" t="s">
        <v>762</v>
      </c>
      <c r="D215" s="1729"/>
      <c r="E215" s="1730">
        <f>H231</f>
        <v>0.89620999999999984</v>
      </c>
      <c r="F215" s="1712"/>
      <c r="G215" s="1712"/>
      <c r="H215" s="1731"/>
      <c r="I215" s="1716"/>
      <c r="O215" s="776"/>
      <c r="P215" s="776"/>
      <c r="Q215" s="776"/>
      <c r="R215" s="112"/>
      <c r="S215" s="777"/>
      <c r="T215" s="777"/>
      <c r="U215" s="777"/>
      <c r="V215" s="778"/>
      <c r="W215" s="779"/>
      <c r="X215" s="779"/>
      <c r="Y215" s="779"/>
      <c r="Z215" s="779"/>
      <c r="AA215"/>
    </row>
    <row r="216" spans="2:27" s="328" customFormat="1" ht="34" customHeight="1" thickBot="1" x14ac:dyDescent="0.25">
      <c r="B216" s="2913"/>
      <c r="C216" s="1733" t="s">
        <v>763</v>
      </c>
      <c r="D216" s="1734"/>
      <c r="E216" s="1735"/>
      <c r="F216" s="1736">
        <f>C229</f>
        <v>0.17280000000000001</v>
      </c>
      <c r="G216" s="1736"/>
      <c r="H216" s="1737"/>
      <c r="I216" s="1722"/>
      <c r="M216" s="2539"/>
      <c r="O216" s="776"/>
      <c r="P216" s="776"/>
      <c r="Q216" s="776"/>
      <c r="R216" s="112"/>
      <c r="S216" s="777"/>
      <c r="T216" s="777"/>
      <c r="U216" s="777"/>
      <c r="V216" s="778"/>
      <c r="W216" s="779"/>
      <c r="X216" s="779"/>
      <c r="Y216" s="779"/>
      <c r="Z216" s="779"/>
      <c r="AA216"/>
    </row>
    <row r="217" spans="2:27" s="328" customFormat="1" ht="34" customHeight="1" thickBot="1" x14ac:dyDescent="0.25">
      <c r="B217" s="1681" t="s">
        <v>764</v>
      </c>
      <c r="C217" s="1682"/>
      <c r="D217" s="1076">
        <f>D203*D205*D204*(SUMPRODUCT(D206:D209,D211:D214))/1000</f>
        <v>15514.914412032003</v>
      </c>
      <c r="E217" s="1077">
        <f>E203*E205*E215*E204/10^3</f>
        <v>955.02790381599982</v>
      </c>
      <c r="F217" s="1078">
        <f>F203*F205*F210*F204*F216/10^3</f>
        <v>413.27598628488397</v>
      </c>
      <c r="G217" s="1078">
        <f>G203*G204*G205*G208*G213/10^3</f>
        <v>5269.9571235294125</v>
      </c>
      <c r="H217" s="1703">
        <f>H203*H205*H204*H208*H213/10^3</f>
        <v>9809.1056000000008</v>
      </c>
      <c r="I217" s="1704"/>
      <c r="O217" s="776"/>
      <c r="P217" s="776"/>
      <c r="Q217" s="776"/>
      <c r="R217" s="112"/>
      <c r="S217" s="777"/>
      <c r="T217" s="777"/>
      <c r="U217" s="777"/>
      <c r="V217" s="778"/>
      <c r="W217" s="779"/>
      <c r="X217" s="779"/>
      <c r="Y217" s="779"/>
      <c r="Z217" s="779"/>
      <c r="AA217"/>
    </row>
    <row r="218" spans="2:27" s="328" customFormat="1" ht="34" customHeight="1" x14ac:dyDescent="0.2">
      <c r="B218" s="55"/>
      <c r="C218"/>
      <c r="D218"/>
      <c r="E218" s="55"/>
      <c r="F218" s="55"/>
      <c r="G218" s="55"/>
      <c r="H218" s="55"/>
      <c r="O218" s="776"/>
      <c r="P218" s="776"/>
      <c r="Q218" s="776"/>
      <c r="R218" s="112"/>
      <c r="S218" s="777"/>
      <c r="T218" s="777"/>
      <c r="U218" s="777"/>
      <c r="V218" s="778"/>
      <c r="W218" s="779"/>
      <c r="X218" s="779"/>
      <c r="Y218" s="779"/>
      <c r="Z218" s="779"/>
      <c r="AA218"/>
    </row>
    <row r="219" spans="2:27" s="328" customFormat="1" ht="25" customHeight="1" thickBot="1" x14ac:dyDescent="0.25">
      <c r="B219" s="282"/>
      <c r="C219" s="529"/>
      <c r="D219"/>
      <c r="E219" s="2323"/>
      <c r="F219" s="297"/>
      <c r="G219" s="297"/>
      <c r="H219" s="297"/>
      <c r="L219" s="283"/>
      <c r="T219" s="232"/>
      <c r="U219" s="232"/>
      <c r="V219" s="281"/>
      <c r="W219" s="281"/>
      <c r="X219" s="496"/>
      <c r="Y219" s="232"/>
      <c r="Z219" s="497"/>
      <c r="AA219" s="232"/>
    </row>
    <row r="220" spans="2:27" ht="42" customHeight="1" thickBot="1" x14ac:dyDescent="0.25">
      <c r="B220" s="526" t="s">
        <v>765</v>
      </c>
      <c r="C220" s="527">
        <f>SUM(D217:H217)</f>
        <v>31962.281025662298</v>
      </c>
      <c r="D220" s="528" t="s">
        <v>71</v>
      </c>
      <c r="F220" s="1285"/>
      <c r="G220" s="346"/>
      <c r="H220" s="346"/>
      <c r="I220" s="1285"/>
    </row>
    <row r="221" spans="2:27" ht="26" customHeight="1" x14ac:dyDescent="0.2">
      <c r="B221" s="535"/>
      <c r="C221" s="536"/>
      <c r="D221" s="537"/>
      <c r="F221" s="2322"/>
    </row>
    <row r="222" spans="2:27" ht="26" customHeight="1" x14ac:dyDescent="0.2">
      <c r="B222" s="535"/>
      <c r="C222" s="536"/>
      <c r="D222" s="537"/>
    </row>
    <row r="223" spans="2:27" ht="26" customHeight="1" x14ac:dyDescent="0.2"/>
    <row r="224" spans="2:27" ht="31" customHeight="1" x14ac:dyDescent="0.2">
      <c r="B224" s="433" t="s">
        <v>1352</v>
      </c>
    </row>
    <row r="225" spans="2:12" ht="31" hidden="1" customHeight="1" outlineLevel="2" x14ac:dyDescent="0.2">
      <c r="L225" s="473"/>
    </row>
    <row r="226" spans="2:12" ht="31" hidden="1" customHeight="1" outlineLevel="2" x14ac:dyDescent="0.2">
      <c r="B226" s="1634" t="s">
        <v>692</v>
      </c>
    </row>
    <row r="227" spans="2:12" ht="31" hidden="1" customHeight="1" outlineLevel="2" x14ac:dyDescent="0.2">
      <c r="B227" s="474"/>
      <c r="G227"/>
      <c r="H227"/>
      <c r="I227"/>
      <c r="J227"/>
      <c r="K227"/>
    </row>
    <row r="228" spans="2:12" ht="31" hidden="1" customHeight="1" outlineLevel="2" x14ac:dyDescent="0.2">
      <c r="B228" s="60" t="s">
        <v>124</v>
      </c>
      <c r="C228" s="60" t="s">
        <v>36</v>
      </c>
      <c r="D228" s="60" t="s">
        <v>59</v>
      </c>
      <c r="E228" s="60" t="s">
        <v>1644</v>
      </c>
      <c r="G228" s="328" t="s">
        <v>1643</v>
      </c>
    </row>
    <row r="229" spans="2:12" ht="31" hidden="1" customHeight="1" outlineLevel="2" x14ac:dyDescent="0.2">
      <c r="B229" s="81" t="s">
        <v>695</v>
      </c>
      <c r="C229" s="217">
        <f>'22'!C170</f>
        <v>0.17280000000000001</v>
      </c>
      <c r="D229" s="81" t="s">
        <v>696</v>
      </c>
      <c r="E229" s="1063" t="s">
        <v>1646</v>
      </c>
      <c r="H229" s="60" t="s">
        <v>36</v>
      </c>
      <c r="I229" s="60" t="s">
        <v>62</v>
      </c>
      <c r="J229" s="60" t="s">
        <v>125</v>
      </c>
      <c r="K229" s="475" t="s">
        <v>37</v>
      </c>
    </row>
    <row r="230" spans="2:12" ht="31" hidden="1" customHeight="1" outlineLevel="2" x14ac:dyDescent="0.2">
      <c r="B230" s="81" t="s">
        <v>708</v>
      </c>
      <c r="C230" s="216">
        <v>0.129</v>
      </c>
      <c r="D230" s="81" t="s">
        <v>696</v>
      </c>
      <c r="E230" s="81" t="s">
        <v>127</v>
      </c>
      <c r="G230" s="81" t="s">
        <v>709</v>
      </c>
      <c r="H230" s="216">
        <v>2.9499999999999998E-2</v>
      </c>
      <c r="I230" s="81" t="s">
        <v>701</v>
      </c>
      <c r="J230" s="81" t="s">
        <v>127</v>
      </c>
      <c r="K230" s="81"/>
    </row>
    <row r="231" spans="2:12" ht="31" hidden="1" customHeight="1" outlineLevel="2" x14ac:dyDescent="0.2">
      <c r="B231" s="81" t="s">
        <v>709</v>
      </c>
      <c r="C231" s="216">
        <v>2.9499999999999998E-2</v>
      </c>
      <c r="D231" s="81" t="s">
        <v>696</v>
      </c>
      <c r="E231" s="81" t="s">
        <v>127</v>
      </c>
      <c r="G231" s="81" t="s">
        <v>733</v>
      </c>
      <c r="H231" s="476">
        <f>H230*0.62*49</f>
        <v>0.89620999999999984</v>
      </c>
      <c r="I231" s="81" t="s">
        <v>716</v>
      </c>
      <c r="J231" s="81"/>
      <c r="K231" s="495" t="s">
        <v>734</v>
      </c>
    </row>
    <row r="232" spans="2:12" ht="31" hidden="1" customHeight="1" outlineLevel="2" x14ac:dyDescent="0.2">
      <c r="B232" s="544" t="s">
        <v>712</v>
      </c>
      <c r="C232" s="218">
        <v>0.52700000000000002</v>
      </c>
      <c r="D232" s="76" t="s">
        <v>696</v>
      </c>
      <c r="E232" s="76" t="s">
        <v>127</v>
      </c>
      <c r="G232"/>
      <c r="H232"/>
      <c r="I232"/>
      <c r="J232"/>
      <c r="K232"/>
    </row>
    <row r="233" spans="2:12" ht="31" hidden="1" customHeight="1" outlineLevel="2" x14ac:dyDescent="0.2">
      <c r="B233" s="81" t="s">
        <v>715</v>
      </c>
      <c r="C233" s="216">
        <v>0.25800000000000001</v>
      </c>
      <c r="D233" s="81" t="s">
        <v>696</v>
      </c>
      <c r="E233" s="81" t="s">
        <v>127</v>
      </c>
      <c r="G233"/>
      <c r="H233"/>
      <c r="I233"/>
      <c r="J233"/>
      <c r="K233"/>
    </row>
    <row r="234" spans="2:12" ht="31" hidden="1" customHeight="1" outlineLevel="2" x14ac:dyDescent="0.2">
      <c r="B234" s="81" t="s">
        <v>718</v>
      </c>
      <c r="C234" s="216">
        <v>0.187</v>
      </c>
      <c r="D234" s="81" t="s">
        <v>696</v>
      </c>
      <c r="E234" s="81" t="s">
        <v>127</v>
      </c>
      <c r="G234"/>
      <c r="H234"/>
      <c r="I234"/>
      <c r="J234"/>
      <c r="K234"/>
    </row>
    <row r="235" spans="2:12" ht="31" hidden="1" customHeight="1" outlineLevel="2" x14ac:dyDescent="0.2">
      <c r="B235" s="81" t="s">
        <v>719</v>
      </c>
      <c r="C235" s="216">
        <v>0.152</v>
      </c>
      <c r="D235" s="81" t="s">
        <v>696</v>
      </c>
      <c r="E235" s="81" t="s">
        <v>127</v>
      </c>
      <c r="G235"/>
      <c r="H235"/>
      <c r="I235"/>
      <c r="J235"/>
      <c r="K235"/>
    </row>
    <row r="236" spans="2:12" ht="31" hidden="1" customHeight="1" outlineLevel="2" x14ac:dyDescent="0.2">
      <c r="B236" s="81" t="s">
        <v>720</v>
      </c>
      <c r="C236" s="216">
        <v>3.1699999999999999E-2</v>
      </c>
      <c r="D236" s="81" t="s">
        <v>696</v>
      </c>
      <c r="E236" s="81" t="s">
        <v>127</v>
      </c>
      <c r="G236"/>
      <c r="H236"/>
      <c r="I236"/>
      <c r="J236"/>
      <c r="K236"/>
    </row>
    <row r="237" spans="2:12" ht="31" hidden="1" customHeight="1" outlineLevel="2" x14ac:dyDescent="0.2">
      <c r="B237" s="81" t="s">
        <v>725</v>
      </c>
      <c r="C237" s="268">
        <f>3.34*10^-3</f>
        <v>3.3400000000000001E-3</v>
      </c>
      <c r="D237" s="81" t="s">
        <v>696</v>
      </c>
      <c r="E237" s="81" t="s">
        <v>127</v>
      </c>
      <c r="G237"/>
      <c r="H237"/>
      <c r="I237"/>
      <c r="J237"/>
      <c r="K237"/>
    </row>
    <row r="238" spans="2:12" ht="31" hidden="1" customHeight="1" outlineLevel="2" x14ac:dyDescent="0.2">
      <c r="B238" s="81" t="s">
        <v>729</v>
      </c>
      <c r="C238" s="217">
        <v>0.153</v>
      </c>
      <c r="D238" s="81" t="s">
        <v>730</v>
      </c>
      <c r="E238" s="87" t="s">
        <v>127</v>
      </c>
      <c r="G238"/>
      <c r="H238"/>
      <c r="I238"/>
      <c r="J238"/>
      <c r="K238"/>
    </row>
    <row r="239" spans="2:12" ht="31" hidden="1" customHeight="1" outlineLevel="2" x14ac:dyDescent="0.2">
      <c r="B239" s="81" t="s">
        <v>732</v>
      </c>
      <c r="C239" s="216">
        <v>0.13500000000000001</v>
      </c>
      <c r="D239" s="81" t="s">
        <v>730</v>
      </c>
      <c r="E239" s="87" t="s">
        <v>127</v>
      </c>
    </row>
    <row r="240" spans="2:12" ht="31" hidden="1" customHeight="1" outlineLevel="2" x14ac:dyDescent="0.2">
      <c r="K240" s="477"/>
    </row>
    <row r="241" spans="2:11" ht="31" hidden="1" customHeight="1" outlineLevel="2" x14ac:dyDescent="0.2">
      <c r="K241" s="478"/>
    </row>
    <row r="242" spans="2:11" ht="31" hidden="1" customHeight="1" outlineLevel="2" x14ac:dyDescent="0.2">
      <c r="B242" s="1634" t="s">
        <v>736</v>
      </c>
    </row>
    <row r="243" spans="2:11" ht="19" hidden="1" customHeight="1" outlineLevel="2" x14ac:dyDescent="0.2">
      <c r="B243" s="75"/>
    </row>
    <row r="244" spans="2:11" ht="19" hidden="1" customHeight="1" outlineLevel="2" x14ac:dyDescent="0.2">
      <c r="B244" s="644" t="s">
        <v>1538</v>
      </c>
      <c r="H244" s="644" t="s">
        <v>1539</v>
      </c>
      <c r="I244" s="2"/>
    </row>
    <row r="245" spans="2:11" ht="19" hidden="1" customHeight="1" outlineLevel="2" x14ac:dyDescent="0.2">
      <c r="H245" s="2"/>
      <c r="I245" s="2"/>
    </row>
    <row r="246" spans="2:11" ht="27" hidden="1" customHeight="1" outlineLevel="2" x14ac:dyDescent="0.2">
      <c r="C246" s="60" t="s">
        <v>740</v>
      </c>
      <c r="D246" s="60" t="s">
        <v>741</v>
      </c>
      <c r="H246" s="2"/>
      <c r="I246" s="2"/>
    </row>
    <row r="247" spans="2:11" ht="22" hidden="1" customHeight="1" outlineLevel="2" x14ac:dyDescent="0.2">
      <c r="B247" s="60" t="s">
        <v>721</v>
      </c>
      <c r="C247" s="60" t="s">
        <v>7</v>
      </c>
      <c r="D247" s="60" t="s">
        <v>7</v>
      </c>
      <c r="E247" s="60" t="s">
        <v>90</v>
      </c>
      <c r="H247" s="60" t="s">
        <v>721</v>
      </c>
      <c r="I247" s="60" t="s">
        <v>7</v>
      </c>
    </row>
    <row r="248" spans="2:11" ht="22" hidden="1" customHeight="1" outlineLevel="2" x14ac:dyDescent="0.2">
      <c r="B248" s="77" t="s">
        <v>742</v>
      </c>
      <c r="C248" s="369">
        <v>0.65</v>
      </c>
      <c r="D248" s="369">
        <v>0.53</v>
      </c>
      <c r="E248" s="456">
        <f t="shared" ref="E248:E250" si="3">AVERAGE(C248:D248)</f>
        <v>0.59000000000000008</v>
      </c>
      <c r="H248" s="77" t="s">
        <v>742</v>
      </c>
      <c r="I248" s="369">
        <v>1</v>
      </c>
    </row>
    <row r="249" spans="2:11" ht="22" hidden="1" customHeight="1" outlineLevel="2" x14ac:dyDescent="0.2">
      <c r="B249" s="77" t="s">
        <v>728</v>
      </c>
      <c r="C249" s="369">
        <v>0.31</v>
      </c>
      <c r="D249" s="369">
        <v>0.3</v>
      </c>
      <c r="E249" s="456">
        <f t="shared" si="3"/>
        <v>0.30499999999999999</v>
      </c>
      <c r="H249" s="77" t="s">
        <v>726</v>
      </c>
      <c r="I249" s="369">
        <v>0</v>
      </c>
    </row>
    <row r="250" spans="2:11" ht="22" hidden="1" customHeight="1" outlineLevel="2" x14ac:dyDescent="0.2">
      <c r="B250" s="77" t="s">
        <v>726</v>
      </c>
      <c r="C250" s="369">
        <v>0.04</v>
      </c>
      <c r="D250" s="369">
        <v>0.17</v>
      </c>
      <c r="E250" s="456">
        <f t="shared" si="3"/>
        <v>0.10500000000000001</v>
      </c>
      <c r="H250" s="77" t="s">
        <v>728</v>
      </c>
      <c r="I250" s="369">
        <v>0</v>
      </c>
    </row>
    <row r="251" spans="2:11" ht="22" hidden="1" customHeight="1" outlineLevel="2" x14ac:dyDescent="0.2">
      <c r="B251" s="60" t="s">
        <v>13</v>
      </c>
      <c r="C251" s="479">
        <f>SUM(C248:C250)</f>
        <v>1</v>
      </c>
      <c r="D251" s="479">
        <f>SUM(D248:D250)</f>
        <v>1</v>
      </c>
      <c r="E251" s="479">
        <f>SUM(E248:E250)</f>
        <v>1</v>
      </c>
      <c r="H251" s="60" t="s">
        <v>13</v>
      </c>
      <c r="I251" s="479">
        <f>SUM(I248:I250)</f>
        <v>1</v>
      </c>
    </row>
    <row r="252" spans="2:11" ht="16" hidden="1" customHeight="1" outlineLevel="2" x14ac:dyDescent="0.2"/>
    <row r="253" spans="2:11" ht="16" hidden="1" customHeight="1" outlineLevel="2" x14ac:dyDescent="0.2">
      <c r="B253" s="337"/>
      <c r="C253" s="410"/>
    </row>
    <row r="254" spans="2:11" ht="16" hidden="1" customHeight="1" outlineLevel="2" x14ac:dyDescent="0.2">
      <c r="B254" s="480" t="s">
        <v>743</v>
      </c>
      <c r="C254" s="410"/>
      <c r="H254" s="86" t="s">
        <v>1645</v>
      </c>
    </row>
    <row r="255" spans="2:11" ht="16" hidden="1" customHeight="1" outlineLevel="2" x14ac:dyDescent="0.2">
      <c r="B255" s="11" t="s">
        <v>744</v>
      </c>
    </row>
    <row r="256" spans="2:11" ht="16" hidden="1" customHeight="1" outlineLevel="2" x14ac:dyDescent="0.2"/>
    <row r="257" spans="1:13" ht="16" hidden="1" customHeight="1" outlineLevel="2" x14ac:dyDescent="0.2"/>
    <row r="258" spans="1:13" ht="30" hidden="1" customHeight="1" outlineLevel="2" x14ac:dyDescent="0.2">
      <c r="B258" s="1634" t="s">
        <v>189</v>
      </c>
    </row>
    <row r="259" spans="1:13" ht="16" hidden="1" customHeight="1" outlineLevel="2" x14ac:dyDescent="0.2"/>
    <row r="260" spans="1:13" ht="16" hidden="1" customHeight="1" outlineLevel="2" x14ac:dyDescent="0.2"/>
    <row r="261" spans="1:13" ht="16" hidden="1" customHeight="1" outlineLevel="2" x14ac:dyDescent="0.2">
      <c r="H261"/>
      <c r="I261"/>
      <c r="J261"/>
    </row>
    <row r="262" spans="1:13" ht="34" hidden="1" customHeight="1" outlineLevel="2" x14ac:dyDescent="0.2">
      <c r="B262" s="60" t="s">
        <v>721</v>
      </c>
      <c r="C262" s="74" t="s">
        <v>2410</v>
      </c>
      <c r="D262" s="60" t="s">
        <v>753</v>
      </c>
      <c r="E262" s="74" t="s">
        <v>754</v>
      </c>
      <c r="F262" s="60" t="s">
        <v>755</v>
      </c>
      <c r="I262"/>
      <c r="J262"/>
      <c r="L262"/>
      <c r="M262"/>
    </row>
    <row r="263" spans="1:13" ht="16" hidden="1" customHeight="1" outlineLevel="2" x14ac:dyDescent="0.2">
      <c r="A263" s="2904"/>
      <c r="B263" s="81" t="str">
        <f>B42</f>
        <v>Avion affrété</v>
      </c>
      <c r="C263" s="416">
        <f>E263/$E$268</f>
        <v>0.29019791544677365</v>
      </c>
      <c r="D263" s="416">
        <f>F263/$F$268</f>
        <v>0.60787084534998426</v>
      </c>
      <c r="E263" s="91">
        <f>D42</f>
        <v>249782.40000000005</v>
      </c>
      <c r="F263" s="91">
        <f>G42</f>
        <v>131635.32480000003</v>
      </c>
      <c r="I263"/>
      <c r="J263"/>
      <c r="L263"/>
      <c r="M263"/>
    </row>
    <row r="264" spans="1:13" ht="16" hidden="1" customHeight="1" outlineLevel="2" x14ac:dyDescent="0.2">
      <c r="A264" s="2904"/>
      <c r="B264" s="81" t="str">
        <f>B41</f>
        <v>Avion de ligne commercial</v>
      </c>
      <c r="C264" s="416">
        <f>E264/$E$268</f>
        <v>0.29019791544677365</v>
      </c>
      <c r="D264" s="416">
        <f>F264/$F$268</f>
        <v>0.29759141954515356</v>
      </c>
      <c r="E264" s="91">
        <f>D41</f>
        <v>249782.40000000005</v>
      </c>
      <c r="F264" s="91">
        <f>G41</f>
        <v>64443.859200000014</v>
      </c>
      <c r="I264"/>
      <c r="J264"/>
      <c r="L264"/>
      <c r="M264"/>
    </row>
    <row r="265" spans="1:13" ht="16" hidden="1" customHeight="1" outlineLevel="2" x14ac:dyDescent="0.2">
      <c r="B265" s="81" t="str">
        <f>B40</f>
        <v>Car</v>
      </c>
      <c r="C265" s="416">
        <f>E265/$E$268</f>
        <v>0.30003513291954559</v>
      </c>
      <c r="D265" s="416">
        <f>F265/$F$268</f>
        <v>3.5180380992741019E-2</v>
      </c>
      <c r="E265" s="91">
        <f>D40</f>
        <v>258249.60000000001</v>
      </c>
      <c r="F265" s="91">
        <f>G40</f>
        <v>7618.3631999999998</v>
      </c>
      <c r="I265"/>
      <c r="J265"/>
      <c r="L265"/>
      <c r="M265"/>
    </row>
    <row r="266" spans="1:13" ht="16" hidden="1" customHeight="1" outlineLevel="2" x14ac:dyDescent="0.2">
      <c r="B266" s="81" t="s">
        <v>757</v>
      </c>
      <c r="C266" s="416">
        <f>E266/$E$268</f>
        <v>1.6278252722801263E-2</v>
      </c>
      <c r="D266" s="416">
        <f>F266/$F$268</f>
        <v>5.7986111031915144E-2</v>
      </c>
      <c r="E266" s="91">
        <f>D48</f>
        <v>14011.2</v>
      </c>
      <c r="F266" s="91">
        <f>G48</f>
        <v>12556.977551999998</v>
      </c>
      <c r="I266"/>
      <c r="J266"/>
      <c r="L266"/>
      <c r="M266"/>
    </row>
    <row r="267" spans="1:13" ht="16" hidden="1" customHeight="1" outlineLevel="2" x14ac:dyDescent="0.2">
      <c r="B267" s="81" t="str">
        <f>B39</f>
        <v>Train</v>
      </c>
      <c r="C267" s="416">
        <f>E267/$E$268</f>
        <v>0.10329078346410585</v>
      </c>
      <c r="D267" s="401">
        <f>F267/$F$268</f>
        <v>1.3712430802060877E-3</v>
      </c>
      <c r="E267" s="91">
        <f>D39+D66</f>
        <v>88905.599999999991</v>
      </c>
      <c r="F267" s="91">
        <f>G39</f>
        <v>296.944704</v>
      </c>
      <c r="I267"/>
      <c r="J267"/>
      <c r="L267"/>
      <c r="M267"/>
    </row>
    <row r="268" spans="1:13" hidden="1" outlineLevel="2" x14ac:dyDescent="0.2">
      <c r="B268" s="7" t="s">
        <v>198</v>
      </c>
      <c r="C268" s="482">
        <f>SUM(C263:C267)</f>
        <v>1</v>
      </c>
      <c r="D268" s="482">
        <f>SUM(D263:D267)</f>
        <v>1.0000000000000002</v>
      </c>
      <c r="E268" s="8">
        <f>SUM(E263:E267)</f>
        <v>860731.20000000007</v>
      </c>
      <c r="F268" s="8">
        <f>SUM(F263:F267)</f>
        <v>216551.46945600002</v>
      </c>
    </row>
    <row r="269" spans="1:13" hidden="1" outlineLevel="2" x14ac:dyDescent="0.2"/>
    <row r="270" spans="1:13" hidden="1" outlineLevel="2" x14ac:dyDescent="0.2"/>
    <row r="271" spans="1:13" hidden="1" outlineLevel="2" x14ac:dyDescent="0.2"/>
    <row r="272" spans="1:13" hidden="1" outlineLevel="2" x14ac:dyDescent="0.2"/>
    <row r="273" spans="2:6" hidden="1" outlineLevel="2" x14ac:dyDescent="0.2"/>
    <row r="274" spans="2:6" hidden="1" outlineLevel="2" x14ac:dyDescent="0.2"/>
    <row r="275" spans="2:6" hidden="1" outlineLevel="2" x14ac:dyDescent="0.2"/>
    <row r="276" spans="2:6" hidden="1" outlineLevel="2" x14ac:dyDescent="0.2"/>
    <row r="277" spans="2:6" hidden="1" outlineLevel="2" x14ac:dyDescent="0.2"/>
    <row r="278" spans="2:6" hidden="1" outlineLevel="2" x14ac:dyDescent="0.2"/>
    <row r="279" spans="2:6" hidden="1" outlineLevel="2" x14ac:dyDescent="0.2"/>
    <row r="280" spans="2:6" hidden="1" outlineLevel="2" x14ac:dyDescent="0.2"/>
    <row r="281" spans="2:6" hidden="1" outlineLevel="2" x14ac:dyDescent="0.2"/>
    <row r="282" spans="2:6" hidden="1" outlineLevel="2" x14ac:dyDescent="0.2"/>
    <row r="283" spans="2:6" hidden="1" outlineLevel="2" x14ac:dyDescent="0.2"/>
    <row r="284" spans="2:6" hidden="1" outlineLevel="2" x14ac:dyDescent="0.2"/>
    <row r="285" spans="2:6" hidden="1" outlineLevel="2" x14ac:dyDescent="0.2"/>
    <row r="286" spans="2:6" hidden="1" outlineLevel="2" x14ac:dyDescent="0.2"/>
    <row r="287" spans="2:6" hidden="1" outlineLevel="2" x14ac:dyDescent="0.2">
      <c r="B287"/>
      <c r="C287"/>
      <c r="D287"/>
      <c r="E287"/>
      <c r="F287"/>
    </row>
    <row r="288" spans="2:6" hidden="1" outlineLevel="2" x14ac:dyDescent="0.2">
      <c r="B288"/>
      <c r="C288"/>
      <c r="D288"/>
      <c r="E288"/>
      <c r="F288"/>
    </row>
    <row r="289" spans="2:18" hidden="1" outlineLevel="2" x14ac:dyDescent="0.2">
      <c r="B289"/>
      <c r="C289"/>
      <c r="D289"/>
      <c r="E289"/>
      <c r="F289"/>
      <c r="G289"/>
      <c r="H289"/>
      <c r="I289"/>
      <c r="J289"/>
      <c r="K289"/>
      <c r="L289"/>
      <c r="M289"/>
      <c r="N289"/>
      <c r="O289"/>
      <c r="P289"/>
      <c r="Q289"/>
    </row>
    <row r="290" spans="2:18" hidden="1" outlineLevel="2" x14ac:dyDescent="0.2">
      <c r="B290"/>
      <c r="C290"/>
      <c r="D290"/>
      <c r="E290"/>
      <c r="F290"/>
      <c r="G290"/>
      <c r="H290"/>
      <c r="I290"/>
      <c r="J290"/>
      <c r="K290"/>
      <c r="L290"/>
      <c r="M290"/>
      <c r="N290"/>
      <c r="O290"/>
      <c r="P290"/>
      <c r="Q290"/>
    </row>
    <row r="291" spans="2:18" hidden="1" outlineLevel="2" x14ac:dyDescent="0.2">
      <c r="B291"/>
      <c r="C291"/>
      <c r="D291"/>
      <c r="E291"/>
      <c r="F291"/>
      <c r="G291"/>
      <c r="H291"/>
      <c r="I291"/>
      <c r="J291"/>
      <c r="K291"/>
      <c r="L291"/>
      <c r="M291"/>
      <c r="N291"/>
      <c r="O291"/>
      <c r="P291"/>
      <c r="Q291"/>
      <c r="R291" s="2"/>
    </row>
    <row r="292" spans="2:18" ht="18" hidden="1" outlineLevel="2" x14ac:dyDescent="0.2">
      <c r="B292" s="1634" t="s">
        <v>1636</v>
      </c>
      <c r="C292"/>
      <c r="D292"/>
      <c r="E292"/>
      <c r="F292"/>
      <c r="G292"/>
      <c r="H292"/>
      <c r="I292"/>
      <c r="J292"/>
      <c r="K292"/>
      <c r="L292"/>
      <c r="M292"/>
      <c r="N292"/>
      <c r="O292"/>
      <c r="P292"/>
      <c r="Q292"/>
      <c r="R292" s="2"/>
    </row>
    <row r="293" spans="2:18" hidden="1" outlineLevel="2" x14ac:dyDescent="0.2">
      <c r="B293"/>
      <c r="C293"/>
      <c r="D293"/>
      <c r="E293"/>
      <c r="F293"/>
      <c r="G293"/>
      <c r="H293"/>
      <c r="I293"/>
      <c r="J293"/>
      <c r="K293"/>
      <c r="L293"/>
      <c r="M293"/>
      <c r="N293"/>
      <c r="O293"/>
      <c r="P293"/>
      <c r="Q293"/>
      <c r="R293" s="2"/>
    </row>
    <row r="294" spans="2:18" ht="18" hidden="1" outlineLevel="2" x14ac:dyDescent="0.2">
      <c r="B294" s="46" t="s">
        <v>1559</v>
      </c>
      <c r="C294"/>
      <c r="D294"/>
      <c r="E294" s="46" t="s">
        <v>1635</v>
      </c>
      <c r="F294"/>
      <c r="G294"/>
      <c r="H294"/>
      <c r="I294"/>
      <c r="J294"/>
      <c r="K294"/>
      <c r="L294"/>
      <c r="M294"/>
      <c r="N294"/>
      <c r="O294"/>
      <c r="P294"/>
      <c r="Q294"/>
      <c r="R294" s="2"/>
    </row>
    <row r="295" spans="2:18" ht="16" hidden="1" customHeight="1" outlineLevel="2" x14ac:dyDescent="0.2">
      <c r="C295"/>
      <c r="D295"/>
      <c r="E295" s="46"/>
      <c r="F295"/>
      <c r="G295"/>
      <c r="H295"/>
      <c r="I295"/>
      <c r="J295"/>
      <c r="K295"/>
      <c r="L295"/>
      <c r="M295"/>
      <c r="N295"/>
      <c r="O295"/>
      <c r="P295"/>
      <c r="Q295"/>
      <c r="R295" s="2"/>
    </row>
    <row r="296" spans="2:18" hidden="1" outlineLevel="2" x14ac:dyDescent="0.2">
      <c r="B296" s="2299" t="s">
        <v>1975</v>
      </c>
      <c r="C296" s="1"/>
      <c r="D296" s="1"/>
      <c r="E296" s="2922" t="str">
        <f>B187</f>
        <v xml:space="preserve">On comprend également les émissions liées aux déplacements des équipes françaises à l'étranger.  On considère qu'ils font partie des flux liés à notre périmètre (foot et rugby professionnel) et que, ces flux de spectateurs trouvant leur point d'origine dans le territoire national, on doit les comprendre. Pour éviter de faire un listing des déplacements des rencontres de toutes les équipes, on considère qu'on reçoit autant de rencontres internationales de football et de rugby qu'on participe à à ces rencontres à l'étranger. Autrement dit, pour 100 rencontres internationales sur le territoire FR, les équipes FR se déplacent à 100 rencontres à l'étranger. Cela donne l'hypothèse suivante : </v>
      </c>
      <c r="F296" s="2922"/>
      <c r="G296" s="2922"/>
      <c r="H296" s="2922"/>
      <c r="I296" s="2922"/>
      <c r="J296"/>
      <c r="K296"/>
      <c r="L296"/>
      <c r="M296"/>
      <c r="N296"/>
      <c r="O296"/>
      <c r="P296"/>
      <c r="Q296"/>
      <c r="R296" s="2"/>
    </row>
    <row r="297" spans="2:18" hidden="1" outlineLevel="2" x14ac:dyDescent="0.2">
      <c r="B297" s="1675"/>
      <c r="C297" s="1"/>
      <c r="D297" s="1"/>
      <c r="E297" s="2922"/>
      <c r="F297" s="2922"/>
      <c r="G297" s="2922"/>
      <c r="H297" s="2922"/>
      <c r="I297" s="2922"/>
      <c r="J297"/>
      <c r="K297"/>
      <c r="L297"/>
      <c r="M297"/>
      <c r="N297"/>
      <c r="O297"/>
      <c r="P297"/>
      <c r="Q297"/>
      <c r="R297" s="2"/>
    </row>
    <row r="298" spans="2:18" ht="16" hidden="1" customHeight="1" outlineLevel="2" x14ac:dyDescent="0.2">
      <c r="B298" s="1027" t="s">
        <v>1620</v>
      </c>
      <c r="C298" s="1028">
        <f>C35</f>
        <v>42</v>
      </c>
      <c r="D298" s="1"/>
      <c r="E298" s="2922"/>
      <c r="F298" s="2922"/>
      <c r="G298" s="2922"/>
      <c r="H298" s="2922"/>
      <c r="I298" s="2922"/>
      <c r="J298"/>
      <c r="K298"/>
      <c r="L298"/>
      <c r="M298"/>
      <c r="N298"/>
      <c r="O298"/>
      <c r="P298"/>
      <c r="Q298"/>
      <c r="R298" s="2"/>
    </row>
    <row r="299" spans="2:18" hidden="1" outlineLevel="2" x14ac:dyDescent="0.2">
      <c r="B299" s="2300" t="s">
        <v>1621</v>
      </c>
      <c r="C299" s="449">
        <f>C34</f>
        <v>1120</v>
      </c>
      <c r="D299" s="1"/>
      <c r="E299" s="2685" t="str">
        <f>B189</f>
        <v>H7 : On considère qu'il y a un nombre équivalent de rencontres internationales sur le sol français (comprenant une équipe française et une étrangère) qu'il y a de rencontres comprenant une équipe française sur un sol étranger. Pour ces rencontres (matchs internationaux avec une équipe FR sur le sol étranger), on considère toutes les autres hypothèses comme inchangées.</v>
      </c>
      <c r="F299" s="2685"/>
      <c r="G299" s="2685"/>
      <c r="H299" s="2685"/>
      <c r="I299" s="2685"/>
      <c r="J299"/>
      <c r="K299"/>
      <c r="L299"/>
      <c r="M299"/>
      <c r="N299"/>
      <c r="O299"/>
      <c r="P299"/>
      <c r="Q299"/>
      <c r="R299" s="2"/>
    </row>
    <row r="300" spans="2:18" hidden="1" outlineLevel="2" x14ac:dyDescent="0.2">
      <c r="B300" s="1027" t="s">
        <v>1622</v>
      </c>
      <c r="C300" s="1028">
        <f>C298</f>
        <v>42</v>
      </c>
      <c r="D300" s="1"/>
      <c r="E300" s="2685"/>
      <c r="F300" s="2685"/>
      <c r="G300" s="2685"/>
      <c r="H300" s="2685"/>
      <c r="I300" s="2685"/>
      <c r="J300"/>
      <c r="K300"/>
      <c r="L300"/>
      <c r="M300"/>
      <c r="N300"/>
      <c r="O300"/>
      <c r="P300"/>
      <c r="Q300"/>
      <c r="R300" s="2"/>
    </row>
    <row r="301" spans="2:18" hidden="1" outlineLevel="2" x14ac:dyDescent="0.2">
      <c r="B301" s="2300" t="s">
        <v>1623</v>
      </c>
      <c r="C301" s="1029">
        <f>C59</f>
        <v>41.595245732871298</v>
      </c>
      <c r="D301" s="1027" t="s">
        <v>685</v>
      </c>
      <c r="E301" s="2685"/>
      <c r="F301" s="2685"/>
      <c r="G301" s="2685"/>
      <c r="H301" s="2685"/>
      <c r="I301" s="2685"/>
      <c r="J301"/>
      <c r="K301"/>
      <c r="L301"/>
      <c r="M301"/>
      <c r="N301"/>
      <c r="O301"/>
      <c r="P301"/>
      <c r="Q301"/>
      <c r="R301" s="2"/>
    </row>
    <row r="302" spans="2:18" hidden="1" outlineLevel="2" x14ac:dyDescent="0.2">
      <c r="B302" s="2300" t="s">
        <v>1624</v>
      </c>
      <c r="C302" s="1">
        <f>'ANNEXE A'!J232</f>
        <v>1369</v>
      </c>
      <c r="D302" s="1"/>
      <c r="G302" s="1"/>
      <c r="H302" s="1"/>
      <c r="I302" s="1"/>
      <c r="J302"/>
      <c r="K302"/>
      <c r="L302"/>
      <c r="M302"/>
      <c r="N302"/>
      <c r="O302"/>
      <c r="P302"/>
      <c r="Q302"/>
      <c r="R302" s="2"/>
    </row>
    <row r="303" spans="2:18" hidden="1" outlineLevel="2" x14ac:dyDescent="0.2">
      <c r="D303" s="1"/>
      <c r="E303" s="232" t="s">
        <v>1562</v>
      </c>
      <c r="F303" s="232">
        <f>SUMIF('13'!C97:C183,"EU",'13'!E97:E183)*2</f>
        <v>6440</v>
      </c>
      <c r="G303" s="1"/>
      <c r="H303" s="1"/>
      <c r="I303" s="1"/>
      <c r="J303"/>
      <c r="K303"/>
      <c r="L303"/>
      <c r="M303"/>
      <c r="N303"/>
      <c r="O303"/>
      <c r="P303"/>
      <c r="Q303"/>
      <c r="R303" s="2"/>
    </row>
    <row r="304" spans="2:18" hidden="1" outlineLevel="2" x14ac:dyDescent="0.2">
      <c r="B304" s="2299" t="s">
        <v>1566</v>
      </c>
      <c r="C304" s="1"/>
      <c r="D304" s="1"/>
      <c r="G304" s="1"/>
      <c r="H304" s="1"/>
      <c r="I304" s="1"/>
      <c r="J304"/>
      <c r="K304"/>
      <c r="L304"/>
      <c r="M304"/>
      <c r="N304"/>
      <c r="O304"/>
      <c r="P304"/>
      <c r="Q304"/>
      <c r="R304" s="647"/>
    </row>
    <row r="305" spans="2:18" ht="18" hidden="1" outlineLevel="2" x14ac:dyDescent="0.2">
      <c r="C305" s="1"/>
      <c r="D305" s="1"/>
      <c r="E305" s="26" t="s">
        <v>1642</v>
      </c>
      <c r="G305" s="1"/>
      <c r="H305" s="1"/>
      <c r="I305" s="1"/>
      <c r="J305"/>
      <c r="K305"/>
      <c r="L305"/>
      <c r="M305"/>
      <c r="N305"/>
      <c r="O305"/>
      <c r="P305"/>
      <c r="Q305"/>
      <c r="R305" s="647"/>
    </row>
    <row r="306" spans="2:18" ht="17" hidden="1" outlineLevel="2" x14ac:dyDescent="0.2">
      <c r="B306" s="1030" t="s">
        <v>1567</v>
      </c>
      <c r="C306" s="1"/>
      <c r="D306" s="1"/>
      <c r="G306" s="1"/>
      <c r="H306" s="1"/>
      <c r="I306" s="1"/>
      <c r="J306"/>
      <c r="K306"/>
      <c r="L306"/>
      <c r="M306"/>
      <c r="N306"/>
      <c r="O306"/>
      <c r="P306"/>
      <c r="Q306"/>
      <c r="R306" s="647"/>
    </row>
    <row r="307" spans="2:18" ht="34" hidden="1" outlineLevel="2" x14ac:dyDescent="0.2">
      <c r="B307" s="1031" t="s">
        <v>1625</v>
      </c>
      <c r="C307" s="215">
        <f>C299+C301</f>
        <v>1161.5952457328713</v>
      </c>
      <c r="D307" s="1"/>
      <c r="E307" s="2922" t="str">
        <f>E296</f>
        <v xml:space="preserve">On comprend également les émissions liées aux déplacements des équipes françaises à l'étranger.  On considère qu'ils font partie des flux liés à notre périmètre (foot et rugby professionnel) et que, ces flux de spectateurs trouvant leur point d'origine dans le territoire national, on doit les comprendre. Pour éviter de faire un listing des déplacements des rencontres de toutes les équipes, on considère qu'on reçoit autant de rencontres internationales de football et de rugby qu'on participe à à ces rencontres à l'étranger. Autrement dit, pour 100 rencontres internationales sur le territoire FR, les équipes FR se déplacent à 100 rencontres à l'étranger. Cela donne l'hypothèse suivante : </v>
      </c>
      <c r="F307" s="2922"/>
      <c r="G307" s="2922"/>
      <c r="H307" s="2922"/>
      <c r="I307" s="2922"/>
      <c r="J307"/>
      <c r="K307"/>
      <c r="L307"/>
      <c r="M307"/>
      <c r="N307"/>
      <c r="O307"/>
      <c r="P307"/>
      <c r="Q307"/>
      <c r="R307" s="2"/>
    </row>
    <row r="308" spans="2:18" hidden="1" outlineLevel="2" x14ac:dyDescent="0.2">
      <c r="B308" s="34"/>
      <c r="C308" s="1"/>
      <c r="D308" s="1"/>
      <c r="E308" s="2922"/>
      <c r="F308" s="2922"/>
      <c r="G308" s="2922"/>
      <c r="H308" s="2922"/>
      <c r="I308" s="2922"/>
      <c r="J308"/>
      <c r="K308"/>
      <c r="L308"/>
      <c r="M308"/>
      <c r="N308"/>
      <c r="O308"/>
      <c r="P308"/>
      <c r="Q308"/>
      <c r="R308" s="2"/>
    </row>
    <row r="309" spans="2:18" ht="17" hidden="1" outlineLevel="2" x14ac:dyDescent="0.2">
      <c r="B309" s="1030" t="s">
        <v>1626</v>
      </c>
      <c r="C309" s="1"/>
      <c r="D309" s="1"/>
      <c r="E309" s="2922"/>
      <c r="F309" s="2922"/>
      <c r="G309" s="2922"/>
      <c r="H309" s="2922"/>
      <c r="I309" s="2922"/>
      <c r="J309"/>
      <c r="K309"/>
      <c r="L309"/>
      <c r="M309"/>
      <c r="N309"/>
      <c r="O309"/>
      <c r="P309"/>
      <c r="Q309"/>
      <c r="R309" s="2"/>
    </row>
    <row r="310" spans="2:18" ht="51" hidden="1" outlineLevel="2" x14ac:dyDescent="0.2">
      <c r="B310" s="1031" t="s">
        <v>1627</v>
      </c>
      <c r="C310" s="449">
        <f>C307*C302</f>
        <v>1590223.8914083007</v>
      </c>
      <c r="D310" s="1027" t="s">
        <v>685</v>
      </c>
      <c r="E310" s="2685" t="str">
        <f>E299</f>
        <v>H7 : On considère qu'il y a un nombre équivalent de rencontres internationales sur le sol français (comprenant une équipe française et une étrangère) qu'il y a de rencontres comprenant une équipe française sur un sol étranger. Pour ces rencontres (matchs internationaux avec une équipe FR sur le sol étranger), on considère toutes les autres hypothèses comme inchangées.</v>
      </c>
      <c r="F310" s="2685"/>
      <c r="G310" s="2685"/>
      <c r="H310" s="2685"/>
      <c r="I310" s="2685"/>
      <c r="J310"/>
      <c r="K310"/>
      <c r="L310"/>
      <c r="M310"/>
      <c r="N310"/>
      <c r="O310"/>
      <c r="P310"/>
      <c r="Q310"/>
      <c r="R310" s="2"/>
    </row>
    <row r="311" spans="2:18" hidden="1" outlineLevel="2" x14ac:dyDescent="0.2">
      <c r="B311" s="34"/>
      <c r="C311" s="1"/>
      <c r="D311" s="1"/>
      <c r="E311" s="2685"/>
      <c r="F311" s="2685"/>
      <c r="G311" s="2685"/>
      <c r="H311" s="2685"/>
      <c r="I311" s="2685"/>
      <c r="J311"/>
      <c r="K311"/>
      <c r="L311"/>
      <c r="M311"/>
      <c r="N311"/>
      <c r="O311"/>
      <c r="P311"/>
      <c r="Q311"/>
      <c r="R311" s="2"/>
    </row>
    <row r="312" spans="2:18" ht="17" hidden="1" outlineLevel="2" x14ac:dyDescent="0.2">
      <c r="B312" s="1030" t="s">
        <v>1568</v>
      </c>
      <c r="C312" s="1"/>
      <c r="D312" s="1"/>
      <c r="E312" s="2685"/>
      <c r="F312" s="2685"/>
      <c r="G312" s="2685"/>
      <c r="H312" s="2685"/>
      <c r="I312" s="2685"/>
      <c r="J312"/>
      <c r="K312"/>
      <c r="L312"/>
      <c r="M312"/>
      <c r="N312"/>
      <c r="O312"/>
      <c r="P312"/>
      <c r="Q312"/>
      <c r="R312" s="2"/>
    </row>
    <row r="313" spans="2:18" ht="51" hidden="1" outlineLevel="2" x14ac:dyDescent="0.2">
      <c r="B313" s="1031" t="s">
        <v>1628</v>
      </c>
      <c r="C313" s="1"/>
      <c r="D313" s="1"/>
      <c r="E313" s="232" t="s">
        <v>1562</v>
      </c>
      <c r="F313" s="1675">
        <f>SUMIF('13'!$C$97:$C$183,"NEU",'13'!$E$97:$E$183)*2</f>
        <v>1900</v>
      </c>
      <c r="G313" s="1"/>
      <c r="H313" s="1"/>
      <c r="I313" s="1"/>
      <c r="J313"/>
      <c r="K313"/>
      <c r="L313"/>
      <c r="M313"/>
      <c r="N313"/>
      <c r="O313"/>
      <c r="P313"/>
      <c r="Q313"/>
      <c r="R313" s="2"/>
    </row>
    <row r="314" spans="2:18" ht="17" hidden="1" outlineLevel="2" x14ac:dyDescent="0.2">
      <c r="B314" s="1032" t="s">
        <v>1629</v>
      </c>
      <c r="C314" s="270">
        <f>C298*C299</f>
        <v>47040</v>
      </c>
      <c r="D314" s="1027" t="s">
        <v>685</v>
      </c>
      <c r="E314" s="1"/>
      <c r="F314" s="1"/>
      <c r="G314" s="1"/>
      <c r="H314" s="1"/>
      <c r="I314" s="1"/>
      <c r="J314"/>
      <c r="K314"/>
      <c r="L314"/>
      <c r="M314"/>
      <c r="N314"/>
      <c r="O314"/>
      <c r="P314"/>
      <c r="Q314"/>
      <c r="R314" s="2"/>
    </row>
    <row r="315" spans="2:18" ht="17" hidden="1" outlineLevel="2" x14ac:dyDescent="0.2">
      <c r="B315" s="1032" t="s">
        <v>1630</v>
      </c>
      <c r="C315" s="270">
        <f>C300*C301</f>
        <v>1747.0003207805946</v>
      </c>
      <c r="D315" s="1027" t="s">
        <v>685</v>
      </c>
      <c r="E315" s="1"/>
      <c r="F315" s="1"/>
      <c r="G315" s="1"/>
      <c r="H315" s="1"/>
      <c r="I315" s="1"/>
      <c r="J315"/>
      <c r="K315"/>
      <c r="L315"/>
      <c r="M315"/>
      <c r="N315"/>
      <c r="O315"/>
      <c r="P315"/>
      <c r="Q315"/>
      <c r="R315" s="2"/>
    </row>
    <row r="316" spans="2:18" hidden="1" outlineLevel="2" x14ac:dyDescent="0.2">
      <c r="B316" s="112"/>
      <c r="C316" s="1"/>
      <c r="D316" s="1"/>
      <c r="E316"/>
      <c r="F316"/>
      <c r="G316"/>
      <c r="H316"/>
      <c r="I316"/>
      <c r="J316"/>
      <c r="K316"/>
      <c r="L316"/>
      <c r="M316"/>
      <c r="N316"/>
      <c r="O316"/>
      <c r="P316"/>
      <c r="Q316"/>
      <c r="R316" s="2"/>
    </row>
    <row r="317" spans="2:18" ht="34" hidden="1" outlineLevel="2" x14ac:dyDescent="0.2">
      <c r="B317" s="1030" t="s">
        <v>1569</v>
      </c>
      <c r="C317" s="1"/>
      <c r="D317" s="1"/>
      <c r="E317"/>
      <c r="F317"/>
      <c r="G317"/>
      <c r="H317"/>
      <c r="I317"/>
      <c r="J317"/>
      <c r="K317"/>
      <c r="L317"/>
      <c r="M317"/>
      <c r="N317"/>
      <c r="O317"/>
      <c r="P317"/>
      <c r="Q317"/>
      <c r="R317" s="2"/>
    </row>
    <row r="318" spans="2:18" ht="34" hidden="1" outlineLevel="2" x14ac:dyDescent="0.2">
      <c r="B318" s="1031" t="s">
        <v>1633</v>
      </c>
      <c r="C318" s="1"/>
      <c r="D318" s="1"/>
      <c r="E318"/>
      <c r="F318"/>
      <c r="G318"/>
      <c r="H318"/>
      <c r="I318"/>
      <c r="J318"/>
      <c r="K318"/>
      <c r="L318"/>
      <c r="M318"/>
      <c r="N318"/>
      <c r="O318"/>
      <c r="P318"/>
      <c r="Q318"/>
      <c r="R318" s="2"/>
    </row>
    <row r="319" spans="2:18" ht="17" hidden="1" outlineLevel="2" x14ac:dyDescent="0.2">
      <c r="B319" s="1032" t="s">
        <v>1631</v>
      </c>
      <c r="C319" s="270">
        <f>C314*C302</f>
        <v>64397760</v>
      </c>
      <c r="D319" s="1027" t="s">
        <v>685</v>
      </c>
      <c r="E319"/>
      <c r="F319"/>
      <c r="G319"/>
      <c r="H319"/>
      <c r="I319"/>
      <c r="J319"/>
      <c r="K319"/>
      <c r="L319"/>
      <c r="M319"/>
      <c r="N319"/>
      <c r="O319"/>
      <c r="P319"/>
      <c r="Q319"/>
      <c r="R319" s="2"/>
    </row>
    <row r="320" spans="2:18" ht="17" hidden="1" outlineLevel="2" x14ac:dyDescent="0.2">
      <c r="B320" s="1032" t="s">
        <v>1632</v>
      </c>
      <c r="C320" s="270">
        <f>C315*C302</f>
        <v>2391643.4391486342</v>
      </c>
      <c r="D320" s="1027" t="s">
        <v>685</v>
      </c>
      <c r="E320"/>
      <c r="F320"/>
      <c r="G320"/>
      <c r="H320"/>
      <c r="I320"/>
      <c r="J320"/>
      <c r="K320"/>
      <c r="L320"/>
      <c r="M320"/>
      <c r="N320"/>
      <c r="O320"/>
      <c r="P320"/>
      <c r="Q320"/>
      <c r="R320" s="2"/>
    </row>
    <row r="321" spans="2:18" hidden="1" outlineLevel="2" x14ac:dyDescent="0.2">
      <c r="B321" s="1032"/>
      <c r="C321" s="270"/>
      <c r="D321" s="1027"/>
      <c r="E321"/>
      <c r="F321"/>
      <c r="G321"/>
      <c r="H321"/>
      <c r="I321"/>
      <c r="J321"/>
      <c r="K321"/>
      <c r="L321"/>
      <c r="M321"/>
      <c r="N321"/>
      <c r="O321"/>
      <c r="P321"/>
      <c r="Q321"/>
      <c r="R321" s="2"/>
    </row>
    <row r="322" spans="2:18" ht="17" hidden="1" outlineLevel="2" x14ac:dyDescent="0.2">
      <c r="B322" s="1030" t="s">
        <v>1634</v>
      </c>
      <c r="C322" s="270"/>
      <c r="D322" s="1027"/>
      <c r="E322"/>
      <c r="F322"/>
      <c r="G322"/>
      <c r="H322"/>
      <c r="I322"/>
      <c r="J322"/>
      <c r="K322"/>
      <c r="L322"/>
      <c r="M322"/>
      <c r="N322"/>
      <c r="O322"/>
      <c r="P322"/>
      <c r="Q322"/>
      <c r="R322" s="2"/>
    </row>
    <row r="323" spans="2:18" ht="17" hidden="1" outlineLevel="2" x14ac:dyDescent="0.2">
      <c r="B323" s="753" t="s">
        <v>1561</v>
      </c>
      <c r="C323" s="1033">
        <f>C298*C302</f>
        <v>57498</v>
      </c>
      <c r="D323"/>
      <c r="E323"/>
      <c r="F323"/>
      <c r="G323"/>
      <c r="H323"/>
      <c r="I323"/>
      <c r="J323"/>
      <c r="K323"/>
      <c r="L323"/>
      <c r="M323"/>
      <c r="N323"/>
      <c r="O323"/>
      <c r="P323"/>
      <c r="Q323"/>
      <c r="R323" s="2"/>
    </row>
    <row r="324" spans="2:18" hidden="1" outlineLevel="2" x14ac:dyDescent="0.2">
      <c r="B324" s="753"/>
      <c r="C324" s="1033"/>
      <c r="D324"/>
      <c r="E324"/>
      <c r="F324"/>
      <c r="G324"/>
      <c r="H324"/>
      <c r="I324"/>
      <c r="J324"/>
      <c r="K324"/>
      <c r="L324"/>
      <c r="M324"/>
      <c r="N324"/>
      <c r="O324"/>
      <c r="P324"/>
      <c r="Q324"/>
      <c r="R324" s="2"/>
    </row>
    <row r="325" spans="2:18" hidden="1" outlineLevel="2" x14ac:dyDescent="0.2">
      <c r="B325"/>
      <c r="C325"/>
      <c r="D325"/>
      <c r="E325"/>
      <c r="F325"/>
      <c r="G325"/>
      <c r="H325"/>
      <c r="I325"/>
      <c r="J325"/>
      <c r="K325"/>
      <c r="L325"/>
      <c r="M325"/>
      <c r="N325"/>
      <c r="O325"/>
      <c r="P325"/>
      <c r="Q325"/>
      <c r="R325" s="2"/>
    </row>
    <row r="326" spans="2:18" ht="34" hidden="1" customHeight="1" outlineLevel="2" x14ac:dyDescent="0.2">
      <c r="B326" s="1645" t="s">
        <v>1</v>
      </c>
      <c r="C326" s="1274">
        <f>ROUND((25+18)/2,0)</f>
        <v>22</v>
      </c>
      <c r="D326" s="1646" t="s">
        <v>2</v>
      </c>
      <c r="E326"/>
      <c r="F326"/>
      <c r="G326"/>
      <c r="H326"/>
      <c r="I326"/>
      <c r="J326"/>
      <c r="K326"/>
      <c r="L326"/>
      <c r="M326"/>
      <c r="N326"/>
      <c r="O326"/>
      <c r="P326"/>
      <c r="Q326"/>
      <c r="R326" s="2"/>
    </row>
    <row r="327" spans="2:18" ht="34" hidden="1" customHeight="1" outlineLevel="2" x14ac:dyDescent="0.2">
      <c r="B327" s="1647" t="s">
        <v>3</v>
      </c>
      <c r="C327" s="1275">
        <f>ROUND((30+15+15+10)/4,-1)</f>
        <v>20</v>
      </c>
      <c r="D327" s="1648" t="s">
        <v>4</v>
      </c>
      <c r="E327"/>
      <c r="F327"/>
      <c r="G327"/>
      <c r="H327"/>
      <c r="I327"/>
      <c r="J327"/>
      <c r="K327"/>
      <c r="L327"/>
      <c r="M327"/>
      <c r="N327"/>
      <c r="O327"/>
      <c r="P327"/>
      <c r="Q327"/>
      <c r="R327" s="2"/>
    </row>
    <row r="328" spans="2:18" ht="34" hidden="1" customHeight="1" outlineLevel="2" x14ac:dyDescent="0.2">
      <c r="E328"/>
      <c r="F328"/>
      <c r="G328"/>
      <c r="H328"/>
      <c r="I328"/>
      <c r="J328"/>
      <c r="K328"/>
      <c r="L328"/>
      <c r="M328"/>
      <c r="N328"/>
      <c r="O328"/>
      <c r="P328"/>
      <c r="Q328"/>
      <c r="R328" s="2"/>
    </row>
    <row r="329" spans="2:18" ht="34" hidden="1" customHeight="1" outlineLevel="2" x14ac:dyDescent="0.2">
      <c r="B329" s="1759" t="s">
        <v>2000</v>
      </c>
      <c r="C329" s="1"/>
      <c r="E329"/>
      <c r="F329"/>
      <c r="G329"/>
      <c r="H329"/>
      <c r="I329"/>
      <c r="J329"/>
      <c r="K329"/>
      <c r="L329"/>
      <c r="M329"/>
      <c r="N329"/>
      <c r="O329"/>
      <c r="P329"/>
      <c r="Q329"/>
      <c r="R329" s="2"/>
    </row>
    <row r="330" spans="2:18" hidden="1" outlineLevel="2" x14ac:dyDescent="0.2">
      <c r="B330" s="232"/>
      <c r="C330" s="529"/>
    </row>
    <row r="331" spans="2:18" hidden="1" outlineLevel="2" x14ac:dyDescent="0.2">
      <c r="B331" s="232" t="s">
        <v>1357</v>
      </c>
      <c r="C331" s="529"/>
    </row>
    <row r="332" spans="2:18" hidden="1" outlineLevel="2" x14ac:dyDescent="0.2">
      <c r="B332" s="55" t="s">
        <v>2380</v>
      </c>
    </row>
    <row r="333" spans="2:18" hidden="1" outlineLevel="2" x14ac:dyDescent="0.2"/>
    <row r="334" spans="2:18" hidden="1" outlineLevel="2" x14ac:dyDescent="0.2">
      <c r="B334" s="102" t="s">
        <v>2381</v>
      </c>
    </row>
    <row r="335" spans="2:18" hidden="1" outlineLevel="2" x14ac:dyDescent="0.2">
      <c r="B335" s="2684" t="s">
        <v>378</v>
      </c>
      <c r="C335" s="2684"/>
      <c r="D335" s="2684" t="s">
        <v>377</v>
      </c>
      <c r="E335" s="2684"/>
    </row>
    <row r="336" spans="2:18" hidden="1" outlineLevel="2" x14ac:dyDescent="0.2">
      <c r="B336" s="2295" t="s">
        <v>2373</v>
      </c>
      <c r="C336" s="36">
        <f>SUM('ANNEXE A'!C232:E232,'ANNEXE A'!H232:I232)</f>
        <v>937</v>
      </c>
      <c r="D336" s="2295" t="s">
        <v>2373</v>
      </c>
      <c r="E336" s="36">
        <f>'ANNEXE A'!F232+'ANNEXE A'!G232</f>
        <v>432</v>
      </c>
    </row>
    <row r="337" spans="2:9" hidden="1" outlineLevel="2" x14ac:dyDescent="0.2">
      <c r="B337" s="2295" t="s">
        <v>2374</v>
      </c>
      <c r="C337" s="81">
        <f>COUNTA(C97:C102,C108:C137)</f>
        <v>36</v>
      </c>
      <c r="D337" s="2295" t="s">
        <v>2374</v>
      </c>
      <c r="E337" s="81">
        <f>COUNTA(B103:B107,B138:B164)</f>
        <v>32</v>
      </c>
    </row>
    <row r="338" spans="2:9" hidden="1" outlineLevel="2" x14ac:dyDescent="0.2">
      <c r="B338" s="2295" t="s">
        <v>2375</v>
      </c>
      <c r="C338" s="81">
        <f>COUNTA(C165:C167,C171:C175)</f>
        <v>8</v>
      </c>
      <c r="D338" s="2295" t="s">
        <v>2375</v>
      </c>
      <c r="E338" s="81">
        <f>COUNTA(C168:C170,C176:C183)</f>
        <v>11</v>
      </c>
    </row>
    <row r="339" spans="2:9" hidden="1" outlineLevel="2" x14ac:dyDescent="0.2">
      <c r="B339" s="2289" t="s">
        <v>13</v>
      </c>
      <c r="C339" s="1750">
        <f>SUM(C336:C338)</f>
        <v>981</v>
      </c>
      <c r="D339" s="2289" t="s">
        <v>13</v>
      </c>
      <c r="E339" s="1750">
        <f>SUM(E336:E338)</f>
        <v>475</v>
      </c>
    </row>
    <row r="340" spans="2:9" hidden="1" outlineLevel="2" x14ac:dyDescent="0.2">
      <c r="B340" s="1750"/>
      <c r="C340" s="2296">
        <f>C339/SUM(E339,C339)</f>
        <v>0.67376373626373631</v>
      </c>
      <c r="D340" s="1750" t="s">
        <v>922</v>
      </c>
      <c r="E340" s="2296">
        <f>E339/SUM(E339,C339)</f>
        <v>0.32623626373626374</v>
      </c>
    </row>
    <row r="341" spans="2:9" hidden="1" outlineLevel="2" x14ac:dyDescent="0.2"/>
    <row r="342" spans="2:9" hidden="1" outlineLevel="2" x14ac:dyDescent="0.2">
      <c r="B342" s="102" t="s">
        <v>2382</v>
      </c>
    </row>
    <row r="343" spans="2:9" hidden="1" outlineLevel="2" x14ac:dyDescent="0.2">
      <c r="B343" s="2684" t="s">
        <v>378</v>
      </c>
      <c r="C343" s="2684"/>
      <c r="D343" s="2684" t="s">
        <v>377</v>
      </c>
      <c r="E343" s="2684"/>
    </row>
    <row r="344" spans="2:9" hidden="1" outlineLevel="2" x14ac:dyDescent="0.2">
      <c r="B344" s="81" t="s">
        <v>1340</v>
      </c>
      <c r="C344" s="2297">
        <f>($C$336/SUM($E$336,$C$336))*(D217+E217+F217)</f>
        <v>11555.570160042742</v>
      </c>
      <c r="D344" s="81" t="s">
        <v>1340</v>
      </c>
      <c r="E344" s="2297">
        <f>($E$336/SUM($E$336,$C$336))*(D217+E217+F217)</f>
        <v>5327.6481420901437</v>
      </c>
      <c r="I344" s="346"/>
    </row>
    <row r="345" spans="2:9" hidden="1" outlineLevel="2" x14ac:dyDescent="0.2">
      <c r="B345" s="81" t="s">
        <v>2378</v>
      </c>
      <c r="C345" s="2297">
        <f>($C$337/SUM($E$337,$C$337))*G217</f>
        <v>2789.9773006920418</v>
      </c>
      <c r="D345" s="81" t="s">
        <v>2378</v>
      </c>
      <c r="E345" s="2297">
        <f>($E$337/SUM($E$337,$C$337))*G217</f>
        <v>2479.9798228373706</v>
      </c>
    </row>
    <row r="346" spans="2:9" hidden="1" outlineLevel="2" x14ac:dyDescent="0.2">
      <c r="B346" s="81" t="s">
        <v>2379</v>
      </c>
      <c r="C346" s="2297">
        <f>($C$338/SUM($E$338,$C$338))*H217</f>
        <v>4130.1497263157898</v>
      </c>
      <c r="D346" s="81" t="s">
        <v>2379</v>
      </c>
      <c r="E346" s="2297">
        <f>($E$338/SUM($E$338,$C$338))*H217</f>
        <v>5678.9558736842109</v>
      </c>
    </row>
    <row r="347" spans="2:9" hidden="1" outlineLevel="2" x14ac:dyDescent="0.2">
      <c r="B347" s="7" t="s">
        <v>198</v>
      </c>
      <c r="C347" s="2298">
        <f>SUM(C344:C346)</f>
        <v>18475.697187050573</v>
      </c>
      <c r="D347" s="7" t="s">
        <v>198</v>
      </c>
      <c r="E347" s="2298">
        <f>SUM(E344:E346)</f>
        <v>13486.583838611725</v>
      </c>
    </row>
    <row r="348" spans="2:9" hidden="1" outlineLevel="2" x14ac:dyDescent="0.2"/>
    <row r="349" spans="2:9" hidden="1" outlineLevel="2" x14ac:dyDescent="0.2">
      <c r="B349" s="102" t="s">
        <v>2669</v>
      </c>
    </row>
    <row r="350" spans="2:9" hidden="1" outlineLevel="2" x14ac:dyDescent="0.2"/>
    <row r="351" spans="2:9" hidden="1" outlineLevel="2" x14ac:dyDescent="0.2">
      <c r="B351" s="314" t="s">
        <v>2723</v>
      </c>
      <c r="C351" s="81" t="s">
        <v>767</v>
      </c>
      <c r="D351" s="81" t="s">
        <v>2670</v>
      </c>
      <c r="E351" s="81" t="s">
        <v>2728</v>
      </c>
    </row>
    <row r="352" spans="2:9" hidden="1" outlineLevel="2" x14ac:dyDescent="0.2">
      <c r="B352" s="2565" t="s">
        <v>1340</v>
      </c>
      <c r="C352" s="81" t="s">
        <v>2671</v>
      </c>
      <c r="D352" s="314">
        <f>D217/D203/D204*17+E217/D203/E204*10</f>
        <v>4.8261670613333347</v>
      </c>
      <c r="E352" s="81" t="s">
        <v>2725</v>
      </c>
    </row>
    <row r="353" spans="2:6" hidden="1" outlineLevel="2" x14ac:dyDescent="0.2">
      <c r="B353" s="2565"/>
      <c r="C353" s="81" t="s">
        <v>2672</v>
      </c>
      <c r="D353" s="2297">
        <f>F216*F205*200/1000</f>
        <v>1.4375316925280321</v>
      </c>
      <c r="E353" s="81" t="s">
        <v>2675</v>
      </c>
    </row>
    <row r="354" spans="2:6" hidden="1" outlineLevel="2" x14ac:dyDescent="0.2">
      <c r="B354" s="77" t="s">
        <v>1342</v>
      </c>
      <c r="C354" s="81" t="s">
        <v>2673</v>
      </c>
      <c r="D354" s="2297">
        <f>G217/G203/G204*4</f>
        <v>3.2732652941176474</v>
      </c>
      <c r="E354" s="81" t="s">
        <v>2727</v>
      </c>
    </row>
    <row r="355" spans="2:6" hidden="1" outlineLevel="2" x14ac:dyDescent="0.2">
      <c r="B355" s="77" t="s">
        <v>1343</v>
      </c>
      <c r="C355" s="81" t="s">
        <v>2674</v>
      </c>
      <c r="D355" s="314">
        <f>H217/H203/H204*3</f>
        <v>15.488061473684212</v>
      </c>
      <c r="E355" s="81" t="s">
        <v>2726</v>
      </c>
    </row>
    <row r="356" spans="2:6" hidden="1" outlineLevel="2" x14ac:dyDescent="0.2">
      <c r="C356" s="7" t="s">
        <v>198</v>
      </c>
      <c r="D356" s="352">
        <f>SUM(D352:D355)</f>
        <v>25.025025521663224</v>
      </c>
      <c r="E356" s="81" t="s">
        <v>2676</v>
      </c>
    </row>
    <row r="357" spans="2:6" hidden="1" outlineLevel="2" x14ac:dyDescent="0.2"/>
    <row r="358" spans="2:6" hidden="1" outlineLevel="2" x14ac:dyDescent="0.2">
      <c r="B358" s="314" t="s">
        <v>2724</v>
      </c>
      <c r="C358" s="81" t="s">
        <v>767</v>
      </c>
      <c r="D358" s="81" t="s">
        <v>2670</v>
      </c>
      <c r="E358" s="81" t="s">
        <v>2729</v>
      </c>
    </row>
    <row r="359" spans="2:6" hidden="1" outlineLevel="2" x14ac:dyDescent="0.2">
      <c r="B359" s="2565" t="s">
        <v>1340</v>
      </c>
      <c r="C359" s="81" t="s">
        <v>2671</v>
      </c>
      <c r="D359" s="314">
        <f>D217/D203/D204*18+E217/D203/E204*6</f>
        <v>5.0004053120000007</v>
      </c>
      <c r="E359" s="81" t="s">
        <v>2710</v>
      </c>
    </row>
    <row r="360" spans="2:6" hidden="1" outlineLevel="2" x14ac:dyDescent="0.2">
      <c r="B360" s="2565"/>
      <c r="C360" s="81" t="s">
        <v>2672</v>
      </c>
      <c r="D360" s="2297">
        <f>F216*F205*200/1000</f>
        <v>1.4375316925280321</v>
      </c>
      <c r="E360" s="81" t="s">
        <v>2675</v>
      </c>
    </row>
    <row r="361" spans="2:6" hidden="1" outlineLevel="2" x14ac:dyDescent="0.2">
      <c r="B361" s="77" t="s">
        <v>1342</v>
      </c>
      <c r="C361" s="81" t="s">
        <v>2673</v>
      </c>
      <c r="D361" s="2297">
        <f>G217/G203/G204*11</f>
        <v>9.0014795588235312</v>
      </c>
      <c r="E361" s="81" t="s">
        <v>2732</v>
      </c>
    </row>
    <row r="362" spans="2:6" hidden="1" outlineLevel="2" x14ac:dyDescent="0.2">
      <c r="B362" s="77" t="s">
        <v>1343</v>
      </c>
      <c r="C362" s="81" t="s">
        <v>2674</v>
      </c>
      <c r="D362" s="314">
        <f>H217/H203/H204*3</f>
        <v>15.488061473684212</v>
      </c>
      <c r="E362" s="81" t="s">
        <v>2730</v>
      </c>
      <c r="F362"/>
    </row>
    <row r="363" spans="2:6" hidden="1" outlineLevel="2" x14ac:dyDescent="0.2">
      <c r="C363" s="7" t="s">
        <v>198</v>
      </c>
      <c r="D363" s="352">
        <f>SUM(D359:D362)</f>
        <v>30.927478037035776</v>
      </c>
      <c r="E363" s="81" t="s">
        <v>2676</v>
      </c>
      <c r="F363"/>
    </row>
    <row r="364" spans="2:6" hidden="1" outlineLevel="2" x14ac:dyDescent="0.2">
      <c r="E364"/>
      <c r="F364"/>
    </row>
    <row r="365" spans="2:6" hidden="1" outlineLevel="2" x14ac:dyDescent="0.2">
      <c r="E365"/>
      <c r="F365"/>
    </row>
    <row r="366" spans="2:6" hidden="1" outlineLevel="2" x14ac:dyDescent="0.2">
      <c r="D366"/>
    </row>
    <row r="367" spans="2:6" ht="17" hidden="1" outlineLevel="2" x14ac:dyDescent="0.2">
      <c r="C367" s="74" t="s">
        <v>2688</v>
      </c>
      <c r="D367" s="236" t="s">
        <v>7</v>
      </c>
    </row>
    <row r="368" spans="2:6" hidden="1" outlineLevel="2" x14ac:dyDescent="0.2">
      <c r="B368" s="60" t="s">
        <v>378</v>
      </c>
      <c r="C368" s="1193">
        <f>Récapitulatif!K84</f>
        <v>274974.23295104527</v>
      </c>
      <c r="D368" s="2519">
        <f>C368/SUM($C$368:$C$369)</f>
        <v>0.61612199795393563</v>
      </c>
    </row>
    <row r="369" spans="2:4" hidden="1" outlineLevel="2" x14ac:dyDescent="0.2">
      <c r="B369" s="60" t="s">
        <v>377</v>
      </c>
      <c r="C369" s="1193">
        <f>Récapitulatif!K101</f>
        <v>171324.12007676481</v>
      </c>
      <c r="D369" s="2519">
        <f>C369/SUM($C$368:$C$369)</f>
        <v>0.38387800204606431</v>
      </c>
    </row>
    <row r="370" spans="2:4" hidden="1" outlineLevel="2" x14ac:dyDescent="0.2"/>
    <row r="371" spans="2:4" hidden="1" outlineLevel="2" x14ac:dyDescent="0.2"/>
    <row r="372" spans="2:4" hidden="1" outlineLevel="2" x14ac:dyDescent="0.2"/>
    <row r="373" spans="2:4" hidden="1" outlineLevel="2" x14ac:dyDescent="0.2"/>
    <row r="374" spans="2:4" hidden="1" outlineLevel="2" x14ac:dyDescent="0.2"/>
    <row r="375" spans="2:4" hidden="1" outlineLevel="2" x14ac:dyDescent="0.2"/>
    <row r="376" spans="2:4" hidden="1" outlineLevel="2" x14ac:dyDescent="0.2"/>
    <row r="377" spans="2:4" hidden="1" outlineLevel="2" x14ac:dyDescent="0.2"/>
    <row r="378" spans="2:4" hidden="1" outlineLevel="2" x14ac:dyDescent="0.2"/>
    <row r="379" spans="2:4" hidden="1" outlineLevel="2" x14ac:dyDescent="0.2"/>
    <row r="380" spans="2:4" hidden="1" outlineLevel="2" x14ac:dyDescent="0.2"/>
    <row r="381" spans="2:4" hidden="1" outlineLevel="2" x14ac:dyDescent="0.2"/>
    <row r="382" spans="2:4" hidden="1" outlineLevel="2" x14ac:dyDescent="0.2"/>
    <row r="383" spans="2:4" hidden="1" outlineLevel="2" x14ac:dyDescent="0.2"/>
    <row r="384" spans="2:4" hidden="1" outlineLevel="2" x14ac:dyDescent="0.2"/>
    <row r="385" spans="2:3" hidden="1" outlineLevel="2" x14ac:dyDescent="0.2">
      <c r="B385" s="55" t="s">
        <v>721</v>
      </c>
      <c r="C385" s="55" t="s">
        <v>2736</v>
      </c>
    </row>
    <row r="386" spans="2:3" hidden="1" outlineLevel="2" x14ac:dyDescent="0.2">
      <c r="B386" s="55" t="s">
        <v>2733</v>
      </c>
      <c r="C386" s="2546">
        <f>C237</f>
        <v>3.3400000000000001E-3</v>
      </c>
    </row>
    <row r="387" spans="2:3" hidden="1" outlineLevel="2" x14ac:dyDescent="0.2">
      <c r="B387" s="55" t="s">
        <v>728</v>
      </c>
      <c r="C387" s="362">
        <f>C231</f>
        <v>2.9499999999999998E-2</v>
      </c>
    </row>
    <row r="388" spans="2:3" hidden="1" outlineLevel="2" x14ac:dyDescent="0.2">
      <c r="B388" s="55" t="s">
        <v>2734</v>
      </c>
      <c r="C388" s="362">
        <f>C233</f>
        <v>0.25800000000000001</v>
      </c>
    </row>
    <row r="389" spans="2:3" hidden="1" outlineLevel="2" x14ac:dyDescent="0.2">
      <c r="B389" s="55" t="s">
        <v>2735</v>
      </c>
      <c r="C389" s="362">
        <f>C232</f>
        <v>0.52700000000000002</v>
      </c>
    </row>
    <row r="390" spans="2:3" hidden="1" outlineLevel="2" x14ac:dyDescent="0.2"/>
    <row r="391" spans="2:3" hidden="1" outlineLevel="2" x14ac:dyDescent="0.2"/>
    <row r="392" spans="2:3" hidden="1" outlineLevel="2" x14ac:dyDescent="0.2"/>
    <row r="393" spans="2:3" hidden="1" outlineLevel="2" x14ac:dyDescent="0.2"/>
    <row r="394" spans="2:3" collapsed="1" x14ac:dyDescent="0.2"/>
  </sheetData>
  <autoFilter ref="B96:J183" xr:uid="{00000000-0001-0000-0F00-000000000000}">
    <sortState xmlns:xlrd2="http://schemas.microsoft.com/office/spreadsheetml/2017/richdata2" ref="B97:J183">
      <sortCondition ref="C96:C183"/>
    </sortState>
  </autoFilter>
  <mergeCells count="35">
    <mergeCell ref="B352:B353"/>
    <mergeCell ref="B359:B360"/>
    <mergeCell ref="B335:C335"/>
    <mergeCell ref="D335:E335"/>
    <mergeCell ref="D343:E343"/>
    <mergeCell ref="B343:C343"/>
    <mergeCell ref="E310:I312"/>
    <mergeCell ref="B211:B216"/>
    <mergeCell ref="G208:G209"/>
    <mergeCell ref="H208:H209"/>
    <mergeCell ref="G213:G214"/>
    <mergeCell ref="H213:H214"/>
    <mergeCell ref="E307:I309"/>
    <mergeCell ref="E299:I301"/>
    <mergeCell ref="E296:I298"/>
    <mergeCell ref="B2:F2"/>
    <mergeCell ref="B4:D4"/>
    <mergeCell ref="C13:T13"/>
    <mergeCell ref="C14:T14"/>
    <mergeCell ref="C15:T15"/>
    <mergeCell ref="A263:A264"/>
    <mergeCell ref="B12:T12"/>
    <mergeCell ref="C6:D6"/>
    <mergeCell ref="C7:D7"/>
    <mergeCell ref="C9:D9"/>
    <mergeCell ref="C16:T16"/>
    <mergeCell ref="C17:T17"/>
    <mergeCell ref="B187:H188"/>
    <mergeCell ref="B190:H190"/>
    <mergeCell ref="C18:T18"/>
    <mergeCell ref="C19:T19"/>
    <mergeCell ref="B75:F75"/>
    <mergeCell ref="B189:H189"/>
    <mergeCell ref="B204:B205"/>
    <mergeCell ref="B206:B210"/>
  </mergeCells>
  <conditionalFormatting sqref="B326">
    <cfRule type="expression" dxfId="82" priority="1">
      <formula>IF(#REF!=$A$60,TRUE,FALSE)</formula>
    </cfRule>
    <cfRule type="expression" dxfId="81" priority="2">
      <formula>IF(#REF!="Non concerné",TRUE,FALSE)</formula>
    </cfRule>
  </conditionalFormatting>
  <conditionalFormatting sqref="C7">
    <cfRule type="containsText" dxfId="80" priority="14" operator="containsText" text="Calcul brouillon, odg">
      <formula>NOT(ISERROR(SEARCH("Calcul brouillon, odg",C7)))</formula>
    </cfRule>
    <cfRule type="containsText" dxfId="79" priority="15" operator="containsText" text="Pas ok">
      <formula>NOT(ISERROR(SEARCH("Pas ok",C7)))</formula>
    </cfRule>
    <cfRule type="containsText" dxfId="78" priority="16" operator="containsText" text="Calcul brouillon, ordre de grandeur">
      <formula>NOT(ISERROR(SEARCH("Calcul brouillon, ordre de grandeur",C7)))</formula>
    </cfRule>
    <cfRule type="containsText" dxfId="77" priority="17" operator="containsText" text="Bon ordre de grandeur">
      <formula>NOT(ISERROR(SEARCH("Bon ordre de grandeur",C7)))</formula>
    </cfRule>
    <cfRule type="containsText" dxfId="76" priority="18" operator="containsText" text="Calcul validé">
      <formula>NOT(ISERROR(SEARCH("Calcul validé",C7)))</formula>
    </cfRule>
    <cfRule type="containsText" dxfId="75" priority="20" operator="containsText" text="Pas ok">
      <formula>NOT(ISERROR(SEARCH("Pas ok",C7)))</formula>
    </cfRule>
    <cfRule type="containsText" dxfId="74" priority="21" operator="containsText" text="Calcul brouillon, ordre de grandeur">
      <formula>NOT(ISERROR(SEARCH("Calcul brouillon, ordre de grandeur",C7)))</formula>
    </cfRule>
    <cfRule type="containsText" dxfId="73" priority="22" operator="containsText" text="Bon ordre de grandeur">
      <formula>NOT(ISERROR(SEARCH("Bon ordre de grandeur",C7)))</formula>
    </cfRule>
    <cfRule type="containsText" dxfId="72" priority="23" operator="containsText" text="Calcul validé">
      <formula>NOT(ISERROR(SEARCH("Calcul validé",C7)))</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A9C"/>
  </sheetPr>
  <dimension ref="A1:AM265"/>
  <sheetViews>
    <sheetView zoomScale="41" zoomScaleNormal="64" workbookViewId="0">
      <selection activeCell="F239" sqref="F239"/>
    </sheetView>
  </sheetViews>
  <sheetFormatPr baseColWidth="10" defaultColWidth="10.85546875" defaultRowHeight="16" outlineLevelRow="1" x14ac:dyDescent="0.2"/>
  <cols>
    <col min="1" max="1" width="10.85546875" style="55"/>
    <col min="2" max="2" width="55.85546875" style="55" customWidth="1"/>
    <col min="3" max="3" width="39.7109375" style="55" customWidth="1"/>
    <col min="4" max="4" width="35.140625" style="55" customWidth="1"/>
    <col min="5" max="5" width="42.28515625" style="55" customWidth="1"/>
    <col min="6" max="7" width="35.140625" style="55" customWidth="1"/>
    <col min="8" max="8" width="40.28515625" style="55" customWidth="1"/>
    <col min="9" max="12" width="35.140625" style="55" customWidth="1"/>
    <col min="13" max="20" width="34.5703125" style="55" customWidth="1"/>
    <col min="21" max="23" width="35" style="55" customWidth="1"/>
    <col min="24" max="29" width="10.85546875" style="55"/>
    <col min="30" max="33" width="29.42578125" style="55" customWidth="1"/>
    <col min="34" max="16384" width="10.85546875" style="55"/>
  </cols>
  <sheetData>
    <row r="1" spans="2:38" ht="36" customHeight="1" x14ac:dyDescent="0.2">
      <c r="B1" s="126"/>
      <c r="C1" s="126"/>
      <c r="D1" s="126"/>
      <c r="E1" s="126"/>
      <c r="F1" s="126"/>
      <c r="G1" s="126"/>
      <c r="H1" s="126"/>
    </row>
    <row r="2" spans="2:38" ht="36" customHeight="1" x14ac:dyDescent="0.2">
      <c r="B2" s="2929" t="s">
        <v>769</v>
      </c>
      <c r="C2" s="2930"/>
      <c r="D2" s="2931"/>
      <c r="E2" s="126"/>
      <c r="F2" s="126"/>
      <c r="G2" s="126"/>
      <c r="H2" s="126"/>
    </row>
    <row r="3" spans="2:38" s="2" customFormat="1" ht="36" customHeight="1" x14ac:dyDescent="0.2"/>
    <row r="4" spans="2:38" ht="36" customHeight="1" x14ac:dyDescent="0.2">
      <c r="B4" s="126"/>
      <c r="C4" s="126"/>
      <c r="D4" s="126"/>
      <c r="E4" s="126"/>
      <c r="F4" s="126"/>
      <c r="G4" s="126"/>
      <c r="H4" s="126"/>
    </row>
    <row r="5" spans="2:38" ht="36" customHeight="1" thickBot="1" x14ac:dyDescent="0.25">
      <c r="B5" s="2932" t="s">
        <v>17</v>
      </c>
      <c r="C5" s="2933"/>
      <c r="D5" s="2934"/>
      <c r="E5" s="551"/>
    </row>
    <row r="6" spans="2:38" ht="36" customHeight="1" thickBot="1" x14ac:dyDescent="0.25">
      <c r="B6" s="1950" t="s">
        <v>216</v>
      </c>
      <c r="C6" s="1949">
        <f>D36</f>
        <v>31962.281025662298</v>
      </c>
      <c r="D6" s="773" t="s">
        <v>19</v>
      </c>
      <c r="E6" s="551"/>
    </row>
    <row r="7" spans="2:38" ht="36" customHeight="1" x14ac:dyDescent="0.2">
      <c r="B7" s="1946"/>
      <c r="C7" s="2935" t="s">
        <v>770</v>
      </c>
      <c r="D7" s="2936"/>
      <c r="E7" s="2937" t="s">
        <v>771</v>
      </c>
      <c r="F7" s="2938"/>
      <c r="G7" s="2935" t="s">
        <v>772</v>
      </c>
      <c r="H7" s="2938"/>
    </row>
    <row r="8" spans="2:38" ht="36" customHeight="1" x14ac:dyDescent="0.2">
      <c r="B8" s="1947" t="s">
        <v>217</v>
      </c>
      <c r="C8" s="765">
        <f>J36</f>
        <v>1891.2859790039242</v>
      </c>
      <c r="D8" s="766" t="s">
        <v>19</v>
      </c>
      <c r="E8" s="767">
        <f>O36</f>
        <v>4601.3328407898016</v>
      </c>
      <c r="F8" s="764" t="s">
        <v>19</v>
      </c>
      <c r="G8" s="765">
        <f>T36</f>
        <v>1463.3579311728706</v>
      </c>
      <c r="H8" s="764" t="s">
        <v>19</v>
      </c>
    </row>
    <row r="9" spans="2:38" ht="36" customHeight="1" x14ac:dyDescent="0.2">
      <c r="B9" s="1948" t="s">
        <v>218</v>
      </c>
      <c r="C9" s="2925">
        <f>C8/C6 - 1</f>
        <v>-0.94082756554560598</v>
      </c>
      <c r="D9" s="2926"/>
      <c r="E9" s="2927">
        <f>E8/C6 - 1</f>
        <v>-0.85603865890874864</v>
      </c>
      <c r="F9" s="2928"/>
      <c r="G9" s="2925">
        <f>G8/C6 - 1</f>
        <v>-0.95421609834423426</v>
      </c>
      <c r="H9" s="2928"/>
    </row>
    <row r="10" spans="2:38" ht="36" customHeight="1" x14ac:dyDescent="0.2">
      <c r="B10" s="193"/>
      <c r="C10" s="126"/>
      <c r="D10" s="126"/>
      <c r="E10" s="126"/>
      <c r="F10" s="126"/>
      <c r="G10" s="126"/>
      <c r="H10" s="126"/>
    </row>
    <row r="11" spans="2:38" ht="36" customHeight="1" x14ac:dyDescent="0.2">
      <c r="B11" s="133" t="s">
        <v>219</v>
      </c>
    </row>
    <row r="12" spans="2:38" ht="36" customHeight="1" thickBot="1" x14ac:dyDescent="0.25"/>
    <row r="13" spans="2:38" ht="36" customHeight="1" outlineLevel="1" thickBot="1" x14ac:dyDescent="0.25">
      <c r="B13" s="768" t="s">
        <v>149</v>
      </c>
      <c r="C13" s="728" t="s">
        <v>220</v>
      </c>
      <c r="D13" s="1216" t="s">
        <v>1546</v>
      </c>
      <c r="E13" s="730" t="s">
        <v>222</v>
      </c>
      <c r="F13" s="1217" t="s">
        <v>773</v>
      </c>
      <c r="G13" s="730" t="s">
        <v>222</v>
      </c>
      <c r="H13" s="732" t="s">
        <v>774</v>
      </c>
      <c r="I13" s="730" t="s">
        <v>222</v>
      </c>
      <c r="J13" s="733" t="s">
        <v>775</v>
      </c>
    </row>
    <row r="14" spans="2:38" ht="36" customHeight="1" outlineLevel="1" x14ac:dyDescent="0.2"/>
    <row r="15" spans="2:38" ht="36" customHeight="1" x14ac:dyDescent="0.2">
      <c r="B15" s="133" t="s">
        <v>776</v>
      </c>
      <c r="C15" s="126"/>
      <c r="D15" s="126"/>
      <c r="H15" s="126"/>
      <c r="AD15" s="2"/>
      <c r="AE15" s="2"/>
      <c r="AF15" s="2"/>
      <c r="AG15" s="2"/>
      <c r="AH15" s="2"/>
      <c r="AI15" s="2"/>
      <c r="AJ15" s="2"/>
      <c r="AK15" s="2"/>
      <c r="AL15" s="2"/>
    </row>
    <row r="16" spans="2:38" ht="36" customHeight="1" x14ac:dyDescent="0.2">
      <c r="B16" s="126"/>
      <c r="C16" s="126"/>
      <c r="D16" s="126"/>
      <c r="H16" s="126"/>
      <c r="AD16" s="2"/>
      <c r="AE16" s="2"/>
      <c r="AF16" s="2"/>
      <c r="AG16" s="2"/>
      <c r="AH16" s="2"/>
      <c r="AI16" s="2"/>
      <c r="AJ16" s="2"/>
      <c r="AK16" s="2"/>
      <c r="AL16" s="2"/>
    </row>
    <row r="17" spans="2:39" ht="36" hidden="1" customHeight="1" outlineLevel="1" thickBot="1" x14ac:dyDescent="0.25">
      <c r="B17" s="2"/>
      <c r="C17" s="2"/>
      <c r="D17" s="2"/>
      <c r="E17" s="2"/>
      <c r="F17" s="2"/>
      <c r="G17" s="2"/>
      <c r="H17" s="2"/>
      <c r="I17" s="2"/>
      <c r="J17" s="2"/>
      <c r="K17" s="2"/>
      <c r="L17" s="2"/>
      <c r="M17" s="2"/>
      <c r="N17" s="2"/>
      <c r="O17" s="2"/>
      <c r="P17" s="2"/>
      <c r="Q17" s="2"/>
      <c r="R17" s="2"/>
      <c r="S17" s="2"/>
      <c r="T17" s="2"/>
      <c r="U17" s="2"/>
      <c r="V17" s="2"/>
      <c r="AD17" s="2"/>
      <c r="AE17" s="2"/>
      <c r="AF17" s="2"/>
      <c r="AG17" s="2"/>
      <c r="AH17" s="2"/>
      <c r="AI17" s="2"/>
      <c r="AJ17" s="2"/>
      <c r="AK17" s="2"/>
      <c r="AL17" s="2"/>
    </row>
    <row r="18" spans="2:39" ht="36" hidden="1" customHeight="1" outlineLevel="1" thickBot="1" x14ac:dyDescent="0.25">
      <c r="C18"/>
      <c r="D18" s="2939">
        <v>2022</v>
      </c>
      <c r="E18" s="2940"/>
      <c r="F18" s="2940"/>
      <c r="G18" s="2940"/>
      <c r="H18" s="2941"/>
      <c r="I18" s="2939" t="s">
        <v>1542</v>
      </c>
      <c r="J18" s="2940"/>
      <c r="K18" s="2940"/>
      <c r="L18" s="2940"/>
      <c r="M18" s="2941"/>
      <c r="N18" s="2939" t="s">
        <v>1541</v>
      </c>
      <c r="O18" s="2940"/>
      <c r="P18" s="2940"/>
      <c r="Q18" s="2940"/>
      <c r="R18" s="2941"/>
      <c r="S18" s="2939" t="s">
        <v>1543</v>
      </c>
      <c r="T18" s="2940"/>
      <c r="U18" s="2940"/>
      <c r="V18" s="2940"/>
      <c r="W18" s="2941"/>
      <c r="AE18" s="2"/>
      <c r="AF18" s="2"/>
      <c r="AG18" s="2"/>
      <c r="AH18" s="2"/>
      <c r="AI18" s="2"/>
      <c r="AJ18" s="2"/>
      <c r="AK18" s="2"/>
      <c r="AL18" s="2"/>
      <c r="AM18" s="2"/>
    </row>
    <row r="19" spans="2:39" s="364" customFormat="1" ht="36" hidden="1" customHeight="1" outlineLevel="1" thickBot="1" x14ac:dyDescent="0.3">
      <c r="C19" s="1258"/>
      <c r="D19" s="734"/>
      <c r="E19" s="735"/>
      <c r="F19" s="735"/>
      <c r="G19" s="735"/>
      <c r="H19" s="735"/>
      <c r="I19" s="2944" t="s">
        <v>1540</v>
      </c>
      <c r="J19" s="2945"/>
      <c r="K19" s="2945"/>
      <c r="L19" s="2945"/>
      <c r="M19" s="2946"/>
      <c r="N19" s="2944" t="s">
        <v>1544</v>
      </c>
      <c r="O19" s="2945"/>
      <c r="P19" s="2945"/>
      <c r="Q19" s="2945"/>
      <c r="R19" s="2946"/>
      <c r="S19" s="2944" t="s">
        <v>1545</v>
      </c>
      <c r="T19" s="2945"/>
      <c r="U19" s="2945"/>
      <c r="V19" s="2945"/>
      <c r="W19" s="2946"/>
      <c r="AE19" s="736"/>
      <c r="AF19" s="736"/>
      <c r="AG19" s="736"/>
      <c r="AH19" s="736"/>
      <c r="AI19" s="736"/>
      <c r="AJ19" s="736"/>
      <c r="AK19" s="736"/>
      <c r="AL19" s="736"/>
      <c r="AM19" s="736"/>
    </row>
    <row r="20" spans="2:39" s="112" customFormat="1" ht="36" hidden="1" customHeight="1" outlineLevel="1" thickBot="1" x14ac:dyDescent="0.25">
      <c r="C20" s="1257"/>
      <c r="D20" s="1149" t="s">
        <v>1560</v>
      </c>
      <c r="E20" s="1218" t="s">
        <v>1558</v>
      </c>
      <c r="F20" s="1219" t="s">
        <v>781</v>
      </c>
      <c r="G20" s="1219" t="s">
        <v>1547</v>
      </c>
      <c r="H20" s="1220" t="s">
        <v>782</v>
      </c>
      <c r="I20" s="1150" t="s">
        <v>779</v>
      </c>
      <c r="J20" s="1221" t="s">
        <v>780</v>
      </c>
      <c r="K20" s="1221" t="s">
        <v>781</v>
      </c>
      <c r="L20" s="1221" t="s">
        <v>1547</v>
      </c>
      <c r="M20" s="1222" t="s">
        <v>782</v>
      </c>
      <c r="N20" s="1150" t="s">
        <v>779</v>
      </c>
      <c r="O20" s="1221" t="s">
        <v>780</v>
      </c>
      <c r="P20" s="1221" t="s">
        <v>781</v>
      </c>
      <c r="Q20" s="1221" t="s">
        <v>1547</v>
      </c>
      <c r="R20" s="1222" t="s">
        <v>782</v>
      </c>
      <c r="S20" s="1150" t="s">
        <v>779</v>
      </c>
      <c r="T20" s="1221" t="s">
        <v>780</v>
      </c>
      <c r="U20" s="1221" t="s">
        <v>781</v>
      </c>
      <c r="V20" s="1221" t="s">
        <v>1547</v>
      </c>
      <c r="W20" s="1151" t="s">
        <v>782</v>
      </c>
      <c r="AE20" s="2"/>
      <c r="AF20" s="2"/>
      <c r="AG20" s="2"/>
      <c r="AH20" s="2"/>
      <c r="AI20" s="2"/>
      <c r="AJ20" s="2"/>
      <c r="AK20" s="2"/>
      <c r="AL20" s="2"/>
      <c r="AM20" s="2"/>
    </row>
    <row r="21" spans="2:39" ht="52" hidden="1" customHeight="1" outlineLevel="1" thickBot="1" x14ac:dyDescent="0.25">
      <c r="B21" s="1216" t="s">
        <v>1546</v>
      </c>
      <c r="C21" s="1228" t="s">
        <v>1565</v>
      </c>
      <c r="D21" s="2047">
        <f>'13'!D203</f>
        <v>42</v>
      </c>
      <c r="E21" s="2048">
        <f>'13'!E203</f>
        <v>1</v>
      </c>
      <c r="F21" s="2048">
        <f>'13'!F203</f>
        <v>42</v>
      </c>
      <c r="G21" s="2048">
        <f>'13'!G203</f>
        <v>47.352941176470587</v>
      </c>
      <c r="H21" s="2049">
        <f>'13'!H203</f>
        <v>50</v>
      </c>
      <c r="I21" s="1050">
        <f>D21</f>
        <v>42</v>
      </c>
      <c r="J21" s="847"/>
      <c r="K21" s="848">
        <f>F21</f>
        <v>42</v>
      </c>
      <c r="L21" s="845">
        <f>G21</f>
        <v>47.352941176470587</v>
      </c>
      <c r="M21" s="849">
        <f t="shared" ref="M21:M23" si="0">H21</f>
        <v>50</v>
      </c>
      <c r="N21" s="846">
        <f>I21</f>
        <v>42</v>
      </c>
      <c r="O21" s="847"/>
      <c r="P21" s="845">
        <f t="shared" ref="P21:R28" si="1">K21</f>
        <v>42</v>
      </c>
      <c r="Q21" s="845">
        <f t="shared" si="1"/>
        <v>47.352941176470587</v>
      </c>
      <c r="R21" s="850">
        <f t="shared" si="1"/>
        <v>50</v>
      </c>
      <c r="S21" s="1064">
        <f>I21</f>
        <v>42</v>
      </c>
      <c r="T21" s="847"/>
      <c r="U21" s="848">
        <f>F21</f>
        <v>42</v>
      </c>
      <c r="V21" s="1065">
        <f>L21</f>
        <v>47.352941176470587</v>
      </c>
      <c r="W21" s="849">
        <f t="shared" ref="U21:W28" si="2">M21</f>
        <v>50</v>
      </c>
      <c r="AE21" s="2"/>
      <c r="AF21" s="2"/>
      <c r="AG21" s="2"/>
      <c r="AH21" s="2"/>
      <c r="AI21" s="2"/>
      <c r="AJ21" s="2"/>
      <c r="AK21" s="2"/>
      <c r="AL21" s="2"/>
      <c r="AM21" s="2"/>
    </row>
    <row r="22" spans="2:39" ht="52" hidden="1" customHeight="1" outlineLevel="1" x14ac:dyDescent="0.2">
      <c r="B22" s="2923" t="s">
        <v>773</v>
      </c>
      <c r="C22" s="2071" t="str">
        <f>'Fiche levier - 16'!C23</f>
        <v>Nombre de rencontres</v>
      </c>
      <c r="D22" s="2059">
        <f>'13'!$D$204</f>
        <v>1369</v>
      </c>
      <c r="E22" s="2072">
        <f>'13'!$E$204</f>
        <v>951.45500000000004</v>
      </c>
      <c r="F22" s="2060">
        <f>'13'!$F$204</f>
        <v>1369</v>
      </c>
      <c r="G22" s="2060">
        <f>'13'!$G$204</f>
        <v>136</v>
      </c>
      <c r="H22" s="2061">
        <f>'13'!$H$204</f>
        <v>38</v>
      </c>
      <c r="I22" s="2059">
        <f>'13'!$D$204</f>
        <v>1369</v>
      </c>
      <c r="J22" s="2072"/>
      <c r="K22" s="2060">
        <f>'13'!$F$204</f>
        <v>1369</v>
      </c>
      <c r="L22" s="2060">
        <f>'13'!$G$204</f>
        <v>136</v>
      </c>
      <c r="M22" s="2061">
        <f>'13'!$H$204</f>
        <v>38</v>
      </c>
      <c r="N22" s="2059">
        <f>'13'!$D$204</f>
        <v>1369</v>
      </c>
      <c r="O22" s="2072"/>
      <c r="P22" s="2060">
        <f>'13'!$F$204</f>
        <v>1369</v>
      </c>
      <c r="Q22" s="2060">
        <f>'13'!$G$204</f>
        <v>136</v>
      </c>
      <c r="R22" s="2061">
        <f>'13'!$H$204</f>
        <v>38</v>
      </c>
      <c r="S22" s="2059">
        <f>N22</f>
        <v>1369</v>
      </c>
      <c r="T22" s="2060"/>
      <c r="U22" s="2060">
        <f>P22</f>
        <v>1369</v>
      </c>
      <c r="V22" s="2072">
        <f>Q22*(1+C105)</f>
        <v>95.199999999999989</v>
      </c>
      <c r="W22" s="2083">
        <f>R22*(1+D105)</f>
        <v>9.5000000000000036</v>
      </c>
      <c r="AE22" s="2"/>
      <c r="AF22" s="2"/>
      <c r="AG22" s="2"/>
      <c r="AH22" s="2"/>
      <c r="AI22" s="2"/>
      <c r="AJ22" s="2"/>
      <c r="AK22" s="2"/>
      <c r="AL22" s="2"/>
      <c r="AM22" s="2"/>
    </row>
    <row r="23" spans="2:39" ht="59" hidden="1" customHeight="1" outlineLevel="1" thickBot="1" x14ac:dyDescent="0.25">
      <c r="B23" s="2924"/>
      <c r="C23" s="2050" t="s">
        <v>1563</v>
      </c>
      <c r="D23" s="2062">
        <f>'13'!D205</f>
        <v>1120</v>
      </c>
      <c r="E23" s="2063">
        <f>'13'!E205</f>
        <v>1120</v>
      </c>
      <c r="F23" s="2063">
        <f>'13'!F205</f>
        <v>41.595245732871298</v>
      </c>
      <c r="G23" s="2063">
        <f>'13'!G205</f>
        <v>2084.8823529411766</v>
      </c>
      <c r="H23" s="2064">
        <f>'13'!H205</f>
        <v>15206.736842105263</v>
      </c>
      <c r="I23" s="2051">
        <f>D23</f>
        <v>1120</v>
      </c>
      <c r="J23" s="2052"/>
      <c r="K23" s="2032">
        <f>F23</f>
        <v>41.595245732871298</v>
      </c>
      <c r="L23" s="2032">
        <f>G23</f>
        <v>2084.8823529411766</v>
      </c>
      <c r="M23" s="2053">
        <f t="shared" si="0"/>
        <v>15206.736842105263</v>
      </c>
      <c r="N23" s="2054">
        <f>I23</f>
        <v>1120</v>
      </c>
      <c r="O23" s="2052"/>
      <c r="P23" s="2032">
        <f t="shared" si="1"/>
        <v>41.595245732871298</v>
      </c>
      <c r="Q23" s="2032">
        <f t="shared" si="1"/>
        <v>2084.8823529411766</v>
      </c>
      <c r="R23" s="2053">
        <f t="shared" si="1"/>
        <v>15206.736842105263</v>
      </c>
      <c r="S23" s="2055">
        <f>I23</f>
        <v>1120</v>
      </c>
      <c r="T23" s="2056"/>
      <c r="U23" s="2057">
        <f t="shared" si="2"/>
        <v>41.595245732871298</v>
      </c>
      <c r="V23" s="2057">
        <f>C104</f>
        <v>1459.4176470588236</v>
      </c>
      <c r="W23" s="2058">
        <f>D104</f>
        <v>3801.6842105263158</v>
      </c>
      <c r="AE23" s="2"/>
      <c r="AF23" s="2"/>
      <c r="AG23" s="2"/>
      <c r="AH23" s="2"/>
      <c r="AI23" s="2"/>
      <c r="AJ23" s="2"/>
      <c r="AK23" s="2"/>
      <c r="AL23" s="2"/>
      <c r="AM23" s="2"/>
    </row>
    <row r="24" spans="2:39" ht="36" hidden="1" customHeight="1" outlineLevel="1" x14ac:dyDescent="0.2">
      <c r="B24" s="2957" t="s">
        <v>722</v>
      </c>
      <c r="C24" s="739" t="s">
        <v>726</v>
      </c>
      <c r="D24" s="1055">
        <f>'13'!D206</f>
        <v>0.10500000000000001</v>
      </c>
      <c r="E24" s="1056"/>
      <c r="F24" s="1057"/>
      <c r="G24" s="1057"/>
      <c r="H24" s="1058"/>
      <c r="I24" s="1036">
        <f>D56</f>
        <v>0.5</v>
      </c>
      <c r="J24" s="852"/>
      <c r="K24" s="853"/>
      <c r="L24" s="854">
        <f>C71</f>
        <v>0.25</v>
      </c>
      <c r="M24" s="855"/>
      <c r="N24" s="851">
        <f t="shared" ref="N24:N26" si="3">I24</f>
        <v>0.5</v>
      </c>
      <c r="O24" s="852"/>
      <c r="P24" s="853"/>
      <c r="Q24" s="854">
        <f t="shared" si="1"/>
        <v>0.25</v>
      </c>
      <c r="R24" s="855"/>
      <c r="S24" s="1067">
        <f t="shared" ref="S24:S26" si="4">I24</f>
        <v>0.5</v>
      </c>
      <c r="T24" s="852"/>
      <c r="U24" s="853"/>
      <c r="V24" s="854">
        <f t="shared" si="2"/>
        <v>0.25</v>
      </c>
      <c r="W24" s="855"/>
      <c r="AE24" s="2"/>
      <c r="AF24" s="2"/>
      <c r="AG24" s="2"/>
      <c r="AH24" s="2"/>
      <c r="AI24" s="2"/>
      <c r="AJ24" s="2"/>
      <c r="AK24" s="2"/>
      <c r="AL24" s="2"/>
      <c r="AM24" s="2"/>
    </row>
    <row r="25" spans="2:39" ht="36" hidden="1" customHeight="1" outlineLevel="1" x14ac:dyDescent="0.2">
      <c r="B25" s="2958"/>
      <c r="C25" s="739" t="s">
        <v>728</v>
      </c>
      <c r="D25" s="1046">
        <f>'13'!D207</f>
        <v>0.30499999999999999</v>
      </c>
      <c r="E25" s="1042"/>
      <c r="F25" s="481"/>
      <c r="G25" s="1043"/>
      <c r="H25" s="1048"/>
      <c r="I25" s="1037">
        <f>D57</f>
        <v>0.45</v>
      </c>
      <c r="J25" s="741"/>
      <c r="K25" s="81"/>
      <c r="L25" s="673">
        <f>C72</f>
        <v>0.25</v>
      </c>
      <c r="M25" s="674"/>
      <c r="N25" s="740">
        <f t="shared" si="3"/>
        <v>0.45</v>
      </c>
      <c r="O25" s="741"/>
      <c r="P25" s="81"/>
      <c r="Q25" s="673">
        <f t="shared" si="1"/>
        <v>0.25</v>
      </c>
      <c r="R25" s="674"/>
      <c r="S25" s="1068">
        <f t="shared" si="4"/>
        <v>0.45</v>
      </c>
      <c r="T25" s="741"/>
      <c r="U25" s="81"/>
      <c r="V25" s="673">
        <f t="shared" si="2"/>
        <v>0.25</v>
      </c>
      <c r="W25" s="674"/>
      <c r="AE25" s="2"/>
      <c r="AF25" s="2"/>
      <c r="AG25" s="2"/>
      <c r="AH25" s="2"/>
      <c r="AI25" s="2"/>
      <c r="AJ25" s="2"/>
      <c r="AK25" s="2"/>
      <c r="AL25" s="2"/>
      <c r="AM25" s="2"/>
    </row>
    <row r="26" spans="2:39" ht="36" hidden="1" customHeight="1" outlineLevel="1" x14ac:dyDescent="0.2">
      <c r="B26" s="2958"/>
      <c r="C26" s="739" t="s">
        <v>756</v>
      </c>
      <c r="D26" s="1046">
        <f>'13'!D208</f>
        <v>0.29500000000000004</v>
      </c>
      <c r="E26" s="1042"/>
      <c r="F26" s="481"/>
      <c r="G26" s="2942">
        <v>1</v>
      </c>
      <c r="H26" s="2943">
        <v>1</v>
      </c>
      <c r="I26" s="1037">
        <f t="shared" ref="I26" si="5">D58</f>
        <v>0.05</v>
      </c>
      <c r="J26" s="741"/>
      <c r="K26" s="81"/>
      <c r="L26" s="673">
        <f>C73</f>
        <v>0.5</v>
      </c>
      <c r="M26" s="674">
        <f t="shared" ref="M26" si="6">D73</f>
        <v>1</v>
      </c>
      <c r="N26" s="740">
        <f t="shared" si="3"/>
        <v>0.05</v>
      </c>
      <c r="O26" s="741"/>
      <c r="P26" s="81"/>
      <c r="Q26" s="673">
        <f t="shared" si="1"/>
        <v>0.5</v>
      </c>
      <c r="R26" s="674">
        <f t="shared" si="1"/>
        <v>1</v>
      </c>
      <c r="S26" s="1068">
        <f t="shared" si="4"/>
        <v>0.05</v>
      </c>
      <c r="T26" s="741"/>
      <c r="U26" s="81"/>
      <c r="V26" s="673">
        <f t="shared" si="2"/>
        <v>0.5</v>
      </c>
      <c r="W26" s="674">
        <f t="shared" si="2"/>
        <v>1</v>
      </c>
      <c r="AE26" s="2"/>
      <c r="AF26" s="2"/>
      <c r="AG26" s="2"/>
      <c r="AH26" s="2"/>
      <c r="AI26" s="2"/>
      <c r="AJ26" s="2"/>
      <c r="AK26" s="2"/>
      <c r="AL26" s="2"/>
      <c r="AM26" s="2"/>
    </row>
    <row r="27" spans="2:39" ht="36" hidden="1" customHeight="1" outlineLevel="1" x14ac:dyDescent="0.2">
      <c r="B27" s="2958"/>
      <c r="C27" s="739" t="s">
        <v>735</v>
      </c>
      <c r="D27" s="1046">
        <f>'13'!D209</f>
        <v>0.29500000000000004</v>
      </c>
      <c r="E27" s="1042"/>
      <c r="F27" s="481"/>
      <c r="G27" s="2942"/>
      <c r="H27" s="2943"/>
      <c r="I27" s="1037"/>
      <c r="J27" s="741"/>
      <c r="K27" s="81"/>
      <c r="L27" s="673"/>
      <c r="M27" s="674"/>
      <c r="N27" s="740"/>
      <c r="O27" s="741"/>
      <c r="P27" s="81"/>
      <c r="Q27" s="673"/>
      <c r="R27" s="674"/>
      <c r="S27" s="1068"/>
      <c r="T27" s="741"/>
      <c r="U27" s="81"/>
      <c r="V27" s="673"/>
      <c r="W27" s="674"/>
      <c r="AE27" s="2"/>
      <c r="AF27" s="2"/>
      <c r="AG27" s="2"/>
      <c r="AH27" s="2"/>
      <c r="AI27" s="2"/>
      <c r="AJ27" s="2"/>
      <c r="AK27" s="2"/>
      <c r="AL27" s="2"/>
      <c r="AM27" s="2"/>
    </row>
    <row r="28" spans="2:39" ht="36" hidden="1" customHeight="1" outlineLevel="1" thickBot="1" x14ac:dyDescent="0.25">
      <c r="B28" s="2958"/>
      <c r="C28" s="742" t="s">
        <v>1556</v>
      </c>
      <c r="D28" s="1051"/>
      <c r="E28" s="1052"/>
      <c r="F28" s="1053">
        <f>'13'!F210</f>
        <v>1</v>
      </c>
      <c r="G28" s="800"/>
      <c r="H28" s="1054"/>
      <c r="I28" s="1038"/>
      <c r="J28" s="744"/>
      <c r="K28" s="468">
        <v>1</v>
      </c>
      <c r="L28" s="468"/>
      <c r="M28" s="469"/>
      <c r="N28" s="743"/>
      <c r="O28" s="744"/>
      <c r="P28" s="468">
        <f t="shared" si="1"/>
        <v>1</v>
      </c>
      <c r="Q28" s="468"/>
      <c r="R28" s="469"/>
      <c r="S28" s="1069"/>
      <c r="T28" s="744"/>
      <c r="U28" s="468">
        <f t="shared" si="2"/>
        <v>1</v>
      </c>
      <c r="V28" s="468"/>
      <c r="W28" s="469"/>
      <c r="AE28" s="2"/>
      <c r="AF28" s="2"/>
      <c r="AG28" s="2"/>
      <c r="AH28" s="2"/>
      <c r="AI28" s="2"/>
      <c r="AJ28" s="2"/>
      <c r="AK28" s="2"/>
      <c r="AL28" s="2"/>
      <c r="AM28" s="2"/>
    </row>
    <row r="29" spans="2:39" ht="36" hidden="1" customHeight="1" outlineLevel="1" x14ac:dyDescent="0.2">
      <c r="B29" s="2959" t="s">
        <v>775</v>
      </c>
      <c r="C29" s="745" t="s">
        <v>758</v>
      </c>
      <c r="D29" s="1059">
        <f>'13'!D211</f>
        <v>3.3400000000000001E-3</v>
      </c>
      <c r="E29" s="1060"/>
      <c r="F29" s="1061"/>
      <c r="G29" s="1061"/>
      <c r="H29" s="1062"/>
      <c r="I29" s="1039">
        <f t="shared" ref="I29:I31" si="7">D82</f>
        <v>3.0642496E-3</v>
      </c>
      <c r="J29" s="738"/>
      <c r="K29" s="470"/>
      <c r="L29" s="756">
        <f>D82</f>
        <v>3.0642496E-3</v>
      </c>
      <c r="M29" s="105"/>
      <c r="N29" s="746">
        <f>F82</f>
        <v>3.0642496E-3</v>
      </c>
      <c r="O29" s="738"/>
      <c r="P29" s="470"/>
      <c r="Q29" s="756">
        <f t="shared" ref="Q29:Q30" si="8">F82</f>
        <v>3.0642496E-3</v>
      </c>
      <c r="R29" s="759"/>
      <c r="S29" s="1070">
        <f t="shared" ref="S29:S31" si="9">N29</f>
        <v>3.0642496E-3</v>
      </c>
      <c r="T29" s="738"/>
      <c r="U29" s="470"/>
      <c r="V29" s="1071">
        <f t="shared" ref="U29:W34" si="10">Q29</f>
        <v>3.0642496E-3</v>
      </c>
      <c r="W29" s="105"/>
      <c r="AE29" s="2"/>
      <c r="AF29" s="2"/>
      <c r="AG29" s="2"/>
      <c r="AH29" s="2"/>
      <c r="AI29" s="2"/>
      <c r="AJ29" s="2"/>
      <c r="AK29" s="2"/>
      <c r="AL29" s="2"/>
      <c r="AM29" s="2"/>
    </row>
    <row r="30" spans="2:39" ht="36" hidden="1" customHeight="1" outlineLevel="1" x14ac:dyDescent="0.2">
      <c r="B30" s="2960"/>
      <c r="C30" s="739" t="s">
        <v>759</v>
      </c>
      <c r="D30" s="1049">
        <f>'13'!D212</f>
        <v>2.9499999999999998E-2</v>
      </c>
      <c r="E30" s="1045"/>
      <c r="F30" s="481"/>
      <c r="G30" s="481"/>
      <c r="H30" s="1047"/>
      <c r="I30" s="1040">
        <f t="shared" si="7"/>
        <v>2.9367589380530968E-3</v>
      </c>
      <c r="J30" s="748"/>
      <c r="K30" s="81"/>
      <c r="L30" s="757">
        <f>D83</f>
        <v>2.9367589380530968E-3</v>
      </c>
      <c r="M30" s="276"/>
      <c r="N30" s="749">
        <f t="shared" ref="N30:N31" si="11">F83</f>
        <v>4.3009015929203536E-3</v>
      </c>
      <c r="O30" s="748"/>
      <c r="P30" s="81"/>
      <c r="Q30" s="757">
        <f t="shared" si="8"/>
        <v>4.3009015929203536E-3</v>
      </c>
      <c r="R30" s="760"/>
      <c r="S30" s="749">
        <f t="shared" si="9"/>
        <v>4.3009015929203536E-3</v>
      </c>
      <c r="T30" s="748"/>
      <c r="U30" s="81"/>
      <c r="V30" s="1072">
        <f t="shared" si="10"/>
        <v>4.3009015929203536E-3</v>
      </c>
      <c r="W30" s="276"/>
      <c r="AE30" s="2"/>
      <c r="AF30" s="2"/>
      <c r="AG30" s="2"/>
      <c r="AH30" s="2"/>
      <c r="AI30" s="2"/>
      <c r="AJ30" s="2"/>
      <c r="AK30" s="2"/>
      <c r="AL30" s="2"/>
      <c r="AM30" s="2"/>
    </row>
    <row r="31" spans="2:39" ht="36" hidden="1" customHeight="1" outlineLevel="1" x14ac:dyDescent="0.2">
      <c r="B31" s="2960"/>
      <c r="C31" s="739" t="s">
        <v>1637</v>
      </c>
      <c r="D31" s="1049">
        <f>'13'!D213</f>
        <v>0.25800000000000001</v>
      </c>
      <c r="E31" s="1044"/>
      <c r="F31" s="481"/>
      <c r="G31" s="2961">
        <f>AVERAGE('13'!$C$232:$C$233)</f>
        <v>0.39250000000000002</v>
      </c>
      <c r="H31" s="2962">
        <f>AVERAGE('13'!$C$232,'13'!$C$235)</f>
        <v>0.33950000000000002</v>
      </c>
      <c r="I31" s="1041">
        <f t="shared" si="7"/>
        <v>6.778603934052703E-2</v>
      </c>
      <c r="J31" s="750"/>
      <c r="K31" s="81"/>
      <c r="L31" s="90">
        <f>'13'!C235*(1+C213)</f>
        <v>3.9935961161860885E-2</v>
      </c>
      <c r="M31" s="471">
        <f>'13'!C235*(1+C213)</f>
        <v>3.9935961161860885E-2</v>
      </c>
      <c r="N31" s="747">
        <f t="shared" si="11"/>
        <v>0.1738695652173913</v>
      </c>
      <c r="O31" s="750"/>
      <c r="P31" s="81"/>
      <c r="Q31" s="757">
        <f>'13'!C235*(1+D213)</f>
        <v>0.10243478260869565</v>
      </c>
      <c r="R31" s="760">
        <f>'13'!C235*(1+D213)</f>
        <v>0.10243478260869565</v>
      </c>
      <c r="S31" s="747">
        <f t="shared" si="9"/>
        <v>0.1738695652173913</v>
      </c>
      <c r="T31" s="750"/>
      <c r="U31" s="81"/>
      <c r="V31" s="363">
        <f t="shared" si="10"/>
        <v>0.10243478260869565</v>
      </c>
      <c r="W31" s="471">
        <f t="shared" si="10"/>
        <v>0.10243478260869565</v>
      </c>
      <c r="AE31" s="2"/>
      <c r="AF31" s="2"/>
      <c r="AG31" s="2"/>
      <c r="AH31" s="2"/>
      <c r="AI31" s="2"/>
      <c r="AJ31" s="2"/>
      <c r="AK31" s="2"/>
      <c r="AL31" s="2"/>
      <c r="AM31" s="2"/>
    </row>
    <row r="32" spans="2:39" ht="36" hidden="1" customHeight="1" outlineLevel="1" x14ac:dyDescent="0.2">
      <c r="B32" s="2960"/>
      <c r="C32" s="739" t="s">
        <v>761</v>
      </c>
      <c r="D32" s="1049">
        <f>'13'!D214</f>
        <v>0.52700000000000002</v>
      </c>
      <c r="E32" s="1044"/>
      <c r="F32" s="481"/>
      <c r="G32" s="2961"/>
      <c r="H32" s="2963"/>
      <c r="I32" s="1041"/>
      <c r="J32" s="750"/>
      <c r="K32" s="81"/>
      <c r="L32" s="363"/>
      <c r="M32" s="471"/>
      <c r="N32" s="747"/>
      <c r="O32" s="750"/>
      <c r="P32" s="81"/>
      <c r="Q32" s="757"/>
      <c r="R32" s="760"/>
      <c r="S32" s="747"/>
      <c r="T32" s="750"/>
      <c r="U32" s="81"/>
      <c r="V32" s="363"/>
      <c r="W32" s="471"/>
      <c r="AE32" s="2"/>
      <c r="AF32" s="2"/>
      <c r="AG32" s="2"/>
      <c r="AH32" s="2"/>
      <c r="AI32" s="2"/>
      <c r="AJ32" s="2"/>
      <c r="AK32" s="2"/>
      <c r="AL32" s="2"/>
      <c r="AM32" s="2"/>
    </row>
    <row r="33" spans="1:39" ht="36" hidden="1" customHeight="1" outlineLevel="1" x14ac:dyDescent="0.2">
      <c r="B33" s="2960"/>
      <c r="C33" s="751" t="s">
        <v>762</v>
      </c>
      <c r="D33" s="1049"/>
      <c r="E33" s="1043">
        <f>'13'!E215</f>
        <v>0.89620999999999984</v>
      </c>
      <c r="F33" s="481"/>
      <c r="G33" s="481"/>
      <c r="H33" s="1047"/>
      <c r="I33" s="1041"/>
      <c r="J33" s="748"/>
      <c r="K33" s="81"/>
      <c r="L33" s="81"/>
      <c r="M33" s="276"/>
      <c r="N33" s="747"/>
      <c r="O33" s="748"/>
      <c r="P33" s="81"/>
      <c r="Q33" s="757"/>
      <c r="R33" s="760"/>
      <c r="S33" s="747"/>
      <c r="T33" s="748"/>
      <c r="U33" s="81"/>
      <c r="V33" s="81"/>
      <c r="W33" s="276"/>
      <c r="AE33" s="2"/>
      <c r="AF33" s="2"/>
      <c r="AG33" s="2"/>
      <c r="AH33" s="2"/>
      <c r="AI33" s="2"/>
      <c r="AJ33" s="2"/>
      <c r="AK33" s="2"/>
      <c r="AL33" s="2"/>
      <c r="AM33" s="2"/>
    </row>
    <row r="34" spans="1:39" ht="36" hidden="1" customHeight="1" outlineLevel="1" thickBot="1" x14ac:dyDescent="0.25">
      <c r="B34" s="2960"/>
      <c r="C34" s="751" t="s">
        <v>763</v>
      </c>
      <c r="D34" s="2065"/>
      <c r="E34" s="2066"/>
      <c r="F34" s="2067">
        <f>'13'!F216</f>
        <v>0.17280000000000001</v>
      </c>
      <c r="G34" s="2068"/>
      <c r="H34" s="2069"/>
      <c r="I34"/>
      <c r="J34" s="752"/>
      <c r="K34" s="472">
        <f>D85</f>
        <v>2.813468425189971E-2</v>
      </c>
      <c r="L34" s="472"/>
      <c r="M34" s="675"/>
      <c r="N34"/>
      <c r="O34" s="752"/>
      <c r="P34" s="472">
        <f>F85</f>
        <v>6.1114260925262731E-2</v>
      </c>
      <c r="Q34" s="761"/>
      <c r="R34" s="762"/>
      <c r="S34"/>
      <c r="T34" s="752"/>
      <c r="U34" s="472">
        <f t="shared" si="10"/>
        <v>6.1114260925262731E-2</v>
      </c>
      <c r="V34" s="472"/>
      <c r="W34" s="675"/>
      <c r="AE34" s="2"/>
      <c r="AF34" s="2"/>
      <c r="AG34" s="2"/>
      <c r="AH34" s="2"/>
      <c r="AI34" s="2"/>
      <c r="AJ34" s="2"/>
      <c r="AK34" s="2"/>
      <c r="AL34" s="2"/>
      <c r="AM34" s="2"/>
    </row>
    <row r="35" spans="1:39" s="676" customFormat="1" ht="36" hidden="1" customHeight="1" outlineLevel="1" thickBot="1" x14ac:dyDescent="0.25">
      <c r="A35" s="55"/>
      <c r="B35" s="2966" t="s">
        <v>764</v>
      </c>
      <c r="C35" s="2967"/>
      <c r="D35" s="2070">
        <f>D21*D23*D22*(SUMPRODUCT(D24:D27,D29:D32))/1000</f>
        <v>15514.914412032003</v>
      </c>
      <c r="E35" s="2073">
        <f>E21*E22*E23*E33/10^3</f>
        <v>955.02790381599982</v>
      </c>
      <c r="F35" s="2074">
        <f>F21*F22*F23*F28*F34/10^3</f>
        <v>413.27598628488391</v>
      </c>
      <c r="G35" s="2075">
        <f>G21*G22*G23*G26*G31/10^3</f>
        <v>5269.9571235294125</v>
      </c>
      <c r="H35" s="2076">
        <f>H21*H23*H22*H26*H31/10^3</f>
        <v>9809.1056000000008</v>
      </c>
      <c r="I35" s="2070">
        <f>I21*I23*I22*(SUMPRODUCT(I24:I27,I29:I32))/1000</f>
        <v>402.0331735723081</v>
      </c>
      <c r="J35" s="2073">
        <f>J21*J22*J23*J33/10^3</f>
        <v>0</v>
      </c>
      <c r="K35" s="2074">
        <f>K21*K22*K23*K28*K34/10^3</f>
        <v>67.28813300357433</v>
      </c>
      <c r="L35" s="2075">
        <f>L21*L22*L23*L26*L31/10^3</f>
        <v>268.10293377062766</v>
      </c>
      <c r="M35" s="2076">
        <f>M21*M23*M22*M26*M31/10^3</f>
        <v>1153.8617386574142</v>
      </c>
      <c r="N35" s="2070">
        <f>N21*N23*N22*(SUMPRODUCT(N24:N27,N29:N32))/1000</f>
        <v>783.14172462316969</v>
      </c>
      <c r="O35" s="2073">
        <f>O21*O22*O23*O33/10^3</f>
        <v>0</v>
      </c>
      <c r="P35" s="2074">
        <f>P21*P22*P23*P28*P34/10^3</f>
        <v>146.16352118032233</v>
      </c>
      <c r="Q35" s="2075">
        <f>Q21*Q22*Q23*SUMPRODUCT(Q24:Q26,Q29:Q31)/10^3</f>
        <v>712.39990802978764</v>
      </c>
      <c r="R35" s="2076">
        <f>R21*R23*R22*R26*R31/10^3</f>
        <v>2959.6276869565218</v>
      </c>
      <c r="S35" s="2070">
        <f>S21*S23*S22*(SUMPRODUCT(S24:S26,S29:S31))/1000</f>
        <v>783.14172462316969</v>
      </c>
      <c r="T35" s="2073">
        <f>T21*T22*T23*T33/10^3</f>
        <v>0</v>
      </c>
      <c r="U35" s="2074">
        <f>U21*U22*U23*U28*U34/10^3</f>
        <v>146.16352118032233</v>
      </c>
      <c r="V35" s="2075">
        <f>V21*V22*V23*SUMPRODUCT(V24:V26,V29:V31)/10^3</f>
        <v>349.07595493459587</v>
      </c>
      <c r="W35" s="2076">
        <f>W21*W23*W22*W26*W31/10^3</f>
        <v>184.9767304347827</v>
      </c>
      <c r="X35" s="55"/>
      <c r="Y35" s="55"/>
      <c r="Z35" s="55"/>
      <c r="AA35" s="55"/>
      <c r="AB35" s="55"/>
      <c r="AC35" s="55"/>
      <c r="AD35" s="55"/>
      <c r="AE35" s="2"/>
      <c r="AF35" s="2"/>
      <c r="AG35" s="2"/>
      <c r="AH35" s="2"/>
      <c r="AI35" s="2"/>
      <c r="AJ35" s="2"/>
      <c r="AK35" s="2"/>
      <c r="AL35" s="2"/>
      <c r="AM35" s="2"/>
    </row>
    <row r="36" spans="1:39" ht="36" hidden="1" customHeight="1" outlineLevel="1" thickBot="1" x14ac:dyDescent="0.25">
      <c r="C36" s="769" t="s">
        <v>783</v>
      </c>
      <c r="D36" s="770">
        <f>SUM(D35:H35)</f>
        <v>31962.281025662298</v>
      </c>
      <c r="I36" s="769" t="s">
        <v>784</v>
      </c>
      <c r="J36" s="770">
        <f>SUM(I35:M35)</f>
        <v>1891.2859790039242</v>
      </c>
      <c r="N36" s="769" t="s">
        <v>784</v>
      </c>
      <c r="O36" s="770">
        <f>SUM(N35:R35)</f>
        <v>4601.3328407898016</v>
      </c>
      <c r="P36" s="11"/>
      <c r="Q36" s="11"/>
      <c r="R36" s="11"/>
      <c r="S36" s="769" t="s">
        <v>784</v>
      </c>
      <c r="T36" s="770">
        <f>SUM(S35:W35)</f>
        <v>1463.3579311728706</v>
      </c>
      <c r="AE36" s="2"/>
      <c r="AF36" s="2"/>
      <c r="AG36" s="2"/>
      <c r="AH36" s="2"/>
      <c r="AI36" s="2"/>
      <c r="AJ36" s="2"/>
      <c r="AK36" s="2"/>
      <c r="AL36" s="2"/>
      <c r="AM36" s="2"/>
    </row>
    <row r="37" spans="1:39" ht="36" hidden="1" customHeight="1" outlineLevel="1" x14ac:dyDescent="0.2">
      <c r="AD37" s="2"/>
      <c r="AE37" s="2"/>
      <c r="AF37" s="2"/>
      <c r="AG37" s="2"/>
      <c r="AH37" s="2"/>
      <c r="AI37" s="2"/>
      <c r="AJ37" s="2"/>
      <c r="AK37" s="2"/>
      <c r="AL37" s="2"/>
    </row>
    <row r="38" spans="1:39" ht="36" customHeight="1" collapsed="1" x14ac:dyDescent="0.2">
      <c r="B38" s="133" t="s">
        <v>785</v>
      </c>
      <c r="AD38" s="2"/>
      <c r="AE38" s="2"/>
      <c r="AF38" s="2"/>
      <c r="AG38" s="2"/>
      <c r="AH38" s="2"/>
      <c r="AI38" s="2"/>
      <c r="AJ38" s="2"/>
      <c r="AK38" s="2"/>
      <c r="AL38" s="2"/>
    </row>
    <row r="39" spans="1:39" ht="27" customHeight="1" x14ac:dyDescent="0.2">
      <c r="AD39" s="2"/>
      <c r="AE39" s="2"/>
      <c r="AF39" s="2"/>
      <c r="AG39" s="2"/>
      <c r="AH39" s="2"/>
      <c r="AI39" s="2"/>
      <c r="AJ39" s="2"/>
      <c r="AK39" s="2"/>
      <c r="AL39" s="2"/>
    </row>
    <row r="40" spans="1:39" ht="27" customHeight="1" x14ac:dyDescent="0.2">
      <c r="B40" s="677" t="s">
        <v>786</v>
      </c>
      <c r="AD40" s="2"/>
      <c r="AE40" s="2"/>
      <c r="AF40" s="2"/>
      <c r="AG40" s="2"/>
      <c r="AH40" s="2"/>
      <c r="AI40" s="2"/>
      <c r="AJ40" s="2"/>
      <c r="AK40" s="2"/>
      <c r="AL40" s="2"/>
    </row>
    <row r="41" spans="1:39" ht="27" customHeight="1" x14ac:dyDescent="0.2">
      <c r="AD41" s="2"/>
      <c r="AE41" s="2"/>
      <c r="AF41" s="2"/>
      <c r="AG41" s="2"/>
      <c r="AH41" s="2"/>
      <c r="AI41" s="2"/>
      <c r="AJ41" s="2"/>
      <c r="AK41" s="2"/>
      <c r="AL41" s="2"/>
    </row>
    <row r="42" spans="1:39" ht="27" customHeight="1" x14ac:dyDescent="0.2">
      <c r="B42" s="678" t="s">
        <v>787</v>
      </c>
      <c r="AD42" s="2"/>
      <c r="AE42" s="2"/>
      <c r="AF42" s="2"/>
      <c r="AG42" s="2"/>
      <c r="AH42" s="2"/>
      <c r="AI42" s="2"/>
      <c r="AJ42" s="2"/>
      <c r="AK42" s="2"/>
      <c r="AL42" s="2"/>
    </row>
    <row r="43" spans="1:39" ht="27" hidden="1" customHeight="1" outlineLevel="1" x14ac:dyDescent="0.2">
      <c r="B43" s="118" t="s">
        <v>1357</v>
      </c>
      <c r="AD43" s="2"/>
      <c r="AE43" s="2"/>
      <c r="AF43" s="2"/>
      <c r="AG43" s="2"/>
      <c r="AH43" s="2"/>
      <c r="AI43" s="2"/>
      <c r="AJ43" s="2"/>
      <c r="AK43" s="2"/>
      <c r="AL43" s="2"/>
    </row>
    <row r="44" spans="1:39" ht="27" hidden="1" customHeight="1" outlineLevel="1" x14ac:dyDescent="0.2">
      <c r="B44" s="55" t="s">
        <v>1557</v>
      </c>
      <c r="AD44" s="2"/>
      <c r="AE44" s="2"/>
      <c r="AF44" s="2"/>
      <c r="AG44" s="2"/>
      <c r="AH44" s="2"/>
      <c r="AI44" s="2"/>
      <c r="AJ44" s="2"/>
      <c r="AK44" s="2"/>
      <c r="AL44" s="2"/>
    </row>
    <row r="45" spans="1:39" ht="27" hidden="1" customHeight="1" outlineLevel="1" x14ac:dyDescent="0.2">
      <c r="AD45" s="2"/>
      <c r="AE45" s="2"/>
      <c r="AF45" s="2"/>
      <c r="AG45" s="2"/>
      <c r="AH45" s="2"/>
      <c r="AI45" s="2"/>
      <c r="AJ45" s="2"/>
      <c r="AK45" s="2"/>
      <c r="AL45" s="2"/>
    </row>
    <row r="46" spans="1:39" ht="27" hidden="1" customHeight="1" outlineLevel="1" x14ac:dyDescent="0.2">
      <c r="B46" s="679" t="s">
        <v>788</v>
      </c>
      <c r="AD46" s="2"/>
      <c r="AE46" s="2"/>
      <c r="AF46" s="2"/>
      <c r="AG46" s="2"/>
      <c r="AH46" s="2"/>
      <c r="AI46" s="2"/>
      <c r="AJ46" s="2"/>
      <c r="AK46" s="2"/>
      <c r="AL46" s="2"/>
    </row>
    <row r="47" spans="1:39" ht="28" hidden="1" customHeight="1" outlineLevel="1" x14ac:dyDescent="0.2">
      <c r="AD47" s="2"/>
      <c r="AE47" s="2"/>
      <c r="AF47" s="2"/>
      <c r="AG47" s="2"/>
      <c r="AH47" s="2"/>
      <c r="AI47" s="2"/>
      <c r="AJ47" s="2"/>
      <c r="AK47" s="2"/>
      <c r="AL47" s="2"/>
    </row>
    <row r="48" spans="1:39" ht="28" hidden="1" customHeight="1" outlineLevel="1" x14ac:dyDescent="0.2">
      <c r="B48" s="55" t="s">
        <v>1548</v>
      </c>
      <c r="AD48" s="2"/>
      <c r="AE48" s="2"/>
      <c r="AF48" s="2"/>
      <c r="AG48" s="2"/>
      <c r="AH48" s="2"/>
      <c r="AI48" s="2"/>
      <c r="AJ48" s="2"/>
      <c r="AK48" s="2"/>
      <c r="AL48" s="2"/>
    </row>
    <row r="49" spans="2:38" ht="28" hidden="1" customHeight="1" outlineLevel="1" x14ac:dyDescent="0.2">
      <c r="B49" s="55" t="s">
        <v>789</v>
      </c>
      <c r="AD49" s="2"/>
      <c r="AE49" s="2"/>
      <c r="AF49" s="2"/>
      <c r="AG49" s="2"/>
      <c r="AH49" s="2"/>
      <c r="AI49" s="2"/>
      <c r="AJ49" s="2"/>
      <c r="AK49" s="2"/>
      <c r="AL49" s="2"/>
    </row>
    <row r="50" spans="2:38" ht="28" hidden="1" customHeight="1" outlineLevel="1" x14ac:dyDescent="0.2">
      <c r="B50" s="55" t="s">
        <v>1549</v>
      </c>
      <c r="AD50" s="2"/>
      <c r="AE50" s="2"/>
      <c r="AF50" s="2"/>
      <c r="AG50" s="2"/>
      <c r="AH50" s="2"/>
      <c r="AI50" s="2"/>
      <c r="AJ50" s="2"/>
      <c r="AK50" s="2"/>
      <c r="AL50" s="2"/>
    </row>
    <row r="51" spans="2:38" ht="28" hidden="1" customHeight="1" outlineLevel="1" x14ac:dyDescent="0.2">
      <c r="B51" s="55" t="s">
        <v>1550</v>
      </c>
      <c r="AD51" s="2"/>
      <c r="AE51" s="2"/>
      <c r="AF51" s="2"/>
      <c r="AG51" s="2"/>
      <c r="AH51" s="2"/>
      <c r="AI51" s="2"/>
      <c r="AJ51" s="2"/>
      <c r="AK51" s="2"/>
      <c r="AL51" s="2"/>
    </row>
    <row r="52" spans="2:38" ht="28" hidden="1" customHeight="1" outlineLevel="1" x14ac:dyDescent="0.2">
      <c r="E52"/>
      <c r="AD52" s="2"/>
      <c r="AE52" s="2"/>
      <c r="AF52" s="2"/>
      <c r="AG52" s="2"/>
      <c r="AH52" s="2"/>
      <c r="AI52" s="2"/>
      <c r="AJ52" s="2"/>
      <c r="AK52" s="2"/>
      <c r="AL52" s="2"/>
    </row>
    <row r="53" spans="2:38" ht="28" hidden="1" customHeight="1" outlineLevel="1" thickBot="1" x14ac:dyDescent="0.25">
      <c r="B53" s="55" t="s">
        <v>790</v>
      </c>
      <c r="E53"/>
      <c r="AD53" s="2"/>
      <c r="AE53" s="2"/>
      <c r="AF53" s="2"/>
      <c r="AG53" s="2"/>
      <c r="AH53" s="2"/>
      <c r="AI53" s="2"/>
      <c r="AJ53" s="2"/>
      <c r="AK53" s="2"/>
      <c r="AL53" s="2"/>
    </row>
    <row r="54" spans="2:38" ht="42" hidden="1" customHeight="1" outlineLevel="1" thickBot="1" x14ac:dyDescent="0.25">
      <c r="B54" s="2954" t="s">
        <v>791</v>
      </c>
      <c r="C54" s="2955"/>
      <c r="D54" s="2956"/>
      <c r="E54"/>
      <c r="AD54" s="2"/>
      <c r="AE54" s="2"/>
      <c r="AF54" s="2"/>
      <c r="AG54" s="2"/>
      <c r="AH54" s="2"/>
      <c r="AI54" s="2"/>
      <c r="AJ54" s="2"/>
      <c r="AK54" s="2"/>
      <c r="AL54" s="2"/>
    </row>
    <row r="55" spans="2:38" ht="33" hidden="1" customHeight="1" outlineLevel="1" x14ac:dyDescent="0.2">
      <c r="B55" s="680" t="s">
        <v>721</v>
      </c>
      <c r="C55" s="681" t="s">
        <v>792</v>
      </c>
      <c r="D55" s="771" t="s">
        <v>7</v>
      </c>
      <c r="E55"/>
      <c r="AD55" s="2"/>
      <c r="AE55" s="2"/>
      <c r="AF55" s="2"/>
      <c r="AG55" s="2"/>
      <c r="AH55" s="2"/>
      <c r="AI55" s="2"/>
      <c r="AJ55" s="2"/>
      <c r="AK55" s="2"/>
      <c r="AL55" s="2"/>
    </row>
    <row r="56" spans="2:38" ht="32" hidden="1" customHeight="1" outlineLevel="1" x14ac:dyDescent="0.2">
      <c r="B56" s="274" t="s">
        <v>726</v>
      </c>
      <c r="C56" s="314">
        <f>D56*$D$23</f>
        <v>560</v>
      </c>
      <c r="D56" s="683">
        <v>0.5</v>
      </c>
      <c r="E56"/>
      <c r="AD56" s="2"/>
      <c r="AE56" s="2"/>
      <c r="AF56" s="2"/>
      <c r="AG56" s="2"/>
      <c r="AH56" s="2"/>
      <c r="AI56" s="2"/>
      <c r="AJ56" s="2"/>
      <c r="AK56" s="2"/>
      <c r="AL56" s="2"/>
    </row>
    <row r="57" spans="2:38" ht="32" hidden="1" customHeight="1" outlineLevel="1" x14ac:dyDescent="0.2">
      <c r="B57" s="274" t="s">
        <v>728</v>
      </c>
      <c r="C57" s="314">
        <f t="shared" ref="C57:C58" si="12">D57*$D$23</f>
        <v>504</v>
      </c>
      <c r="D57" s="683">
        <v>0.45</v>
      </c>
      <c r="E57"/>
      <c r="AD57" s="2"/>
      <c r="AE57" s="2"/>
      <c r="AF57" s="2"/>
      <c r="AG57" s="2"/>
      <c r="AH57" s="2"/>
      <c r="AI57" s="2"/>
      <c r="AJ57" s="2"/>
      <c r="AK57" s="2"/>
      <c r="AL57" s="2"/>
    </row>
    <row r="58" spans="2:38" ht="32" hidden="1" customHeight="1" outlineLevel="1" x14ac:dyDescent="0.2">
      <c r="B58" s="274" t="s">
        <v>756</v>
      </c>
      <c r="C58" s="314">
        <f t="shared" si="12"/>
        <v>56</v>
      </c>
      <c r="D58" s="683">
        <v>0.05</v>
      </c>
      <c r="E58"/>
      <c r="AD58" s="2"/>
      <c r="AE58" s="2"/>
      <c r="AF58" s="2"/>
      <c r="AG58" s="2"/>
      <c r="AH58" s="2"/>
      <c r="AI58" s="2"/>
      <c r="AJ58" s="2"/>
      <c r="AK58" s="2"/>
      <c r="AL58" s="2"/>
    </row>
    <row r="59" spans="2:38" ht="32" hidden="1" customHeight="1" outlineLevel="1" thickBot="1" x14ac:dyDescent="0.25">
      <c r="B59" s="684" t="s">
        <v>793</v>
      </c>
      <c r="C59" s="121">
        <f>SUM(C56:C58)</f>
        <v>1120</v>
      </c>
      <c r="D59" s="772">
        <f>SUM(D56:D58)</f>
        <v>1</v>
      </c>
      <c r="E59"/>
      <c r="AD59" s="2"/>
      <c r="AE59" s="2"/>
      <c r="AF59" s="2"/>
      <c r="AG59" s="2"/>
      <c r="AH59" s="2"/>
      <c r="AI59" s="2"/>
      <c r="AJ59" s="2"/>
      <c r="AK59" s="2"/>
      <c r="AL59" s="2"/>
    </row>
    <row r="60" spans="2:38" ht="28" hidden="1" customHeight="1" outlineLevel="1" x14ac:dyDescent="0.2">
      <c r="E60"/>
      <c r="AD60" s="2"/>
      <c r="AE60" s="2"/>
      <c r="AF60" s="2"/>
      <c r="AG60" s="2"/>
      <c r="AH60" s="2"/>
      <c r="AI60" s="2"/>
      <c r="AJ60" s="2"/>
      <c r="AK60" s="2"/>
      <c r="AL60" s="2"/>
    </row>
    <row r="61" spans="2:38" ht="33" hidden="1" customHeight="1" outlineLevel="1" x14ac:dyDescent="0.2">
      <c r="B61" s="81" t="s">
        <v>794</v>
      </c>
      <c r="C61" s="390">
        <f>0</f>
        <v>0</v>
      </c>
      <c r="D61" s="2964" t="s">
        <v>795</v>
      </c>
      <c r="E61" s="2965"/>
      <c r="F61" s="2"/>
      <c r="AD61" s="2"/>
      <c r="AE61" s="2"/>
      <c r="AF61" s="2"/>
      <c r="AG61" s="2"/>
      <c r="AH61" s="2"/>
      <c r="AI61" s="2"/>
      <c r="AJ61" s="2"/>
      <c r="AK61" s="2"/>
      <c r="AL61" s="2"/>
    </row>
    <row r="62" spans="2:38" ht="28" hidden="1" customHeight="1" outlineLevel="1" x14ac:dyDescent="0.2">
      <c r="AD62" s="2"/>
      <c r="AE62" s="2"/>
      <c r="AF62" s="2"/>
      <c r="AG62" s="2"/>
      <c r="AH62" s="2"/>
      <c r="AI62" s="2"/>
      <c r="AJ62" s="2"/>
      <c r="AK62" s="2"/>
      <c r="AL62" s="2"/>
    </row>
    <row r="63" spans="2:38" ht="28" hidden="1" customHeight="1" outlineLevel="1" x14ac:dyDescent="0.2">
      <c r="B63" s="679" t="s">
        <v>796</v>
      </c>
      <c r="AD63" s="2"/>
      <c r="AE63" s="2"/>
      <c r="AF63" s="2"/>
      <c r="AG63" s="2"/>
      <c r="AH63" s="2"/>
      <c r="AI63" s="2"/>
      <c r="AJ63" s="2"/>
      <c r="AK63" s="2"/>
      <c r="AL63" s="2"/>
    </row>
    <row r="64" spans="2:38" ht="28" hidden="1" customHeight="1" outlineLevel="1" x14ac:dyDescent="0.2">
      <c r="AD64" s="2"/>
      <c r="AE64" s="2"/>
      <c r="AF64" s="2"/>
      <c r="AG64" s="2"/>
      <c r="AH64" s="2"/>
      <c r="AI64" s="2"/>
      <c r="AJ64" s="2"/>
      <c r="AK64" s="2"/>
      <c r="AL64" s="2"/>
    </row>
    <row r="65" spans="2:38" ht="28" hidden="1" customHeight="1" outlineLevel="1" x14ac:dyDescent="0.2">
      <c r="B65" s="55" t="s">
        <v>1551</v>
      </c>
      <c r="AD65" s="2"/>
      <c r="AE65" s="2"/>
      <c r="AF65" s="2"/>
      <c r="AG65" s="2"/>
      <c r="AH65" s="2"/>
      <c r="AI65" s="2"/>
      <c r="AJ65" s="2"/>
      <c r="AK65" s="2"/>
      <c r="AL65" s="2"/>
    </row>
    <row r="66" spans="2:38" ht="28" hidden="1" customHeight="1" outlineLevel="1" x14ac:dyDescent="0.2">
      <c r="B66" s="55" t="s">
        <v>1552</v>
      </c>
      <c r="AD66" s="2"/>
      <c r="AE66" s="2"/>
      <c r="AF66" s="2"/>
      <c r="AG66" s="2"/>
      <c r="AH66" s="2"/>
      <c r="AI66" s="2"/>
      <c r="AJ66" s="2"/>
      <c r="AK66" s="2"/>
      <c r="AL66" s="2"/>
    </row>
    <row r="67" spans="2:38" ht="28" hidden="1" customHeight="1" outlineLevel="1" x14ac:dyDescent="0.2">
      <c r="B67" s="55" t="s">
        <v>1553</v>
      </c>
      <c r="AD67" s="2"/>
      <c r="AE67" s="2"/>
      <c r="AF67" s="2"/>
      <c r="AG67" s="2"/>
      <c r="AH67" s="2"/>
      <c r="AI67" s="2"/>
      <c r="AJ67" s="2"/>
      <c r="AK67" s="2"/>
      <c r="AL67" s="2"/>
    </row>
    <row r="68" spans="2:38" ht="28" hidden="1" customHeight="1" outlineLevel="1" thickBot="1" x14ac:dyDescent="0.25">
      <c r="AD68" s="2"/>
      <c r="AE68" s="2"/>
      <c r="AF68" s="2"/>
      <c r="AG68" s="2"/>
      <c r="AH68" s="2"/>
      <c r="AI68" s="2"/>
      <c r="AJ68" s="2"/>
      <c r="AK68" s="2"/>
      <c r="AL68" s="2"/>
    </row>
    <row r="69" spans="2:38" ht="42" hidden="1" customHeight="1" outlineLevel="1" thickBot="1" x14ac:dyDescent="0.25">
      <c r="B69" s="2954" t="s">
        <v>791</v>
      </c>
      <c r="C69" s="2955"/>
      <c r="D69" s="2956"/>
      <c r="E69"/>
      <c r="AD69" s="2"/>
      <c r="AE69" s="2"/>
      <c r="AF69" s="2"/>
      <c r="AG69" s="2"/>
      <c r="AH69" s="2"/>
      <c r="AI69" s="2"/>
      <c r="AJ69" s="2"/>
      <c r="AK69" s="2"/>
      <c r="AL69" s="2"/>
    </row>
    <row r="70" spans="2:38" ht="33" hidden="1" customHeight="1" outlineLevel="1" x14ac:dyDescent="0.2">
      <c r="B70" s="680" t="s">
        <v>721</v>
      </c>
      <c r="C70" s="685" t="s">
        <v>1571</v>
      </c>
      <c r="D70" s="682" t="s">
        <v>1570</v>
      </c>
      <c r="E70"/>
      <c r="AD70" s="2"/>
      <c r="AE70" s="2"/>
      <c r="AF70" s="2"/>
      <c r="AG70" s="2"/>
      <c r="AH70" s="2"/>
      <c r="AI70" s="2"/>
      <c r="AJ70" s="2"/>
      <c r="AK70" s="2"/>
      <c r="AL70" s="2"/>
    </row>
    <row r="71" spans="2:38" ht="35" hidden="1" customHeight="1" outlineLevel="1" x14ac:dyDescent="0.2">
      <c r="B71" s="274" t="s">
        <v>726</v>
      </c>
      <c r="C71" s="416">
        <v>0.25</v>
      </c>
      <c r="D71" s="683"/>
      <c r="E71"/>
      <c r="AD71" s="2"/>
      <c r="AE71" s="2"/>
      <c r="AF71" s="2"/>
      <c r="AG71" s="2"/>
      <c r="AH71" s="2"/>
      <c r="AI71" s="2"/>
      <c r="AJ71" s="2"/>
      <c r="AK71" s="2"/>
      <c r="AL71" s="2"/>
    </row>
    <row r="72" spans="2:38" ht="35" hidden="1" customHeight="1" outlineLevel="1" x14ac:dyDescent="0.2">
      <c r="B72" s="274" t="s">
        <v>728</v>
      </c>
      <c r="C72" s="416">
        <v>0.25</v>
      </c>
      <c r="D72" s="683"/>
      <c r="E72"/>
      <c r="AD72" s="2"/>
      <c r="AE72" s="2"/>
      <c r="AF72" s="2"/>
      <c r="AG72" s="2"/>
      <c r="AH72" s="2"/>
      <c r="AI72" s="2"/>
      <c r="AJ72" s="2"/>
      <c r="AK72" s="2"/>
      <c r="AL72" s="2"/>
    </row>
    <row r="73" spans="2:38" ht="35" hidden="1" customHeight="1" outlineLevel="1" x14ac:dyDescent="0.2">
      <c r="B73" s="274" t="s">
        <v>756</v>
      </c>
      <c r="C73" s="416">
        <v>0.5</v>
      </c>
      <c r="D73" s="683">
        <v>1</v>
      </c>
      <c r="E73"/>
      <c r="AD73" s="2"/>
      <c r="AE73" s="2"/>
      <c r="AF73" s="2"/>
      <c r="AG73" s="2"/>
      <c r="AH73" s="2"/>
      <c r="AI73" s="2"/>
      <c r="AJ73" s="2"/>
      <c r="AK73" s="2"/>
      <c r="AL73" s="2"/>
    </row>
    <row r="74" spans="2:38" ht="35" hidden="1" customHeight="1" outlineLevel="1" x14ac:dyDescent="0.2">
      <c r="B74" s="486" t="s">
        <v>735</v>
      </c>
      <c r="C74" s="686"/>
      <c r="D74" s="687"/>
      <c r="E74"/>
      <c r="AD74" s="2"/>
      <c r="AE74" s="2"/>
      <c r="AF74" s="2"/>
      <c r="AG74" s="2"/>
      <c r="AH74" s="2"/>
      <c r="AI74" s="2"/>
      <c r="AJ74" s="2"/>
      <c r="AK74" s="2"/>
      <c r="AL74" s="2"/>
    </row>
    <row r="75" spans="2:38" ht="35" hidden="1" customHeight="1" outlineLevel="1" thickBot="1" x14ac:dyDescent="0.25">
      <c r="B75" s="684" t="s">
        <v>793</v>
      </c>
      <c r="C75" s="688">
        <f>SUM(C71:C73)</f>
        <v>1</v>
      </c>
      <c r="D75" s="772">
        <f>SUM(D71:D73)</f>
        <v>1</v>
      </c>
      <c r="E75"/>
      <c r="H75" s="2"/>
      <c r="AD75" s="2"/>
      <c r="AE75" s="2"/>
      <c r="AF75" s="2"/>
      <c r="AG75" s="2"/>
      <c r="AH75" s="2"/>
      <c r="AI75" s="2"/>
      <c r="AJ75" s="2"/>
      <c r="AK75" s="2"/>
      <c r="AL75" s="2"/>
    </row>
    <row r="76" spans="2:38" ht="28" hidden="1" customHeight="1" outlineLevel="1" x14ac:dyDescent="0.2">
      <c r="E76"/>
      <c r="AD76" s="2"/>
      <c r="AE76" s="2"/>
      <c r="AF76" s="2"/>
      <c r="AG76" s="2"/>
      <c r="AH76" s="2"/>
      <c r="AI76" s="2"/>
      <c r="AJ76" s="2"/>
      <c r="AK76" s="2"/>
      <c r="AL76" s="2"/>
    </row>
    <row r="77" spans="2:38" ht="28" customHeight="1" collapsed="1" x14ac:dyDescent="0.2">
      <c r="AD77" s="2"/>
      <c r="AE77" s="2"/>
      <c r="AF77" s="2"/>
      <c r="AG77" s="2"/>
      <c r="AH77" s="2"/>
      <c r="AI77" s="2"/>
      <c r="AJ77" s="2"/>
      <c r="AK77" s="2"/>
      <c r="AL77" s="2"/>
    </row>
    <row r="78" spans="2:38" ht="28" customHeight="1" x14ac:dyDescent="0.2">
      <c r="B78" s="689" t="s">
        <v>797</v>
      </c>
      <c r="AD78" s="2"/>
      <c r="AE78" s="2"/>
      <c r="AF78" s="2"/>
      <c r="AG78" s="2"/>
      <c r="AH78" s="2"/>
      <c r="AI78" s="2"/>
      <c r="AJ78" s="2"/>
      <c r="AK78" s="2"/>
      <c r="AL78" s="2"/>
    </row>
    <row r="79" spans="2:38" ht="28" customHeight="1" x14ac:dyDescent="0.2">
      <c r="B79" s="690"/>
      <c r="AD79" s="2"/>
      <c r="AE79" s="2"/>
      <c r="AF79" s="2"/>
      <c r="AG79" s="2"/>
      <c r="AH79" s="2"/>
      <c r="AI79" s="2"/>
      <c r="AJ79" s="2"/>
      <c r="AK79" s="2"/>
      <c r="AL79" s="2"/>
    </row>
    <row r="80" spans="2:38" ht="35" hidden="1" customHeight="1" outlineLevel="1" thickBot="1" x14ac:dyDescent="0.25">
      <c r="B80" s="2948" t="s">
        <v>798</v>
      </c>
      <c r="C80" s="2949"/>
      <c r="D80" s="2949"/>
      <c r="E80" s="2949"/>
      <c r="F80" s="2949"/>
      <c r="G80" s="2949"/>
      <c r="H80" s="2950"/>
      <c r="AD80" s="2"/>
      <c r="AE80" s="2"/>
      <c r="AF80" s="2"/>
      <c r="AG80" s="2"/>
      <c r="AH80" s="2"/>
      <c r="AI80" s="2"/>
      <c r="AJ80" s="2"/>
      <c r="AK80" s="2"/>
      <c r="AL80" s="2"/>
    </row>
    <row r="81" spans="2:38" s="112" customFormat="1" ht="35" hidden="1" customHeight="1" outlineLevel="1" x14ac:dyDescent="0.2">
      <c r="B81" s="691" t="s">
        <v>124</v>
      </c>
      <c r="C81" s="685" t="s">
        <v>799</v>
      </c>
      <c r="D81" s="685" t="s">
        <v>800</v>
      </c>
      <c r="E81" s="685" t="s">
        <v>801</v>
      </c>
      <c r="F81" s="685" t="s">
        <v>802</v>
      </c>
      <c r="G81" s="685" t="s">
        <v>803</v>
      </c>
      <c r="H81" s="682" t="s">
        <v>37</v>
      </c>
      <c r="AD81" s="2"/>
      <c r="AE81" s="2"/>
      <c r="AF81" s="2"/>
      <c r="AG81" s="2"/>
      <c r="AH81" s="2"/>
      <c r="AI81" s="2"/>
      <c r="AJ81" s="2"/>
      <c r="AK81" s="2"/>
      <c r="AL81" s="2"/>
    </row>
    <row r="82" spans="2:38" ht="33" hidden="1" customHeight="1" outlineLevel="1" x14ac:dyDescent="0.2">
      <c r="B82" s="692" t="s">
        <v>758</v>
      </c>
      <c r="C82" s="693">
        <f>D29</f>
        <v>3.3400000000000001E-3</v>
      </c>
      <c r="D82" s="694">
        <f>C82*(1+E82)</f>
        <v>3.0642496E-3</v>
      </c>
      <c r="E82" s="369">
        <f>C210</f>
        <v>-8.2560000000000022E-2</v>
      </c>
      <c r="F82" s="694">
        <f>C82*(1+G82)</f>
        <v>3.0642496E-3</v>
      </c>
      <c r="G82" s="369">
        <f>D210</f>
        <v>-8.2560000000000022E-2</v>
      </c>
      <c r="H82" s="695" t="s">
        <v>804</v>
      </c>
    </row>
    <row r="83" spans="2:38" ht="33" hidden="1" customHeight="1" outlineLevel="1" x14ac:dyDescent="0.2">
      <c r="B83" s="692" t="s">
        <v>759</v>
      </c>
      <c r="C83" s="693">
        <f>C112</f>
        <v>2.9499999999999998E-2</v>
      </c>
      <c r="D83" s="694">
        <f t="shared" ref="D83:D84" si="13">C83*(1+E83)</f>
        <v>2.9367589380530968E-3</v>
      </c>
      <c r="E83" s="369">
        <f>C211</f>
        <v>-0.90044884955752214</v>
      </c>
      <c r="F83" s="694">
        <f t="shared" ref="F83:F84" si="14">C83*(1+G83)</f>
        <v>4.3009015929203536E-3</v>
      </c>
      <c r="G83" s="369">
        <f>D211</f>
        <v>-0.8542067256637168</v>
      </c>
      <c r="H83" s="695" t="s">
        <v>804</v>
      </c>
    </row>
    <row r="84" spans="2:38" ht="33" hidden="1" customHeight="1" outlineLevel="1" x14ac:dyDescent="0.2">
      <c r="B84" s="692" t="s">
        <v>760</v>
      </c>
      <c r="C84" s="693">
        <f>C114</f>
        <v>0.25800000000000001</v>
      </c>
      <c r="D84" s="694">
        <f t="shared" si="13"/>
        <v>6.778603934052703E-2</v>
      </c>
      <c r="E84" s="369">
        <f>C213</f>
        <v>-0.73726341340880996</v>
      </c>
      <c r="F84" s="694">
        <f t="shared" si="14"/>
        <v>0.1738695652173913</v>
      </c>
      <c r="G84" s="369">
        <f>D213</f>
        <v>-0.32608695652173914</v>
      </c>
      <c r="H84" s="695" t="s">
        <v>804</v>
      </c>
    </row>
    <row r="85" spans="2:38" ht="33" hidden="1" customHeight="1" outlineLevel="1" thickBot="1" x14ac:dyDescent="0.25">
      <c r="B85" s="696" t="s">
        <v>805</v>
      </c>
      <c r="C85" s="697">
        <f>C111</f>
        <v>0.17280000000000001</v>
      </c>
      <c r="D85" s="698">
        <f>C85*(1+E85)</f>
        <v>2.813468425189971E-2</v>
      </c>
      <c r="E85" s="699">
        <f>C212</f>
        <v>-0.83718354020891372</v>
      </c>
      <c r="F85" s="698">
        <f>C85*(1+G85)</f>
        <v>6.1114260925262731E-2</v>
      </c>
      <c r="G85" s="699">
        <f>D212</f>
        <v>-0.64632950853435922</v>
      </c>
      <c r="H85" s="700" t="s">
        <v>804</v>
      </c>
    </row>
    <row r="86" spans="2:38" ht="28" hidden="1" customHeight="1" outlineLevel="1" x14ac:dyDescent="0.2"/>
    <row r="87" spans="2:38" ht="28" hidden="1" customHeight="1" outlineLevel="1" x14ac:dyDescent="0.2"/>
    <row r="88" spans="2:38" ht="28" customHeight="1" collapsed="1" x14ac:dyDescent="0.2">
      <c r="B88" s="677" t="s">
        <v>807</v>
      </c>
    </row>
    <row r="89" spans="2:38" ht="28" customHeight="1" x14ac:dyDescent="0.2">
      <c r="B89" s="690"/>
    </row>
    <row r="90" spans="2:38" ht="28" hidden="1" customHeight="1" outlineLevel="1" thickBot="1" x14ac:dyDescent="0.25">
      <c r="B90" s="701" t="s">
        <v>2329</v>
      </c>
    </row>
    <row r="91" spans="2:38" ht="28" hidden="1" customHeight="1" outlineLevel="1" thickBot="1" x14ac:dyDescent="0.25">
      <c r="B91" s="702" t="s">
        <v>2328</v>
      </c>
    </row>
    <row r="92" spans="2:38" ht="28" hidden="1" customHeight="1" outlineLevel="1" x14ac:dyDescent="0.2">
      <c r="B92" s="2269"/>
    </row>
    <row r="93" spans="2:38" ht="28" hidden="1" customHeight="1" outlineLevel="1" x14ac:dyDescent="0.2">
      <c r="B93" s="701" t="s">
        <v>2330</v>
      </c>
    </row>
    <row r="94" spans="2:38" ht="28" hidden="1" customHeight="1" outlineLevel="1" thickBot="1" x14ac:dyDescent="0.25">
      <c r="B94" s="703"/>
    </row>
    <row r="95" spans="2:38" ht="36" hidden="1" customHeight="1" outlineLevel="1" thickBot="1" x14ac:dyDescent="0.25">
      <c r="B95" s="2951" t="s">
        <v>808</v>
      </c>
      <c r="C95" s="2952"/>
      <c r="D95" s="2952"/>
      <c r="E95" s="2952"/>
      <c r="F95" s="2953"/>
    </row>
    <row r="96" spans="2:38" ht="27" hidden="1" customHeight="1" outlineLevel="1" x14ac:dyDescent="0.2">
      <c r="B96" s="55" t="s">
        <v>809</v>
      </c>
    </row>
    <row r="97" spans="2:5" ht="27" hidden="1" customHeight="1" outlineLevel="1" x14ac:dyDescent="0.2">
      <c r="B97" s="55" t="s">
        <v>2590</v>
      </c>
    </row>
    <row r="98" spans="2:5" ht="27" hidden="1" customHeight="1" outlineLevel="1" x14ac:dyDescent="0.2">
      <c r="B98" s="55" t="s">
        <v>2331</v>
      </c>
    </row>
    <row r="99" spans="2:5" ht="27" hidden="1" customHeight="1" outlineLevel="1" x14ac:dyDescent="0.2"/>
    <row r="100" spans="2:5" ht="27" hidden="1" customHeight="1" outlineLevel="1" x14ac:dyDescent="0.2">
      <c r="B100" s="55" t="s">
        <v>810</v>
      </c>
    </row>
    <row r="101" spans="2:5" ht="27" hidden="1" customHeight="1" outlineLevel="1" thickBot="1" x14ac:dyDescent="0.25"/>
    <row r="102" spans="2:5" ht="27" hidden="1" customHeight="1" outlineLevel="1" thickBot="1" x14ac:dyDescent="0.25">
      <c r="B102" s="134"/>
      <c r="C102" s="2077" t="s">
        <v>751</v>
      </c>
      <c r="D102" s="2078" t="s">
        <v>811</v>
      </c>
    </row>
    <row r="103" spans="2:5" ht="27" hidden="1" customHeight="1" outlineLevel="1" x14ac:dyDescent="0.2">
      <c r="B103" s="1073" t="s">
        <v>812</v>
      </c>
      <c r="C103" s="2270">
        <f>G23</f>
        <v>2084.8823529411766</v>
      </c>
      <c r="D103" s="2271">
        <f>H23</f>
        <v>15206.736842105263</v>
      </c>
    </row>
    <row r="104" spans="2:5" ht="27" hidden="1" customHeight="1" outlineLevel="1" x14ac:dyDescent="0.2">
      <c r="B104" s="2080" t="s">
        <v>813</v>
      </c>
      <c r="C104" s="2272">
        <f>C103*(1-30%)</f>
        <v>1459.4176470588236</v>
      </c>
      <c r="D104" s="2273">
        <f>D103/4</f>
        <v>3801.6842105263158</v>
      </c>
    </row>
    <row r="105" spans="2:5" ht="27" hidden="1" customHeight="1" outlineLevel="1" thickBot="1" x14ac:dyDescent="0.25">
      <c r="B105" s="2079" t="s">
        <v>1320</v>
      </c>
      <c r="C105" s="2081">
        <f>(C104-C103)/C103</f>
        <v>-0.3</v>
      </c>
      <c r="D105" s="2082">
        <f>(D104-D103)/D103</f>
        <v>-0.74999999999999989</v>
      </c>
    </row>
    <row r="106" spans="2:5" ht="27" hidden="1" customHeight="1" outlineLevel="1" x14ac:dyDescent="0.2"/>
    <row r="107" spans="2:5" ht="28" customHeight="1" collapsed="1" x14ac:dyDescent="0.2"/>
    <row r="108" spans="2:5" ht="36" customHeight="1" x14ac:dyDescent="0.25">
      <c r="B108" s="704" t="s">
        <v>814</v>
      </c>
    </row>
    <row r="109" spans="2:5" ht="36" customHeight="1" x14ac:dyDescent="0.2">
      <c r="B109" s="474"/>
    </row>
    <row r="110" spans="2:5" ht="36" hidden="1" customHeight="1" outlineLevel="1" x14ac:dyDescent="0.2">
      <c r="B110" s="271" t="s">
        <v>124</v>
      </c>
      <c r="C110" s="272" t="s">
        <v>36</v>
      </c>
      <c r="D110" s="272" t="s">
        <v>59</v>
      </c>
      <c r="E110" s="273" t="s">
        <v>125</v>
      </c>
    </row>
    <row r="111" spans="2:5" ht="26" hidden="1" customHeight="1" outlineLevel="1" x14ac:dyDescent="0.2">
      <c r="B111" s="274" t="s">
        <v>695</v>
      </c>
      <c r="C111" s="217">
        <f>'13'!C229</f>
        <v>0.17280000000000001</v>
      </c>
      <c r="D111" s="81" t="s">
        <v>696</v>
      </c>
      <c r="E111" s="275" t="s">
        <v>815</v>
      </c>
    </row>
    <row r="112" spans="2:5" ht="26" hidden="1" customHeight="1" outlineLevel="1" x14ac:dyDescent="0.2">
      <c r="B112" s="274" t="s">
        <v>709</v>
      </c>
      <c r="C112" s="216">
        <v>2.9499999999999998E-2</v>
      </c>
      <c r="D112" s="81" t="s">
        <v>696</v>
      </c>
      <c r="E112" s="276" t="s">
        <v>127</v>
      </c>
    </row>
    <row r="113" spans="2:5" ht="44" hidden="1" customHeight="1" outlineLevel="1" x14ac:dyDescent="0.2">
      <c r="B113" s="277" t="s">
        <v>768</v>
      </c>
      <c r="C113" s="216">
        <f>'13'!C232</f>
        <v>0.52700000000000002</v>
      </c>
      <c r="D113" s="81" t="s">
        <v>696</v>
      </c>
      <c r="E113" s="276" t="s">
        <v>127</v>
      </c>
    </row>
    <row r="114" spans="2:5" ht="26" hidden="1" customHeight="1" outlineLevel="1" x14ac:dyDescent="0.2">
      <c r="B114" s="274" t="s">
        <v>715</v>
      </c>
      <c r="C114" s="216">
        <v>0.25800000000000001</v>
      </c>
      <c r="D114" s="81" t="s">
        <v>696</v>
      </c>
      <c r="E114" s="276" t="s">
        <v>127</v>
      </c>
    </row>
    <row r="115" spans="2:5" ht="26" hidden="1" customHeight="1" outlineLevel="1" thickBot="1" x14ac:dyDescent="0.25">
      <c r="B115" s="278" t="s">
        <v>725</v>
      </c>
      <c r="C115" s="279">
        <f>3.34*10^-3</f>
        <v>3.3400000000000001E-3</v>
      </c>
      <c r="D115" s="280" t="s">
        <v>696</v>
      </c>
      <c r="E115" s="109" t="s">
        <v>127</v>
      </c>
    </row>
    <row r="116" spans="2:5" ht="26" hidden="1" customHeight="1" outlineLevel="1" x14ac:dyDescent="0.2"/>
    <row r="117" spans="2:5" ht="26" customHeight="1" collapsed="1" x14ac:dyDescent="0.25">
      <c r="B117" s="704" t="s">
        <v>816</v>
      </c>
    </row>
    <row r="118" spans="2:5" ht="26" customHeight="1" x14ac:dyDescent="0.2"/>
    <row r="119" spans="2:5" ht="26" customHeight="1" x14ac:dyDescent="0.2">
      <c r="B119" s="328" t="s">
        <v>817</v>
      </c>
    </row>
    <row r="120" spans="2:5" ht="26" customHeight="1" x14ac:dyDescent="0.2"/>
    <row r="121" spans="2:5" ht="26" hidden="1" customHeight="1" outlineLevel="1" x14ac:dyDescent="0.2">
      <c r="B121" s="11" t="s">
        <v>818</v>
      </c>
    </row>
    <row r="122" spans="2:5" ht="26" hidden="1" customHeight="1" outlineLevel="1" x14ac:dyDescent="0.2">
      <c r="B122" s="55" t="s">
        <v>1554</v>
      </c>
    </row>
    <row r="123" spans="2:5" ht="26" hidden="1" customHeight="1" outlineLevel="1" x14ac:dyDescent="0.2">
      <c r="B123" s="55" t="s">
        <v>1555</v>
      </c>
    </row>
    <row r="124" spans="2:5" ht="26" hidden="1" customHeight="1" outlineLevel="1" thickBot="1" x14ac:dyDescent="0.25">
      <c r="B124" s="55" t="s">
        <v>790</v>
      </c>
    </row>
    <row r="125" spans="2:5" ht="26" hidden="1" customHeight="1" outlineLevel="1" thickBot="1" x14ac:dyDescent="0.25">
      <c r="B125" s="705" t="s">
        <v>819</v>
      </c>
      <c r="C125" s="706">
        <f>-12.9%*0.8*0.8</f>
        <v>-8.2560000000000022E-2</v>
      </c>
    </row>
    <row r="126" spans="2:5" ht="26" hidden="1" customHeight="1" outlineLevel="1" x14ac:dyDescent="0.2"/>
    <row r="127" spans="2:5" ht="26" customHeight="1" collapsed="1" x14ac:dyDescent="0.2">
      <c r="B127" s="328" t="s">
        <v>820</v>
      </c>
    </row>
    <row r="128" spans="2:5" ht="26" customHeight="1" x14ac:dyDescent="0.2"/>
    <row r="129" spans="2:10" ht="51" hidden="1" customHeight="1" outlineLevel="1" x14ac:dyDescent="0.2">
      <c r="B129" s="2797" t="s">
        <v>821</v>
      </c>
      <c r="C129" s="2797"/>
      <c r="D129" s="2797"/>
      <c r="E129" s="2797"/>
      <c r="F129" s="2797"/>
    </row>
    <row r="130" spans="2:10" ht="26" hidden="1" customHeight="1" outlineLevel="1" x14ac:dyDescent="0.2"/>
    <row r="131" spans="2:10" ht="26" hidden="1" customHeight="1" outlineLevel="1" x14ac:dyDescent="0.2">
      <c r="B131" s="102" t="s">
        <v>822</v>
      </c>
    </row>
    <row r="132" spans="2:10" ht="26" hidden="1" customHeight="1" outlineLevel="1" thickBot="1" x14ac:dyDescent="0.25">
      <c r="B132" s="55" t="s">
        <v>823</v>
      </c>
    </row>
    <row r="133" spans="2:10" ht="26" hidden="1" customHeight="1" outlineLevel="1" x14ac:dyDescent="0.2">
      <c r="B133" s="708" t="s">
        <v>824</v>
      </c>
      <c r="C133" s="512">
        <v>2.1700000000000001E-2</v>
      </c>
      <c r="D133" s="470" t="s">
        <v>730</v>
      </c>
      <c r="E133" s="105" t="s">
        <v>825</v>
      </c>
    </row>
    <row r="134" spans="2:10" ht="26" hidden="1" customHeight="1" outlineLevel="1" x14ac:dyDescent="0.2">
      <c r="B134" s="709" t="s">
        <v>826</v>
      </c>
      <c r="C134" s="81">
        <v>0.113</v>
      </c>
      <c r="D134" s="81" t="s">
        <v>730</v>
      </c>
      <c r="E134" s="276" t="s">
        <v>827</v>
      </c>
    </row>
    <row r="135" spans="2:10" ht="26" hidden="1" customHeight="1" outlineLevel="1" thickBot="1" x14ac:dyDescent="0.25">
      <c r="B135" s="710" t="s">
        <v>828</v>
      </c>
      <c r="C135" s="711">
        <f>C133/C134</f>
        <v>0.1920353982300885</v>
      </c>
      <c r="D135" s="280"/>
      <c r="E135" s="109"/>
    </row>
    <row r="136" spans="2:10" ht="26" hidden="1" customHeight="1" outlineLevel="1" x14ac:dyDescent="0.2"/>
    <row r="137" spans="2:10" ht="26" hidden="1" customHeight="1" outlineLevel="1" x14ac:dyDescent="0.2">
      <c r="B137" s="102" t="s">
        <v>829</v>
      </c>
    </row>
    <row r="138" spans="2:10" ht="26" hidden="1" customHeight="1" outlineLevel="1" x14ac:dyDescent="0.2">
      <c r="F138" s="712"/>
    </row>
    <row r="139" spans="2:10" ht="22" hidden="1" customHeight="1" outlineLevel="1" x14ac:dyDescent="0.2">
      <c r="B139" s="55" t="s">
        <v>830</v>
      </c>
      <c r="C139" s="112"/>
      <c r="D139" s="112"/>
      <c r="F139" s="712"/>
      <c r="I139" s="112"/>
      <c r="J139" s="112"/>
    </row>
    <row r="140" spans="2:10" ht="53.5" hidden="1" customHeight="1" outlineLevel="1" x14ac:dyDescent="0.2">
      <c r="B140" s="2685" t="s">
        <v>831</v>
      </c>
      <c r="C140" s="2685"/>
      <c r="D140" s="2685"/>
      <c r="F140" s="712"/>
      <c r="H140" s="112"/>
      <c r="I140" s="112"/>
      <c r="J140" s="112"/>
    </row>
    <row r="141" spans="2:10" ht="26" hidden="1" customHeight="1" outlineLevel="1" x14ac:dyDescent="0.2">
      <c r="F141" s="712"/>
    </row>
    <row r="142" spans="2:10" ht="26" hidden="1" customHeight="1" outlineLevel="1" thickBot="1" x14ac:dyDescent="0.25">
      <c r="B142" s="55" t="s">
        <v>832</v>
      </c>
      <c r="F142" s="712"/>
    </row>
    <row r="143" spans="2:10" ht="26" hidden="1" customHeight="1" outlineLevel="1" x14ac:dyDescent="0.2">
      <c r="B143" s="708"/>
      <c r="C143" s="713">
        <v>2016</v>
      </c>
      <c r="D143" s="714">
        <v>2030</v>
      </c>
      <c r="F143" s="712"/>
    </row>
    <row r="144" spans="2:10" ht="31.5" hidden="1" customHeight="1" outlineLevel="1" thickBot="1" x14ac:dyDescent="0.25">
      <c r="B144" s="710" t="s">
        <v>833</v>
      </c>
      <c r="C144" s="715">
        <v>10</v>
      </c>
      <c r="D144" s="716">
        <v>7.2</v>
      </c>
      <c r="F144" s="712"/>
    </row>
    <row r="145" spans="2:12" ht="26" hidden="1" customHeight="1" outlineLevel="1" thickBot="1" x14ac:dyDescent="0.25">
      <c r="B145" s="55" t="s">
        <v>834</v>
      </c>
      <c r="F145" s="712"/>
      <c r="H145" s="102" t="s">
        <v>835</v>
      </c>
    </row>
    <row r="146" spans="2:12" ht="26" hidden="1" customHeight="1" outlineLevel="1" thickBot="1" x14ac:dyDescent="0.25">
      <c r="B146" s="705" t="s">
        <v>836</v>
      </c>
      <c r="C146" s="717">
        <f>EXP(LN(D144/C144)/(D143-C143))</f>
        <v>0.9768085763156219</v>
      </c>
      <c r="F146" s="712"/>
    </row>
    <row r="147" spans="2:12" ht="26" hidden="1" customHeight="1" outlineLevel="1" thickBot="1" x14ac:dyDescent="0.25">
      <c r="B147" s="55" t="s">
        <v>837</v>
      </c>
      <c r="F147" s="712"/>
      <c r="H147" s="55" t="s">
        <v>838</v>
      </c>
    </row>
    <row r="148" spans="2:12" ht="26" hidden="1" customHeight="1" outlineLevel="1" thickBot="1" x14ac:dyDescent="0.25">
      <c r="B148" s="705" t="s">
        <v>839</v>
      </c>
      <c r="C148" s="717">
        <f>C146^(2050-2022)</f>
        <v>0.51839999999999997</v>
      </c>
      <c r="F148" s="712"/>
    </row>
    <row r="149" spans="2:12" ht="26" hidden="1" customHeight="1" outlineLevel="1" x14ac:dyDescent="0.2">
      <c r="F149" s="712"/>
    </row>
    <row r="150" spans="2:12" ht="26" hidden="1" customHeight="1" outlineLevel="1" x14ac:dyDescent="0.2">
      <c r="B150" s="102" t="s">
        <v>840</v>
      </c>
      <c r="F150" s="712"/>
      <c r="H150" s="102" t="s">
        <v>840</v>
      </c>
    </row>
    <row r="151" spans="2:12" ht="26" hidden="1" customHeight="1" outlineLevel="1" thickBot="1" x14ac:dyDescent="0.25">
      <c r="B151" s="55" t="s">
        <v>841</v>
      </c>
      <c r="F151" s="712"/>
      <c r="H151" s="55" t="s">
        <v>841</v>
      </c>
    </row>
    <row r="152" spans="2:12" ht="33.5" hidden="1" customHeight="1" outlineLevel="1" thickBot="1" x14ac:dyDescent="0.25">
      <c r="B152" s="705" t="s">
        <v>842</v>
      </c>
      <c r="C152" s="706">
        <f>-1+C135*C148</f>
        <v>-0.90044884955752214</v>
      </c>
      <c r="F152" s="712"/>
      <c r="H152" s="705" t="s">
        <v>842</v>
      </c>
      <c r="I152" s="706">
        <f>-1+C135*(1-(1-C148)/2)</f>
        <v>-0.8542067256637168</v>
      </c>
    </row>
    <row r="153" spans="2:12" ht="26" hidden="1" customHeight="1" outlineLevel="1" x14ac:dyDescent="0.2">
      <c r="F153" s="712"/>
    </row>
    <row r="154" spans="2:12" ht="26" customHeight="1" collapsed="1" x14ac:dyDescent="0.2">
      <c r="B154" s="328" t="s">
        <v>843</v>
      </c>
    </row>
    <row r="155" spans="2:12" ht="26" customHeight="1" x14ac:dyDescent="0.2"/>
    <row r="156" spans="2:12" ht="51" hidden="1" customHeight="1" outlineLevel="1" x14ac:dyDescent="0.2">
      <c r="B156" s="2797" t="s">
        <v>821</v>
      </c>
      <c r="C156" s="2797"/>
      <c r="D156" s="2797"/>
      <c r="E156" s="2797"/>
      <c r="F156" s="2797"/>
    </row>
    <row r="157" spans="2:12" ht="26" hidden="1" customHeight="1" outlineLevel="1" x14ac:dyDescent="0.2"/>
    <row r="158" spans="2:12" ht="26" hidden="1" customHeight="1" outlineLevel="1" x14ac:dyDescent="0.2">
      <c r="B158" s="102" t="s">
        <v>844</v>
      </c>
      <c r="F158" s="712"/>
      <c r="H158" s="102" t="s">
        <v>2007</v>
      </c>
      <c r="L158"/>
    </row>
    <row r="159" spans="2:12" ht="44" hidden="1" customHeight="1" outlineLevel="1" thickBot="1" x14ac:dyDescent="0.25">
      <c r="B159" s="55" t="s">
        <v>2038</v>
      </c>
      <c r="F159" s="712"/>
      <c r="H159" s="2685" t="s">
        <v>2118</v>
      </c>
      <c r="I159" s="2685"/>
      <c r="J159" s="2685"/>
      <c r="K159" s="2685"/>
      <c r="L159" s="2685"/>
    </row>
    <row r="160" spans="2:12" ht="36" hidden="1" customHeight="1" outlineLevel="1" x14ac:dyDescent="0.2">
      <c r="B160" s="708" t="s">
        <v>1800</v>
      </c>
      <c r="C160" s="1794">
        <f>0.0953/'22'!$H$138</f>
        <v>7.6240000000000002E-2</v>
      </c>
      <c r="D160" s="470" t="s">
        <v>2036</v>
      </c>
      <c r="E160" s="718" t="s">
        <v>2037</v>
      </c>
      <c r="F160" s="712"/>
      <c r="H160" s="2685"/>
      <c r="I160" s="2685"/>
      <c r="J160" s="2685"/>
      <c r="K160" s="2685"/>
      <c r="L160" s="2685"/>
    </row>
    <row r="161" spans="2:12" ht="36" hidden="1" customHeight="1" outlineLevel="1" x14ac:dyDescent="0.2">
      <c r="B161" s="709" t="s">
        <v>845</v>
      </c>
      <c r="C161" s="1795">
        <f>C85</f>
        <v>0.17280000000000001</v>
      </c>
      <c r="D161" s="81" t="s">
        <v>2036</v>
      </c>
      <c r="E161" s="276" t="s">
        <v>846</v>
      </c>
      <c r="F161" s="712"/>
      <c r="H161" s="2685"/>
      <c r="I161" s="2685"/>
      <c r="J161" s="2685"/>
      <c r="K161" s="2685"/>
      <c r="L161" s="2685"/>
    </row>
    <row r="162" spans="2:12" ht="36" hidden="1" customHeight="1" outlineLevel="1" x14ac:dyDescent="0.2">
      <c r="B162" s="709" t="s">
        <v>2020</v>
      </c>
      <c r="C162" s="416">
        <v>1</v>
      </c>
      <c r="D162" s="81"/>
      <c r="E162" s="276"/>
      <c r="F162" s="712"/>
      <c r="H162" s="2685"/>
      <c r="I162" s="2685"/>
      <c r="J162" s="2685"/>
      <c r="K162" s="2685"/>
      <c r="L162" s="2685"/>
    </row>
    <row r="163" spans="2:12" ht="36" hidden="1" customHeight="1" outlineLevel="1" thickBot="1" x14ac:dyDescent="0.25">
      <c r="B163" s="710" t="s">
        <v>828</v>
      </c>
      <c r="C163" s="711">
        <f>C160/C161*C162</f>
        <v>0.44120370370370371</v>
      </c>
      <c r="D163" s="280"/>
      <c r="E163" s="109"/>
      <c r="F163" s="712"/>
      <c r="H163" s="2685"/>
      <c r="I163" s="2685"/>
      <c r="J163" s="2685"/>
      <c r="K163" s="2685"/>
      <c r="L163" s="2685"/>
    </row>
    <row r="164" spans="2:12" ht="36" hidden="1" customHeight="1" outlineLevel="1" x14ac:dyDescent="0.2">
      <c r="F164" s="712"/>
      <c r="H164" s="2685"/>
      <c r="I164" s="2685"/>
      <c r="J164" s="2685"/>
      <c r="K164" s="2685"/>
      <c r="L164" s="2685"/>
    </row>
    <row r="165" spans="2:12" ht="36" hidden="1" customHeight="1" outlineLevel="1" x14ac:dyDescent="0.2">
      <c r="B165" s="102" t="s">
        <v>847</v>
      </c>
      <c r="F165" s="712"/>
      <c r="H165" s="2685"/>
      <c r="I165" s="2685"/>
      <c r="J165" s="2685"/>
      <c r="K165" s="2685"/>
      <c r="L165" s="2685"/>
    </row>
    <row r="166" spans="2:12" ht="36" hidden="1" customHeight="1" outlineLevel="1" x14ac:dyDescent="0.2">
      <c r="F166" s="712"/>
      <c r="H166" s="2685"/>
      <c r="I166" s="2685"/>
      <c r="J166" s="2685"/>
      <c r="K166" s="2685"/>
      <c r="L166" s="2685"/>
    </row>
    <row r="167" spans="2:12" ht="36" hidden="1" customHeight="1" outlineLevel="1" x14ac:dyDescent="0.2">
      <c r="B167" s="55" t="s">
        <v>830</v>
      </c>
      <c r="C167" s="112"/>
      <c r="D167" s="112"/>
      <c r="F167" s="712"/>
      <c r="H167" s="2685"/>
      <c r="I167" s="2685"/>
      <c r="J167" s="2685"/>
      <c r="K167" s="2685"/>
      <c r="L167" s="2685"/>
    </row>
    <row r="168" spans="2:12" ht="53.5" hidden="1" customHeight="1" outlineLevel="1" thickBot="1" x14ac:dyDescent="0.25">
      <c r="B168" s="2685" t="s">
        <v>831</v>
      </c>
      <c r="C168" s="2685"/>
      <c r="D168" s="2685"/>
      <c r="F168" s="712"/>
      <c r="H168" s="2685"/>
      <c r="I168" s="2685"/>
      <c r="J168" s="2685"/>
      <c r="K168" s="2685"/>
      <c r="L168" s="2685"/>
    </row>
    <row r="169" spans="2:12" ht="38" hidden="1" customHeight="1" outlineLevel="1" x14ac:dyDescent="0.2">
      <c r="F169" s="712"/>
      <c r="H169" s="708" t="s">
        <v>1800</v>
      </c>
      <c r="I169" s="1893">
        <f>AVERAGE(0.0953,0.139,0.103)/'22'!$H$138</f>
        <v>8.9946666666666661E-2</v>
      </c>
      <c r="J169" s="470" t="s">
        <v>2036</v>
      </c>
      <c r="K169" s="2005" t="s">
        <v>2119</v>
      </c>
      <c r="L169"/>
    </row>
    <row r="170" spans="2:12" ht="26" hidden="1" customHeight="1" outlineLevel="1" thickBot="1" x14ac:dyDescent="0.25">
      <c r="B170" s="55" t="s">
        <v>832</v>
      </c>
      <c r="F170" s="712"/>
      <c r="H170" s="709" t="s">
        <v>845</v>
      </c>
      <c r="I170" s="1894">
        <f>C85</f>
        <v>0.17280000000000001</v>
      </c>
      <c r="J170" s="81" t="s">
        <v>2036</v>
      </c>
      <c r="K170" s="276" t="s">
        <v>846</v>
      </c>
      <c r="L170"/>
    </row>
    <row r="171" spans="2:12" ht="26" hidden="1" customHeight="1" outlineLevel="1" x14ac:dyDescent="0.2">
      <c r="B171" s="708"/>
      <c r="C171" s="713">
        <v>2016</v>
      </c>
      <c r="D171" s="714">
        <v>2030</v>
      </c>
      <c r="F171" s="712"/>
      <c r="H171" s="1891" t="s">
        <v>2018</v>
      </c>
      <c r="I171" s="1961">
        <v>0.8</v>
      </c>
      <c r="J171" s="81"/>
      <c r="K171" s="276"/>
      <c r="L171"/>
    </row>
    <row r="172" spans="2:12" ht="31.5" hidden="1" customHeight="1" outlineLevel="1" thickBot="1" x14ac:dyDescent="0.25">
      <c r="B172" s="710" t="s">
        <v>848</v>
      </c>
      <c r="C172" s="1796">
        <v>32.1</v>
      </c>
      <c r="D172" s="1797">
        <v>19.5</v>
      </c>
      <c r="F172" s="712"/>
      <c r="H172" s="1891" t="s">
        <v>2019</v>
      </c>
      <c r="I172" s="1962">
        <f>(1-I171)</f>
        <v>0.19999999999999996</v>
      </c>
      <c r="J172" s="6"/>
      <c r="K172" s="1892"/>
      <c r="L172"/>
    </row>
    <row r="173" spans="2:12" ht="26" hidden="1" customHeight="1" outlineLevel="1" thickBot="1" x14ac:dyDescent="0.25">
      <c r="B173" s="55" t="s">
        <v>834</v>
      </c>
      <c r="F173" s="712"/>
      <c r="H173" s="710" t="s">
        <v>2021</v>
      </c>
      <c r="I173" s="1897">
        <f>I169*I171+I170*I172</f>
        <v>0.10651733333333332</v>
      </c>
      <c r="J173" s="280"/>
      <c r="K173" s="109"/>
      <c r="L173"/>
    </row>
    <row r="174" spans="2:12" ht="26" hidden="1" customHeight="1" outlineLevel="1" thickBot="1" x14ac:dyDescent="0.25">
      <c r="B174" s="705" t="s">
        <v>836</v>
      </c>
      <c r="C174" s="717">
        <f>EXP(LN(D172/C172)/(D171-C171))</f>
        <v>0.96502336172224368</v>
      </c>
      <c r="F174" s="712"/>
      <c r="I174" s="443"/>
      <c r="L174"/>
    </row>
    <row r="175" spans="2:12" ht="26" hidden="1" customHeight="1" outlineLevel="1" thickBot="1" x14ac:dyDescent="0.25">
      <c r="B175" s="55" t="s">
        <v>837</v>
      </c>
      <c r="F175" s="712"/>
      <c r="H175" s="102" t="s">
        <v>835</v>
      </c>
      <c r="L175"/>
    </row>
    <row r="176" spans="2:12" ht="26" hidden="1" customHeight="1" outlineLevel="1" thickBot="1" x14ac:dyDescent="0.25">
      <c r="B176" s="705" t="s">
        <v>839</v>
      </c>
      <c r="C176" s="717">
        <f>C174^(2050-2022)</f>
        <v>0.36902786269543159</v>
      </c>
      <c r="F176" s="712"/>
      <c r="H176" s="2685" t="s">
        <v>838</v>
      </c>
      <c r="I176" s="2685"/>
      <c r="J176" s="2685"/>
      <c r="K176" s="2685"/>
      <c r="L176" s="2685"/>
    </row>
    <row r="177" spans="2:12" ht="26" hidden="1" customHeight="1" outlineLevel="1" thickBot="1" x14ac:dyDescent="0.25">
      <c r="F177" s="712"/>
      <c r="H177" s="705" t="s">
        <v>839</v>
      </c>
      <c r="I177" s="717">
        <f>(1-(1-C176)/2)</f>
        <v>0.68451393134771576</v>
      </c>
      <c r="L177"/>
    </row>
    <row r="178" spans="2:12" ht="26" hidden="1" customHeight="1" outlineLevel="1" x14ac:dyDescent="0.2">
      <c r="F178" s="712"/>
      <c r="L178"/>
    </row>
    <row r="179" spans="2:12" ht="26" hidden="1" customHeight="1" outlineLevel="1" x14ac:dyDescent="0.2">
      <c r="B179" s="102" t="s">
        <v>840</v>
      </c>
      <c r="F179" s="712"/>
      <c r="H179" s="102" t="s">
        <v>840</v>
      </c>
      <c r="L179"/>
    </row>
    <row r="180" spans="2:12" ht="26" hidden="1" customHeight="1" outlineLevel="1" thickBot="1" x14ac:dyDescent="0.25">
      <c r="B180" s="55" t="s">
        <v>841</v>
      </c>
      <c r="F180" s="712"/>
      <c r="H180" s="55" t="s">
        <v>841</v>
      </c>
      <c r="L180"/>
    </row>
    <row r="181" spans="2:12" ht="26" hidden="1" customHeight="1" outlineLevel="1" thickBot="1" x14ac:dyDescent="0.25">
      <c r="B181" s="705" t="s">
        <v>849</v>
      </c>
      <c r="C181" s="1902">
        <f>-1+C163*C176</f>
        <v>-0.83718354020891372</v>
      </c>
      <c r="D181" s="443"/>
      <c r="F181" s="712"/>
      <c r="H181" s="705" t="s">
        <v>849</v>
      </c>
      <c r="I181" s="1902">
        <f>(I182-C161)/C161</f>
        <v>-0.64632950853435922</v>
      </c>
      <c r="L181"/>
    </row>
    <row r="182" spans="2:12" ht="26" hidden="1" customHeight="1" outlineLevel="1" thickBot="1" x14ac:dyDescent="0.25">
      <c r="B182" s="705" t="s">
        <v>2008</v>
      </c>
      <c r="C182" s="1799">
        <f>(1+C181)*$C$85</f>
        <v>2.813468425189971E-2</v>
      </c>
      <c r="E182" s="1889"/>
      <c r="F182" s="712"/>
      <c r="H182" s="705" t="s">
        <v>2017</v>
      </c>
      <c r="I182" s="1799">
        <f>((I169*(C176)*I171)+(I170*I172))</f>
        <v>6.1114260925262731E-2</v>
      </c>
      <c r="L182"/>
    </row>
    <row r="183" spans="2:12" ht="26" hidden="1" customHeight="1" outlineLevel="1" x14ac:dyDescent="0.2">
      <c r="C183" s="1798"/>
    </row>
    <row r="184" spans="2:12" ht="26" customHeight="1" collapsed="1" x14ac:dyDescent="0.2">
      <c r="B184" s="328" t="s">
        <v>850</v>
      </c>
      <c r="I184" s="1890"/>
    </row>
    <row r="185" spans="2:12" ht="26" customHeight="1" x14ac:dyDescent="0.2"/>
    <row r="186" spans="2:12" ht="26" customHeight="1" x14ac:dyDescent="0.2">
      <c r="B186" s="102" t="s">
        <v>2022</v>
      </c>
    </row>
    <row r="187" spans="2:12" ht="26" hidden="1" customHeight="1" outlineLevel="1" x14ac:dyDescent="0.2">
      <c r="B187" s="11" t="s">
        <v>851</v>
      </c>
      <c r="H187" s="102" t="s">
        <v>2022</v>
      </c>
    </row>
    <row r="188" spans="2:12" ht="26" hidden="1" customHeight="1" outlineLevel="1" thickBot="1" x14ac:dyDescent="0.25">
      <c r="B188" s="55" t="s">
        <v>852</v>
      </c>
      <c r="F188" s="712"/>
      <c r="H188" s="2797" t="s">
        <v>2023</v>
      </c>
      <c r="I188" s="2797"/>
      <c r="J188" s="2797"/>
      <c r="K188" s="2797"/>
      <c r="L188"/>
    </row>
    <row r="189" spans="2:12" ht="26" hidden="1" customHeight="1" outlineLevel="1" thickBot="1" x14ac:dyDescent="0.25">
      <c r="B189" s="705" t="s">
        <v>853</v>
      </c>
      <c r="C189" s="1902">
        <v>-0.73726341340880996</v>
      </c>
      <c r="F189" s="712"/>
      <c r="H189" s="2797"/>
      <c r="I189" s="2797"/>
      <c r="J189" s="2797"/>
      <c r="K189" s="2797"/>
      <c r="L189"/>
    </row>
    <row r="190" spans="2:12" ht="26" hidden="1" customHeight="1" outlineLevel="1" x14ac:dyDescent="0.2">
      <c r="F190" s="712"/>
      <c r="H190" s="2947" t="s">
        <v>2027</v>
      </c>
      <c r="I190" s="2947"/>
      <c r="J190" s="2947"/>
      <c r="K190" s="2947"/>
      <c r="L190"/>
    </row>
    <row r="191" spans="2:12" ht="26" hidden="1" customHeight="1" outlineLevel="1" x14ac:dyDescent="0.2">
      <c r="F191" s="712"/>
      <c r="H191" s="2947"/>
      <c r="I191" s="2947"/>
      <c r="J191" s="2947"/>
      <c r="K191" s="2947"/>
      <c r="L191"/>
    </row>
    <row r="192" spans="2:12" ht="26" hidden="1" customHeight="1" outlineLevel="1" thickBot="1" x14ac:dyDescent="0.25">
      <c r="F192" s="712"/>
      <c r="H192" s="112" t="s">
        <v>2026</v>
      </c>
      <c r="I192" s="647"/>
      <c r="J192" s="647"/>
      <c r="L192"/>
    </row>
    <row r="193" spans="2:12" ht="26" hidden="1" customHeight="1" outlineLevel="1" x14ac:dyDescent="0.2">
      <c r="F193" s="712"/>
      <c r="H193" s="708" t="s">
        <v>854</v>
      </c>
      <c r="I193" s="1900">
        <v>2022</v>
      </c>
      <c r="J193" s="1900">
        <v>2050</v>
      </c>
      <c r="K193" s="1901" t="s">
        <v>2025</v>
      </c>
      <c r="L193"/>
    </row>
    <row r="194" spans="2:12" ht="26" hidden="1" customHeight="1" outlineLevel="1" thickBot="1" x14ac:dyDescent="0.25">
      <c r="F194" s="712"/>
      <c r="H194" s="710" t="s">
        <v>2024</v>
      </c>
      <c r="I194" s="1898">
        <v>92</v>
      </c>
      <c r="J194" s="1898">
        <v>62</v>
      </c>
      <c r="K194" s="1899">
        <f>(J194-I194)/I194</f>
        <v>-0.32608695652173914</v>
      </c>
      <c r="L194"/>
    </row>
    <row r="195" spans="2:12" ht="26" hidden="1" customHeight="1" outlineLevel="1" x14ac:dyDescent="0.2">
      <c r="F195" s="712"/>
    </row>
    <row r="196" spans="2:12" ht="26" hidden="1" customHeight="1" outlineLevel="1" x14ac:dyDescent="0.2">
      <c r="F196" s="712"/>
    </row>
    <row r="197" spans="2:12" ht="26" hidden="1" customHeight="1" outlineLevel="1" x14ac:dyDescent="0.2">
      <c r="F197" s="712"/>
    </row>
    <row r="198" spans="2:12" ht="26" hidden="1" customHeight="1" outlineLevel="1" x14ac:dyDescent="0.2">
      <c r="F198" s="712"/>
    </row>
    <row r="199" spans="2:12" ht="26" hidden="1" customHeight="1" outlineLevel="1" x14ac:dyDescent="0.2">
      <c r="F199" s="712"/>
    </row>
    <row r="200" spans="2:12" ht="26" hidden="1" customHeight="1" outlineLevel="1" x14ac:dyDescent="0.2">
      <c r="F200" s="712"/>
      <c r="H200" s="102" t="s">
        <v>840</v>
      </c>
    </row>
    <row r="201" spans="2:12" ht="26" hidden="1" customHeight="1" outlineLevel="1" thickBot="1" x14ac:dyDescent="0.25">
      <c r="H201" s="55" t="s">
        <v>841</v>
      </c>
    </row>
    <row r="202" spans="2:12" ht="32" hidden="1" customHeight="1" outlineLevel="1" thickBot="1" x14ac:dyDescent="0.25">
      <c r="H202" s="705" t="s">
        <v>854</v>
      </c>
      <c r="I202" s="1902">
        <f>K194</f>
        <v>-0.32608695652173914</v>
      </c>
    </row>
    <row r="203" spans="2:12" ht="26" hidden="1" customHeight="1" outlineLevel="1" x14ac:dyDescent="0.2"/>
    <row r="204" spans="2:12" ht="26" hidden="1" customHeight="1" outlineLevel="1" x14ac:dyDescent="0.2"/>
    <row r="205" spans="2:12" ht="26" hidden="1" customHeight="1" outlineLevel="1" x14ac:dyDescent="0.2">
      <c r="B205" s="11" t="s">
        <v>855</v>
      </c>
    </row>
    <row r="206" spans="2:12" ht="26" hidden="1" customHeight="1" outlineLevel="1" x14ac:dyDescent="0.2"/>
    <row r="207" spans="2:12" ht="26" customHeight="1" collapsed="1" x14ac:dyDescent="0.2">
      <c r="B207" s="328" t="s">
        <v>856</v>
      </c>
    </row>
    <row r="208" spans="2:12" ht="26" customHeight="1" thickBot="1" x14ac:dyDescent="0.25"/>
    <row r="209" spans="2:4" ht="73" customHeight="1" x14ac:dyDescent="0.2">
      <c r="B209" s="719" t="s">
        <v>857</v>
      </c>
      <c r="C209" s="720" t="s">
        <v>858</v>
      </c>
      <c r="D209" s="714" t="s">
        <v>859</v>
      </c>
    </row>
    <row r="210" spans="2:4" ht="26" customHeight="1" x14ac:dyDescent="0.2">
      <c r="B210" s="721" t="s">
        <v>860</v>
      </c>
      <c r="C210" s="722">
        <f>C125</f>
        <v>-8.2560000000000022E-2</v>
      </c>
      <c r="D210" s="723">
        <f>C210</f>
        <v>-8.2560000000000022E-2</v>
      </c>
    </row>
    <row r="211" spans="2:4" ht="26" customHeight="1" x14ac:dyDescent="0.2">
      <c r="B211" s="721" t="s">
        <v>861</v>
      </c>
      <c r="C211" s="724">
        <f>C152</f>
        <v>-0.90044884955752214</v>
      </c>
      <c r="D211" s="725">
        <f>I152</f>
        <v>-0.8542067256637168</v>
      </c>
    </row>
    <row r="212" spans="2:4" ht="26" customHeight="1" x14ac:dyDescent="0.2">
      <c r="B212" s="721" t="s">
        <v>862</v>
      </c>
      <c r="C212" s="724">
        <f>C181</f>
        <v>-0.83718354020891372</v>
      </c>
      <c r="D212" s="725">
        <f>I181</f>
        <v>-0.64632950853435922</v>
      </c>
    </row>
    <row r="213" spans="2:4" ht="26" customHeight="1" thickBot="1" x14ac:dyDescent="0.25">
      <c r="B213" s="726" t="s">
        <v>863</v>
      </c>
      <c r="C213" s="727">
        <f>C189</f>
        <v>-0.73726341340880996</v>
      </c>
      <c r="D213" s="636">
        <f>I202</f>
        <v>-0.32608695652173914</v>
      </c>
    </row>
    <row r="214" spans="2:4" ht="26" customHeight="1" x14ac:dyDescent="0.2"/>
    <row r="215" spans="2:4" ht="26" customHeight="1" x14ac:dyDescent="0.2"/>
    <row r="216" spans="2:4" ht="26" customHeight="1" x14ac:dyDescent="0.25">
      <c r="B216" s="704" t="s">
        <v>1572</v>
      </c>
    </row>
    <row r="217" spans="2:4" ht="26" customHeight="1" x14ac:dyDescent="0.2"/>
    <row r="218" spans="2:4" ht="26" hidden="1" customHeight="1" outlineLevel="1" x14ac:dyDescent="0.2">
      <c r="B218" s="81"/>
      <c r="C218" s="77">
        <v>2022</v>
      </c>
      <c r="D218" s="77">
        <v>2050</v>
      </c>
    </row>
    <row r="219" spans="2:4" ht="26" hidden="1" customHeight="1" outlineLevel="1" x14ac:dyDescent="0.2">
      <c r="B219" s="81" t="s">
        <v>735</v>
      </c>
      <c r="C219" s="673">
        <f>D27</f>
        <v>0.29500000000000004</v>
      </c>
      <c r="D219" s="673">
        <v>0</v>
      </c>
    </row>
    <row r="220" spans="2:4" ht="26" hidden="1" customHeight="1" outlineLevel="1" x14ac:dyDescent="0.2">
      <c r="B220" s="81" t="str">
        <f>B58</f>
        <v>Avion commercial</v>
      </c>
      <c r="C220" s="673">
        <f>D26</f>
        <v>0.29500000000000004</v>
      </c>
      <c r="D220" s="673">
        <f>D58</f>
        <v>0.05</v>
      </c>
    </row>
    <row r="221" spans="2:4" ht="26" hidden="1" customHeight="1" outlineLevel="1" x14ac:dyDescent="0.2">
      <c r="B221" s="81" t="str">
        <f>B57</f>
        <v>Car</v>
      </c>
      <c r="C221" s="673">
        <f>D25</f>
        <v>0.30499999999999999</v>
      </c>
      <c r="D221" s="673">
        <f>D57</f>
        <v>0.45</v>
      </c>
    </row>
    <row r="222" spans="2:4" ht="26" hidden="1" customHeight="1" outlineLevel="1" x14ac:dyDescent="0.2">
      <c r="B222" s="81" t="str">
        <f>B56</f>
        <v>Train</v>
      </c>
      <c r="C222" s="673">
        <f>D24</f>
        <v>0.10500000000000001</v>
      </c>
      <c r="D222" s="673">
        <f>D56</f>
        <v>0.5</v>
      </c>
    </row>
    <row r="223" spans="2:4" ht="26" hidden="1" customHeight="1" outlineLevel="1" x14ac:dyDescent="0.2"/>
    <row r="224" spans="2:4" ht="26" hidden="1" customHeight="1" outlineLevel="1" x14ac:dyDescent="0.2"/>
    <row r="225" ht="26" hidden="1" customHeight="1" outlineLevel="1" x14ac:dyDescent="0.2"/>
    <row r="226" ht="26" hidden="1" customHeight="1" outlineLevel="1" x14ac:dyDescent="0.2"/>
    <row r="227" ht="26" hidden="1" customHeight="1" outlineLevel="1" x14ac:dyDescent="0.2"/>
    <row r="228" ht="26" hidden="1" customHeight="1" outlineLevel="1" x14ac:dyDescent="0.2"/>
    <row r="229" ht="26" hidden="1" customHeight="1" outlineLevel="1" x14ac:dyDescent="0.2"/>
    <row r="230" hidden="1" outlineLevel="1" x14ac:dyDescent="0.2"/>
    <row r="231" hidden="1" outlineLevel="1" x14ac:dyDescent="0.2"/>
    <row r="232" hidden="1" outlineLevel="1" x14ac:dyDescent="0.2"/>
    <row r="233" hidden="1" outlineLevel="1" x14ac:dyDescent="0.2"/>
    <row r="234" hidden="1" outlineLevel="1" x14ac:dyDescent="0.2"/>
    <row r="235" hidden="1" outlineLevel="1" x14ac:dyDescent="0.2"/>
    <row r="236" hidden="1" outlineLevel="1" x14ac:dyDescent="0.2"/>
    <row r="237" hidden="1" outlineLevel="1" x14ac:dyDescent="0.2"/>
    <row r="238" hidden="1" outlineLevel="1" x14ac:dyDescent="0.2"/>
    <row r="239" hidden="1" outlineLevel="1" x14ac:dyDescent="0.2"/>
    <row r="240" hidden="1" outlineLevel="1" x14ac:dyDescent="0.2"/>
    <row r="241" spans="2:3" hidden="1" outlineLevel="1" x14ac:dyDescent="0.2"/>
    <row r="242" spans="2:3" hidden="1" outlineLevel="1" x14ac:dyDescent="0.2"/>
    <row r="243" spans="2:3" hidden="1" outlineLevel="1" x14ac:dyDescent="0.2"/>
    <row r="244" spans="2:3" hidden="1" outlineLevel="1" x14ac:dyDescent="0.2"/>
    <row r="245" spans="2:3" hidden="1" outlineLevel="1" x14ac:dyDescent="0.2"/>
    <row r="246" spans="2:3" hidden="1" outlineLevel="1" x14ac:dyDescent="0.2">
      <c r="B246" s="55" t="s">
        <v>2711</v>
      </c>
      <c r="C246" s="1889">
        <f>N35+P35+(Q21*Q22*Q23*1.5*SUMPRODUCT(Q24:Q26,Q29:Q31))/1000
+(R21*R22*1.5*R23*R26*R31)/1000</f>
        <v>6437.3466382829556</v>
      </c>
    </row>
    <row r="247" spans="2:3" hidden="1" outlineLevel="1" x14ac:dyDescent="0.2"/>
    <row r="248" spans="2:3" hidden="1" outlineLevel="1" x14ac:dyDescent="0.2"/>
    <row r="249" spans="2:3" hidden="1" outlineLevel="1" x14ac:dyDescent="0.2"/>
    <row r="250" spans="2:3" hidden="1" outlineLevel="1" x14ac:dyDescent="0.2"/>
    <row r="251" spans="2:3" hidden="1" outlineLevel="1" x14ac:dyDescent="0.2"/>
    <row r="252" spans="2:3" hidden="1" outlineLevel="1" x14ac:dyDescent="0.2"/>
    <row r="253" spans="2:3" hidden="1" outlineLevel="1" x14ac:dyDescent="0.2"/>
    <row r="254" spans="2:3" hidden="1" outlineLevel="1" x14ac:dyDescent="0.2"/>
    <row r="255" spans="2:3" hidden="1" outlineLevel="1" x14ac:dyDescent="0.2"/>
    <row r="256" spans="2:3"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collapsed="1" x14ac:dyDescent="0.2"/>
  </sheetData>
  <mergeCells count="36">
    <mergeCell ref="B69:D69"/>
    <mergeCell ref="B24:B28"/>
    <mergeCell ref="B29:B34"/>
    <mergeCell ref="G31:G32"/>
    <mergeCell ref="H31:H32"/>
    <mergeCell ref="D61:E61"/>
    <mergeCell ref="B35:C35"/>
    <mergeCell ref="B54:D54"/>
    <mergeCell ref="H190:K191"/>
    <mergeCell ref="H188:K189"/>
    <mergeCell ref="B80:H80"/>
    <mergeCell ref="B168:D168"/>
    <mergeCell ref="B95:F95"/>
    <mergeCell ref="B129:F129"/>
    <mergeCell ref="B140:D140"/>
    <mergeCell ref="B156:F156"/>
    <mergeCell ref="H159:L168"/>
    <mergeCell ref="H176:L176"/>
    <mergeCell ref="I18:M18"/>
    <mergeCell ref="N18:R18"/>
    <mergeCell ref="S18:W18"/>
    <mergeCell ref="G26:G27"/>
    <mergeCell ref="H26:H27"/>
    <mergeCell ref="I19:M19"/>
    <mergeCell ref="N19:R19"/>
    <mergeCell ref="S19:W19"/>
    <mergeCell ref="D18:H18"/>
    <mergeCell ref="B22:B23"/>
    <mergeCell ref="C9:D9"/>
    <mergeCell ref="E9:F9"/>
    <mergeCell ref="G9:H9"/>
    <mergeCell ref="B2:D2"/>
    <mergeCell ref="B5:D5"/>
    <mergeCell ref="C7:D7"/>
    <mergeCell ref="E7:F7"/>
    <mergeCell ref="G7:H7"/>
  </mergeCells>
  <conditionalFormatting sqref="D29:H34">
    <cfRule type="colorScale" priority="4">
      <colorScale>
        <cfvo type="min"/>
        <cfvo type="percentile" val="50"/>
        <cfvo type="max"/>
        <color rgb="FF63BE7B"/>
        <color rgb="FFFFEB84"/>
        <color rgb="FFF8696B"/>
      </colorScale>
    </cfRule>
  </conditionalFormatting>
  <conditionalFormatting sqref="I29:M33 J34:M34">
    <cfRule type="colorScale" priority="3">
      <colorScale>
        <cfvo type="min"/>
        <cfvo type="percentile" val="50"/>
        <cfvo type="max"/>
        <color rgb="FF63BE7B"/>
        <color rgb="FFFFEB84"/>
        <color rgb="FFF8696B"/>
      </colorScale>
    </cfRule>
  </conditionalFormatting>
  <conditionalFormatting sqref="N29:R33 O34:R34">
    <cfRule type="colorScale" priority="2">
      <colorScale>
        <cfvo type="min"/>
        <cfvo type="percentile" val="50"/>
        <cfvo type="max"/>
        <color rgb="FF63BE7B"/>
        <color rgb="FFFFEB84"/>
        <color rgb="FFF8696B"/>
      </colorScale>
    </cfRule>
  </conditionalFormatting>
  <conditionalFormatting sqref="S29:W33 T34:W34">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AL595"/>
  <sheetViews>
    <sheetView zoomScale="50" zoomScaleNormal="125" workbookViewId="0">
      <selection activeCell="J515" sqref="J515"/>
    </sheetView>
  </sheetViews>
  <sheetFormatPr baseColWidth="10" defaultColWidth="10.85546875" defaultRowHeight="16" outlineLevelRow="1" x14ac:dyDescent="0.2"/>
  <cols>
    <col min="1" max="1" width="10.85546875" style="55"/>
    <col min="2" max="2" width="38.7109375" style="55" customWidth="1"/>
    <col min="3" max="3" width="25.7109375" style="55" customWidth="1"/>
    <col min="4" max="9" width="21.42578125" style="55" customWidth="1"/>
    <col min="10" max="10" width="31" style="55" customWidth="1"/>
    <col min="11" max="11" width="41.140625" style="55" customWidth="1"/>
    <col min="12" max="12" width="25.42578125" style="55" customWidth="1"/>
    <col min="13" max="14" width="24.140625" style="55" customWidth="1"/>
    <col min="15" max="15" width="26.140625" style="55" customWidth="1"/>
    <col min="16" max="16" width="27.42578125" style="55" customWidth="1"/>
    <col min="17" max="17" width="25.42578125" style="55" customWidth="1"/>
    <col min="18" max="18" width="25.7109375" style="55" customWidth="1"/>
    <col min="19" max="19" width="34.28515625" style="55" customWidth="1"/>
    <col min="20" max="22" width="25.7109375" style="55" customWidth="1"/>
    <col min="23" max="23" width="21.85546875" style="55" customWidth="1"/>
    <col min="24" max="24" width="17.85546875" style="55" customWidth="1"/>
    <col min="25" max="25" width="15.42578125" style="55" customWidth="1"/>
    <col min="26" max="26" width="22.42578125" style="55" customWidth="1"/>
    <col min="27" max="27" width="16.5703125" style="55" customWidth="1"/>
    <col min="28" max="28" width="14.28515625" style="55" customWidth="1"/>
    <col min="29" max="29" width="10.85546875" style="55"/>
    <col min="30" max="32" width="18.7109375" style="55" customWidth="1"/>
    <col min="33" max="16384" width="10.85546875" style="55"/>
  </cols>
  <sheetData>
    <row r="1" spans="2:17" ht="17" thickBot="1" x14ac:dyDescent="0.25"/>
    <row r="2" spans="2:17" ht="21" thickBot="1" x14ac:dyDescent="0.25">
      <c r="B2" s="2559" t="s">
        <v>864</v>
      </c>
      <c r="C2" s="2560"/>
      <c r="D2" s="2560"/>
      <c r="E2" s="2561"/>
    </row>
    <row r="3" spans="2:17" ht="18" x14ac:dyDescent="0.2">
      <c r="B3" s="75"/>
    </row>
    <row r="4" spans="2:17" ht="17" thickBot="1" x14ac:dyDescent="0.25"/>
    <row r="5" spans="2:17" ht="17" thickBot="1" x14ac:dyDescent="0.25">
      <c r="B5" s="2607" t="s">
        <v>17</v>
      </c>
      <c r="C5" s="2608"/>
      <c r="D5" s="2609"/>
      <c r="F5" s="2"/>
      <c r="G5" s="2"/>
      <c r="H5" s="2"/>
      <c r="I5" s="2"/>
      <c r="J5" s="2"/>
      <c r="K5" s="2"/>
      <c r="L5" s="2"/>
      <c r="M5" s="2"/>
      <c r="N5" s="2"/>
      <c r="O5" s="2"/>
      <c r="P5" s="2"/>
      <c r="Q5" s="2"/>
    </row>
    <row r="6" spans="2:17" x14ac:dyDescent="0.2">
      <c r="B6" s="320" t="s">
        <v>18</v>
      </c>
      <c r="C6" s="2109">
        <f>C213</f>
        <v>300986.84456338198</v>
      </c>
      <c r="D6" s="441" t="s">
        <v>19</v>
      </c>
      <c r="F6" s="2"/>
      <c r="G6" s="2"/>
      <c r="H6" s="2"/>
      <c r="I6" s="2"/>
      <c r="J6" s="2"/>
      <c r="K6" s="2"/>
      <c r="L6" s="2"/>
      <c r="M6" s="2"/>
      <c r="N6" s="2"/>
      <c r="O6" s="2"/>
      <c r="P6" s="2"/>
      <c r="Q6" s="2"/>
    </row>
    <row r="7" spans="2:17" x14ac:dyDescent="0.2">
      <c r="B7" s="442" t="s">
        <v>20</v>
      </c>
      <c r="C7" s="2658" t="str">
        <f>C10</f>
        <v>v1</v>
      </c>
      <c r="D7" s="2566"/>
      <c r="F7" s="2"/>
      <c r="G7" s="2"/>
      <c r="H7" s="2"/>
      <c r="I7" s="2"/>
      <c r="J7" s="2"/>
      <c r="K7" s="2"/>
      <c r="L7" s="2"/>
      <c r="M7" s="2"/>
      <c r="N7" s="2"/>
      <c r="O7" s="2"/>
      <c r="P7" s="2"/>
      <c r="Q7" s="2"/>
    </row>
    <row r="8" spans="2:17" ht="17" thickBot="1" x14ac:dyDescent="0.25">
      <c r="B8" s="321" t="s">
        <v>21</v>
      </c>
      <c r="C8" s="2905"/>
      <c r="D8" s="2568"/>
      <c r="F8" s="2"/>
      <c r="G8" s="2"/>
      <c r="H8" s="2"/>
      <c r="I8" s="2"/>
      <c r="J8" s="2"/>
      <c r="K8" s="2"/>
      <c r="L8" s="2"/>
      <c r="M8" s="2"/>
      <c r="N8" s="2"/>
      <c r="O8" s="2"/>
      <c r="P8" s="2"/>
      <c r="Q8" s="2"/>
    </row>
    <row r="9" spans="2:17" ht="17" thickBot="1" x14ac:dyDescent="0.25"/>
    <row r="10" spans="2:17" x14ac:dyDescent="0.2">
      <c r="B10" s="979" t="s">
        <v>22</v>
      </c>
      <c r="C10" s="2610" t="s">
        <v>23</v>
      </c>
      <c r="D10" s="2611"/>
      <c r="E10" s="62"/>
      <c r="F10" s="62"/>
      <c r="G10" s="62"/>
      <c r="H10" s="62"/>
      <c r="I10" s="62"/>
      <c r="J10" s="62"/>
      <c r="K10" s="62"/>
      <c r="L10" s="62"/>
      <c r="M10" s="62"/>
      <c r="N10" s="62"/>
      <c r="O10" s="62"/>
      <c r="P10" s="62"/>
      <c r="Q10" s="63"/>
    </row>
    <row r="11" spans="2:17" ht="17" thickBot="1" x14ac:dyDescent="0.25">
      <c r="B11" s="980" t="s">
        <v>1905</v>
      </c>
      <c r="C11" s="1016">
        <f>C6/'ANNEXE A'!$C$248</f>
        <v>206.72173390342169</v>
      </c>
      <c r="D11" s="977" t="s">
        <v>24</v>
      </c>
      <c r="E11" s="64"/>
      <c r="F11" s="64"/>
      <c r="G11" s="64"/>
      <c r="H11" s="64"/>
      <c r="I11" s="64"/>
      <c r="J11" s="64"/>
      <c r="K11" s="64"/>
      <c r="L11" s="64"/>
      <c r="M11" s="64"/>
      <c r="N11" s="64"/>
      <c r="O11" s="64"/>
      <c r="P11" s="64"/>
      <c r="Q11" s="65"/>
    </row>
    <row r="12" spans="2:17" ht="17" thickBot="1" x14ac:dyDescent="0.25">
      <c r="B12" s="66"/>
      <c r="C12" s="67"/>
      <c r="D12" s="67"/>
      <c r="E12" s="67"/>
      <c r="F12" s="67"/>
      <c r="G12" s="67"/>
      <c r="H12" s="67"/>
      <c r="I12" s="67"/>
      <c r="J12" s="67"/>
      <c r="K12" s="67"/>
      <c r="L12" s="67"/>
      <c r="M12" s="67"/>
      <c r="N12" s="67"/>
      <c r="O12" s="67"/>
      <c r="P12" s="67"/>
      <c r="Q12" s="68"/>
    </row>
    <row r="13" spans="2:17" ht="32" customHeight="1" thickBot="1" x14ac:dyDescent="0.25">
      <c r="B13" s="2642" t="s">
        <v>25</v>
      </c>
      <c r="C13" s="2643"/>
      <c r="D13" s="2643"/>
      <c r="E13" s="2643"/>
      <c r="F13" s="2643"/>
      <c r="G13" s="2643"/>
      <c r="H13" s="2643"/>
      <c r="I13" s="2643"/>
      <c r="J13" s="2643"/>
      <c r="K13" s="2643"/>
      <c r="L13" s="2643"/>
      <c r="M13" s="2643"/>
      <c r="N13" s="2643"/>
      <c r="O13" s="2643"/>
      <c r="P13" s="2643"/>
      <c r="Q13" s="2644"/>
    </row>
    <row r="14" spans="2:17" ht="163" customHeight="1" x14ac:dyDescent="0.2">
      <c r="B14" s="69" t="s">
        <v>26</v>
      </c>
      <c r="C14" s="2574" t="s">
        <v>2334</v>
      </c>
      <c r="D14" s="2575"/>
      <c r="E14" s="2575"/>
      <c r="F14" s="2575"/>
      <c r="G14" s="2575"/>
      <c r="H14" s="2575"/>
      <c r="I14" s="2575"/>
      <c r="J14" s="2575"/>
      <c r="K14" s="2575"/>
      <c r="L14" s="2575"/>
      <c r="M14" s="2575"/>
      <c r="N14" s="2575"/>
      <c r="O14" s="2575"/>
      <c r="P14" s="2575"/>
      <c r="Q14" s="2576"/>
    </row>
    <row r="15" spans="2:17" ht="150" customHeight="1" x14ac:dyDescent="0.2">
      <c r="B15" s="70" t="s">
        <v>27</v>
      </c>
      <c r="C15" s="2577" t="s">
        <v>2335</v>
      </c>
      <c r="D15" s="2578"/>
      <c r="E15" s="2578"/>
      <c r="F15" s="2578"/>
      <c r="G15" s="2578"/>
      <c r="H15" s="2578"/>
      <c r="I15" s="2578"/>
      <c r="J15" s="2578"/>
      <c r="K15" s="2578"/>
      <c r="L15" s="2578"/>
      <c r="M15" s="2578"/>
      <c r="N15" s="2578"/>
      <c r="O15" s="2578"/>
      <c r="P15" s="2578"/>
      <c r="Q15" s="2579"/>
    </row>
    <row r="16" spans="2:17" ht="49" customHeight="1" x14ac:dyDescent="0.2">
      <c r="B16" s="70" t="s">
        <v>28</v>
      </c>
      <c r="C16" s="2600" t="s">
        <v>2336</v>
      </c>
      <c r="D16" s="2578"/>
      <c r="E16" s="2578"/>
      <c r="F16" s="2578"/>
      <c r="G16" s="2578"/>
      <c r="H16" s="2578"/>
      <c r="I16" s="2578"/>
      <c r="J16" s="2578"/>
      <c r="K16" s="2578"/>
      <c r="L16" s="2578"/>
      <c r="M16" s="2578"/>
      <c r="N16" s="2578"/>
      <c r="O16" s="2578"/>
      <c r="P16" s="2578"/>
      <c r="Q16" s="2579"/>
    </row>
    <row r="17" spans="2:17" ht="27" customHeight="1" x14ac:dyDescent="0.2">
      <c r="B17" s="70" t="s">
        <v>29</v>
      </c>
      <c r="C17" s="2600"/>
      <c r="D17" s="2578"/>
      <c r="E17" s="2578"/>
      <c r="F17" s="2578"/>
      <c r="G17" s="2578"/>
      <c r="H17" s="2578"/>
      <c r="I17" s="2578"/>
      <c r="J17" s="2578"/>
      <c r="K17" s="2578"/>
      <c r="L17" s="2578"/>
      <c r="M17" s="2578"/>
      <c r="N17" s="2578"/>
      <c r="O17" s="2578"/>
      <c r="P17" s="2578"/>
      <c r="Q17" s="2579"/>
    </row>
    <row r="18" spans="2:17" ht="37" customHeight="1" x14ac:dyDescent="0.2">
      <c r="B18" s="70" t="s">
        <v>30</v>
      </c>
      <c r="C18" s="2577"/>
      <c r="D18" s="2578"/>
      <c r="E18" s="2578"/>
      <c r="F18" s="2578"/>
      <c r="G18" s="2578"/>
      <c r="H18" s="2578"/>
      <c r="I18" s="2578"/>
      <c r="J18" s="2578"/>
      <c r="K18" s="2578"/>
      <c r="L18" s="2578"/>
      <c r="M18" s="2578"/>
      <c r="N18" s="2578"/>
      <c r="O18" s="2578"/>
      <c r="P18" s="2578"/>
      <c r="Q18" s="2579"/>
    </row>
    <row r="19" spans="2:17" ht="28" customHeight="1" x14ac:dyDescent="0.2">
      <c r="B19" s="70" t="s">
        <v>31</v>
      </c>
      <c r="C19" s="2600" t="s">
        <v>865</v>
      </c>
      <c r="D19" s="2578"/>
      <c r="E19" s="2578"/>
      <c r="F19" s="2578"/>
      <c r="G19" s="2578"/>
      <c r="H19" s="2578"/>
      <c r="I19" s="2578"/>
      <c r="J19" s="2578"/>
      <c r="K19" s="2578"/>
      <c r="L19" s="2578"/>
      <c r="M19" s="2578"/>
      <c r="N19" s="2578"/>
      <c r="O19" s="2578"/>
      <c r="P19" s="2578"/>
      <c r="Q19" s="2579"/>
    </row>
    <row r="20" spans="2:17" ht="27" customHeight="1" thickBot="1" x14ac:dyDescent="0.25">
      <c r="B20" s="71" t="s">
        <v>33</v>
      </c>
      <c r="C20" s="2580"/>
      <c r="D20" s="2581"/>
      <c r="E20" s="2581"/>
      <c r="F20" s="2581"/>
      <c r="G20" s="2581"/>
      <c r="H20" s="2581"/>
      <c r="I20" s="2581"/>
      <c r="J20" s="2581"/>
      <c r="K20" s="2581"/>
      <c r="L20" s="2581"/>
      <c r="M20" s="2581"/>
      <c r="N20" s="2581"/>
      <c r="O20" s="2581"/>
      <c r="P20" s="2581"/>
      <c r="Q20" s="2582"/>
    </row>
    <row r="21" spans="2:17" ht="27" customHeight="1" x14ac:dyDescent="0.2"/>
    <row r="22" spans="2:17" ht="23" x14ac:dyDescent="0.2">
      <c r="B22" s="433" t="s">
        <v>1353</v>
      </c>
    </row>
    <row r="23" spans="2:17" ht="30" customHeight="1" x14ac:dyDescent="0.2">
      <c r="B23" s="2110"/>
      <c r="C23" s="2110"/>
    </row>
    <row r="24" spans="2:17" ht="18" customHeight="1" x14ac:dyDescent="0.2">
      <c r="B24" s="325" t="s">
        <v>1459</v>
      </c>
      <c r="C24" s="2111"/>
      <c r="D24" s="86"/>
    </row>
    <row r="25" spans="2:17" ht="26" customHeight="1" x14ac:dyDescent="0.2">
      <c r="D25" s="86"/>
    </row>
    <row r="26" spans="2:17" ht="26" customHeight="1" x14ac:dyDescent="0.2">
      <c r="B26" s="2112" t="s">
        <v>1460</v>
      </c>
    </row>
    <row r="27" spans="2:17" ht="26" hidden="1" customHeight="1" outlineLevel="1" x14ac:dyDescent="0.2">
      <c r="B27" s="1598" t="s">
        <v>1461</v>
      </c>
    </row>
    <row r="28" spans="2:17" ht="26" hidden="1" customHeight="1" outlineLevel="1" x14ac:dyDescent="0.2">
      <c r="B28" s="493" t="s">
        <v>1944</v>
      </c>
    </row>
    <row r="29" spans="2:17" ht="31" hidden="1" customHeight="1" outlineLevel="1" x14ac:dyDescent="0.2">
      <c r="B29" s="219" t="s">
        <v>871</v>
      </c>
    </row>
    <row r="30" spans="2:17" ht="31" hidden="1" customHeight="1" outlineLevel="1" x14ac:dyDescent="0.2">
      <c r="B30" s="493" t="s">
        <v>1945</v>
      </c>
    </row>
    <row r="31" spans="2:17" ht="31" hidden="1" customHeight="1" outlineLevel="1" x14ac:dyDescent="0.2">
      <c r="B31" s="493" t="s">
        <v>1946</v>
      </c>
    </row>
    <row r="32" spans="2:17" ht="26" hidden="1" customHeight="1" outlineLevel="1" x14ac:dyDescent="0.2">
      <c r="B32" s="219" t="s">
        <v>872</v>
      </c>
    </row>
    <row r="33" spans="2:35" ht="31" hidden="1" customHeight="1" outlineLevel="1" x14ac:dyDescent="0.2"/>
    <row r="34" spans="2:35" ht="31" hidden="1" customHeight="1" outlineLevel="1" x14ac:dyDescent="0.2">
      <c r="B34" s="444" t="s">
        <v>711</v>
      </c>
      <c r="C34" s="445">
        <f>'ANNEXE A'!$C$238</f>
        <v>18</v>
      </c>
      <c r="D34" s="405" t="s">
        <v>580</v>
      </c>
      <c r="E34" s="446"/>
      <c r="F34" s="447"/>
    </row>
    <row r="35" spans="2:35" ht="31" hidden="1" customHeight="1" outlineLevel="1" x14ac:dyDescent="0.2">
      <c r="B35" s="448" t="s">
        <v>714</v>
      </c>
      <c r="C35" s="449">
        <f>'ANNEXE A'!C239</f>
        <v>1120</v>
      </c>
      <c r="D35" s="55" t="s">
        <v>685</v>
      </c>
      <c r="F35" s="450"/>
    </row>
    <row r="36" spans="2:35" ht="26" hidden="1" customHeight="1" outlineLevel="1" x14ac:dyDescent="0.2">
      <c r="B36" s="448" t="s">
        <v>874</v>
      </c>
      <c r="C36" s="483">
        <f>'ANNEXE A'!$C$242</f>
        <v>13000</v>
      </c>
      <c r="F36" s="450"/>
      <c r="H36" s="86"/>
      <c r="I36" s="86"/>
    </row>
    <row r="37" spans="2:35" ht="26" hidden="1" customHeight="1" outlineLevel="1" x14ac:dyDescent="0.2">
      <c r="B37" s="451" t="s">
        <v>875</v>
      </c>
      <c r="C37" s="2113">
        <v>0.05</v>
      </c>
      <c r="D37" s="453" t="s">
        <v>434</v>
      </c>
      <c r="E37" s="1277">
        <f>C36*C37</f>
        <v>650</v>
      </c>
      <c r="F37" s="454" t="s">
        <v>208</v>
      </c>
    </row>
    <row r="38" spans="2:35" ht="26" hidden="1" customHeight="1" outlineLevel="1" x14ac:dyDescent="0.2"/>
    <row r="39" spans="2:35" ht="36" hidden="1" customHeight="1" outlineLevel="1" x14ac:dyDescent="0.2">
      <c r="B39" s="455" t="s">
        <v>721</v>
      </c>
      <c r="C39" s="455" t="s">
        <v>722</v>
      </c>
      <c r="D39" s="455" t="s">
        <v>1943</v>
      </c>
      <c r="E39" s="455" t="s">
        <v>60</v>
      </c>
      <c r="F39" s="455" t="s">
        <v>59</v>
      </c>
      <c r="G39" s="74" t="s">
        <v>61</v>
      </c>
      <c r="H39" s="455" t="s">
        <v>59</v>
      </c>
      <c r="I39" s="455" t="s">
        <v>877</v>
      </c>
    </row>
    <row r="40" spans="2:35" ht="31" hidden="1" customHeight="1" outlineLevel="1" x14ac:dyDescent="0.2">
      <c r="B40" s="89" t="s">
        <v>748</v>
      </c>
      <c r="C40" s="2114">
        <f>E264</f>
        <v>0.745</v>
      </c>
      <c r="D40" s="457">
        <f>(C40*$E$37)*$C$35*$C$34</f>
        <v>9762480</v>
      </c>
      <c r="E40" s="1271">
        <f>$H$231</f>
        <v>8.2129277566539927E-2</v>
      </c>
      <c r="F40" s="81" t="s">
        <v>696</v>
      </c>
      <c r="G40" s="78">
        <f t="shared" ref="G40:G43" si="0">D40*E40</f>
        <v>801785.42965779465</v>
      </c>
      <c r="H40" s="81" t="s">
        <v>67</v>
      </c>
      <c r="I40" s="369">
        <f>G40/($G$44*1000)</f>
        <v>0.86471527390350666</v>
      </c>
    </row>
    <row r="41" spans="2:35" ht="26" hidden="1" customHeight="1" outlineLevel="1" x14ac:dyDescent="0.2">
      <c r="B41" s="89" t="s">
        <v>726</v>
      </c>
      <c r="C41" s="2114">
        <f>E265</f>
        <v>0.14000000000000001</v>
      </c>
      <c r="D41" s="457">
        <f t="shared" ref="D41:D43" si="1">(C41*$E$37)*$C$35*$C$34</f>
        <v>1834560.0000000002</v>
      </c>
      <c r="E41" s="2115">
        <f>C230</f>
        <v>3.3400000000000001E-3</v>
      </c>
      <c r="F41" s="81" t="s">
        <v>696</v>
      </c>
      <c r="G41" s="78">
        <f t="shared" si="0"/>
        <v>6127.4304000000011</v>
      </c>
      <c r="H41" s="81" t="s">
        <v>67</v>
      </c>
      <c r="I41" s="369">
        <f t="shared" ref="I41:I43" si="2">G41/($G$44*1000)</f>
        <v>6.6083548798362285E-3</v>
      </c>
    </row>
    <row r="42" spans="2:35" ht="26" hidden="1" customHeight="1" outlineLevel="1" x14ac:dyDescent="0.2">
      <c r="B42" s="89" t="s">
        <v>728</v>
      </c>
      <c r="C42" s="2114">
        <f>E266</f>
        <v>0.09</v>
      </c>
      <c r="D42" s="457">
        <f t="shared" si="1"/>
        <v>1179360</v>
      </c>
      <c r="E42" s="461">
        <f>$C$225</f>
        <v>2.9499999999999998E-2</v>
      </c>
      <c r="F42" s="81" t="s">
        <v>696</v>
      </c>
      <c r="G42" s="78">
        <f t="shared" si="0"/>
        <v>34791.119999999995</v>
      </c>
      <c r="H42" s="81" t="s">
        <v>67</v>
      </c>
      <c r="I42" s="369">
        <f t="shared" si="2"/>
        <v>3.7521775461858815E-2</v>
      </c>
    </row>
    <row r="43" spans="2:35" ht="26" hidden="1" customHeight="1" outlineLevel="1" x14ac:dyDescent="0.2">
      <c r="B43" s="89" t="s">
        <v>742</v>
      </c>
      <c r="C43" s="2114">
        <f>E267</f>
        <v>2.5000000000000001E-2</v>
      </c>
      <c r="D43" s="457">
        <f t="shared" si="1"/>
        <v>327600</v>
      </c>
      <c r="E43" s="216">
        <f>C226</f>
        <v>0.25800000000000001</v>
      </c>
      <c r="F43" s="81" t="s">
        <v>696</v>
      </c>
      <c r="G43" s="78">
        <f t="shared" si="0"/>
        <v>84520.8</v>
      </c>
      <c r="H43" s="81" t="s">
        <v>67</v>
      </c>
      <c r="I43" s="369">
        <f t="shared" si="2"/>
        <v>9.115459575479827E-2</v>
      </c>
    </row>
    <row r="44" spans="2:35" ht="25" hidden="1" customHeight="1" outlineLevel="1" x14ac:dyDescent="0.2">
      <c r="B44" s="409"/>
      <c r="F44" s="7" t="s">
        <v>198</v>
      </c>
      <c r="G44" s="1643">
        <f>SUM(G40:G43)/1000</f>
        <v>927.22478005779465</v>
      </c>
      <c r="H44" s="7" t="s">
        <v>71</v>
      </c>
      <c r="I44" s="354"/>
      <c r="AG44" s="650"/>
      <c r="AH44" s="650"/>
      <c r="AI44" s="650"/>
    </row>
    <row r="45" spans="2:35" ht="25" customHeight="1" collapsed="1" x14ac:dyDescent="0.2">
      <c r="B45" s="2112" t="s">
        <v>1462</v>
      </c>
      <c r="AG45" s="650"/>
      <c r="AH45" s="650"/>
      <c r="AI45" s="650"/>
    </row>
    <row r="46" spans="2:35" ht="25" hidden="1" customHeight="1" outlineLevel="1" x14ac:dyDescent="0.2">
      <c r="B46" s="1654" t="s">
        <v>1461</v>
      </c>
      <c r="AG46" s="650"/>
      <c r="AH46" s="650"/>
      <c r="AI46" s="650"/>
    </row>
    <row r="47" spans="2:35" ht="25" hidden="1" customHeight="1" outlineLevel="1" x14ac:dyDescent="0.2">
      <c r="B47" s="493" t="s">
        <v>1944</v>
      </c>
      <c r="AG47" s="650"/>
      <c r="AH47" s="650"/>
    </row>
    <row r="48" spans="2:35" ht="25" hidden="1" customHeight="1" outlineLevel="1" x14ac:dyDescent="0.2">
      <c r="B48" s="219" t="s">
        <v>871</v>
      </c>
      <c r="AG48" s="650"/>
      <c r="AH48" s="650"/>
      <c r="AI48" s="650"/>
    </row>
    <row r="49" spans="2:35" ht="25" hidden="1" customHeight="1" outlineLevel="1" x14ac:dyDescent="0.2">
      <c r="B49" s="219" t="s">
        <v>1947</v>
      </c>
      <c r="AG49" s="650"/>
      <c r="AH49" s="650"/>
      <c r="AI49" s="650"/>
    </row>
    <row r="50" spans="2:35" ht="25" hidden="1" customHeight="1" outlineLevel="1" x14ac:dyDescent="0.2">
      <c r="B50" s="219" t="s">
        <v>910</v>
      </c>
      <c r="AG50" s="650"/>
      <c r="AH50" s="650"/>
      <c r="AI50" s="650"/>
    </row>
    <row r="51" spans="2:35" ht="20" hidden="1" customHeight="1" outlineLevel="1" x14ac:dyDescent="0.2">
      <c r="B51" s="219" t="s">
        <v>1948</v>
      </c>
      <c r="AG51" s="650"/>
      <c r="AH51" s="650"/>
      <c r="AI51" s="650"/>
    </row>
    <row r="52" spans="2:35" ht="22" hidden="1" customHeight="1" outlineLevel="1" x14ac:dyDescent="0.2">
      <c r="B52" s="493" t="s">
        <v>1949</v>
      </c>
      <c r="AG52" s="650"/>
      <c r="AH52" s="650"/>
      <c r="AI52" s="650"/>
    </row>
    <row r="53" spans="2:35" ht="22" hidden="1" customHeight="1" outlineLevel="1" x14ac:dyDescent="0.2">
      <c r="B53" s="55" t="s">
        <v>912</v>
      </c>
      <c r="AG53" s="650"/>
      <c r="AH53" s="650"/>
    </row>
    <row r="54" spans="2:35" ht="22" hidden="1" customHeight="1" outlineLevel="1" x14ac:dyDescent="0.2">
      <c r="AG54" s="650"/>
      <c r="AH54" s="650"/>
    </row>
    <row r="55" spans="2:35" ht="22" hidden="1" customHeight="1" outlineLevel="1" x14ac:dyDescent="0.2">
      <c r="B55" s="444" t="s">
        <v>711</v>
      </c>
      <c r="C55" s="445">
        <f>'ANNEXE A'!$C$238</f>
        <v>18</v>
      </c>
      <c r="D55" s="405" t="s">
        <v>580</v>
      </c>
      <c r="E55" s="405"/>
      <c r="F55" s="447"/>
      <c r="AG55" s="650"/>
      <c r="AH55" s="650"/>
      <c r="AI55" s="650"/>
    </row>
    <row r="56" spans="2:35" ht="20" hidden="1" customHeight="1" outlineLevel="1" x14ac:dyDescent="0.2">
      <c r="B56" s="448" t="s">
        <v>745</v>
      </c>
      <c r="C56" s="449">
        <f>'22'!C28</f>
        <v>41.595245732871298</v>
      </c>
      <c r="D56" s="55" t="s">
        <v>685</v>
      </c>
      <c r="E56" s="86"/>
      <c r="F56" s="450"/>
      <c r="AG56" s="650"/>
      <c r="AH56" s="650"/>
      <c r="AI56" s="650"/>
    </row>
    <row r="57" spans="2:35" ht="37" hidden="1" customHeight="1" outlineLevel="1" x14ac:dyDescent="0.2">
      <c r="B57" s="448" t="s">
        <v>874</v>
      </c>
      <c r="C57" s="483">
        <f>C36</f>
        <v>13000</v>
      </c>
      <c r="F57" s="450"/>
      <c r="AG57" s="650"/>
      <c r="AH57" s="650"/>
    </row>
    <row r="58" spans="2:35" ht="21" hidden="1" customHeight="1" outlineLevel="1" x14ac:dyDescent="0.2">
      <c r="B58" s="451" t="s">
        <v>915</v>
      </c>
      <c r="C58" s="2116">
        <f>1-C37</f>
        <v>0.95</v>
      </c>
      <c r="D58" s="2117" t="s">
        <v>434</v>
      </c>
      <c r="E58" s="2118">
        <f>C57*C58</f>
        <v>12350</v>
      </c>
      <c r="F58" s="2119" t="s">
        <v>916</v>
      </c>
    </row>
    <row r="59" spans="2:35" ht="29" hidden="1" customHeight="1" outlineLevel="1" x14ac:dyDescent="0.2"/>
    <row r="60" spans="2:35" ht="36" hidden="1" customHeight="1" outlineLevel="1" x14ac:dyDescent="0.2">
      <c r="B60" s="455" t="s">
        <v>721</v>
      </c>
      <c r="C60" s="455" t="s">
        <v>722</v>
      </c>
      <c r="D60" s="455" t="s">
        <v>1943</v>
      </c>
      <c r="E60" s="455" t="s">
        <v>60</v>
      </c>
      <c r="F60" s="455" t="s">
        <v>59</v>
      </c>
      <c r="G60" s="74" t="s">
        <v>61</v>
      </c>
      <c r="H60" s="455" t="s">
        <v>59</v>
      </c>
      <c r="I60" s="455" t="s">
        <v>724</v>
      </c>
    </row>
    <row r="61" spans="2:35" ht="21" hidden="1" customHeight="1" outlineLevel="1" x14ac:dyDescent="0.2">
      <c r="B61" s="89" t="s">
        <v>748</v>
      </c>
      <c r="C61" s="456">
        <f>M246+M250</f>
        <v>0.76200000000000001</v>
      </c>
      <c r="D61" s="314">
        <f>(C61*$E$58)*$C$56*$C$55</f>
        <v>7045926.8223299747</v>
      </c>
      <c r="E61" s="1271">
        <f>$H$225</f>
        <v>0.11368421052631579</v>
      </c>
      <c r="F61" s="81" t="s">
        <v>696</v>
      </c>
      <c r="G61" s="459">
        <f t="shared" ref="G61:G65" si="3">D61*E61</f>
        <v>801010.62822277611</v>
      </c>
      <c r="H61" s="81" t="s">
        <v>67</v>
      </c>
      <c r="I61" s="416">
        <f t="shared" ref="I61:I65" si="4">G61/($G$66*1000)</f>
        <v>0.89897881747843944</v>
      </c>
    </row>
    <row r="62" spans="2:35" ht="21" hidden="1" customHeight="1" outlineLevel="1" x14ac:dyDescent="0.2">
      <c r="B62" s="89" t="s">
        <v>750</v>
      </c>
      <c r="C62" s="456">
        <f>M251</f>
        <v>9.1999999999999998E-2</v>
      </c>
      <c r="D62" s="314">
        <f t="shared" ref="D62:D65" si="5">(C62*$E$58)*$C$56*$C$55</f>
        <v>850689.32763039065</v>
      </c>
      <c r="E62" s="329">
        <v>0</v>
      </c>
      <c r="F62" s="81" t="s">
        <v>696</v>
      </c>
      <c r="G62" s="459">
        <f t="shared" si="3"/>
        <v>0</v>
      </c>
      <c r="H62" s="81" t="s">
        <v>67</v>
      </c>
      <c r="I62" s="416">
        <f t="shared" si="4"/>
        <v>0</v>
      </c>
    </row>
    <row r="63" spans="2:35" ht="25" hidden="1" customHeight="1" outlineLevel="1" x14ac:dyDescent="0.2">
      <c r="B63" s="89" t="s">
        <v>749</v>
      </c>
      <c r="C63" s="456">
        <f>M247</f>
        <v>6.9999999999999993E-2</v>
      </c>
      <c r="D63" s="314">
        <f t="shared" si="5"/>
        <v>647263.61884921021</v>
      </c>
      <c r="E63" s="461">
        <f>C224</f>
        <v>0.129</v>
      </c>
      <c r="F63" s="81" t="s">
        <v>696</v>
      </c>
      <c r="G63" s="459">
        <f t="shared" si="3"/>
        <v>83497.006831548118</v>
      </c>
      <c r="H63" s="81" t="s">
        <v>67</v>
      </c>
      <c r="I63" s="416">
        <f t="shared" si="4"/>
        <v>9.3709169166651979E-2</v>
      </c>
    </row>
    <row r="64" spans="2:35" ht="38" hidden="1" customHeight="1" outlineLevel="1" x14ac:dyDescent="0.2">
      <c r="B64" s="89" t="s">
        <v>913</v>
      </c>
      <c r="C64" s="456">
        <f>M248</f>
        <v>6.0000000000000012E-2</v>
      </c>
      <c r="D64" s="314">
        <f t="shared" si="5"/>
        <v>554797.3875850375</v>
      </c>
      <c r="E64" s="267">
        <f>C231</f>
        <v>3.29E-3</v>
      </c>
      <c r="F64" s="81" t="s">
        <v>696</v>
      </c>
      <c r="G64" s="459">
        <f t="shared" si="3"/>
        <v>1825.2834051547734</v>
      </c>
      <c r="H64" s="81" t="s">
        <v>67</v>
      </c>
      <c r="I64" s="416">
        <f t="shared" si="4"/>
        <v>2.0485260236430907E-3</v>
      </c>
    </row>
    <row r="65" spans="2:11" ht="24" hidden="1" customHeight="1" outlineLevel="1" x14ac:dyDescent="0.2">
      <c r="B65" s="89" t="s">
        <v>726</v>
      </c>
      <c r="C65" s="456">
        <f>M249</f>
        <v>1.6E-2</v>
      </c>
      <c r="D65" s="314">
        <f t="shared" si="5"/>
        <v>147945.97002267663</v>
      </c>
      <c r="E65" s="2115">
        <f>$C$229</f>
        <v>3.1699999999999999E-2</v>
      </c>
      <c r="F65" s="81" t="s">
        <v>696</v>
      </c>
      <c r="G65" s="459">
        <f t="shared" si="3"/>
        <v>4689.8872497188486</v>
      </c>
      <c r="H65" s="81" t="s">
        <v>67</v>
      </c>
      <c r="I65" s="416">
        <f t="shared" si="4"/>
        <v>5.2634873312653249E-3</v>
      </c>
    </row>
    <row r="66" spans="2:11" ht="31" hidden="1" customHeight="1" outlineLevel="1" x14ac:dyDescent="0.2">
      <c r="D66" s="346"/>
      <c r="F66" s="7" t="s">
        <v>198</v>
      </c>
      <c r="G66" s="8">
        <f>SUM(G61:G65)/1000</f>
        <v>891.022805709198</v>
      </c>
      <c r="H66" s="7" t="s">
        <v>71</v>
      </c>
    </row>
    <row r="67" spans="2:11" ht="19" customHeight="1" collapsed="1" x14ac:dyDescent="0.2"/>
    <row r="68" spans="2:11" ht="25" customHeight="1" x14ac:dyDescent="0.2">
      <c r="B68" s="325" t="s">
        <v>1432</v>
      </c>
      <c r="C68" s="2"/>
      <c r="D68" s="2"/>
      <c r="H68" s="473"/>
    </row>
    <row r="69" spans="2:11" ht="25" customHeight="1" x14ac:dyDescent="0.2">
      <c r="B69" s="1654" t="s">
        <v>1365</v>
      </c>
    </row>
    <row r="70" spans="2:11" ht="55" customHeight="1" x14ac:dyDescent="0.2">
      <c r="B70" s="2685" t="s">
        <v>1436</v>
      </c>
      <c r="C70" s="2685"/>
      <c r="D70" s="2685"/>
      <c r="E70" s="2685"/>
      <c r="F70" s="2685"/>
    </row>
    <row r="71" spans="2:11" ht="25" customHeight="1" x14ac:dyDescent="0.2"/>
    <row r="72" spans="2:11" ht="24" customHeight="1" x14ac:dyDescent="0.2">
      <c r="B72" s="76" t="s">
        <v>1433</v>
      </c>
      <c r="C72" s="569">
        <f>G66+G44</f>
        <v>1818.2475857669926</v>
      </c>
      <c r="D72" s="81" t="s">
        <v>71</v>
      </c>
    </row>
    <row r="73" spans="2:11" ht="24" customHeight="1" x14ac:dyDescent="0.2">
      <c r="B73" s="331" t="s">
        <v>1435</v>
      </c>
      <c r="C73" s="2120">
        <f>C72/$C$57/$C$55</f>
        <v>7.7702888280640715E-3</v>
      </c>
      <c r="D73" s="9" t="s">
        <v>71</v>
      </c>
    </row>
    <row r="74" spans="2:11" ht="24" customHeight="1" x14ac:dyDescent="0.2">
      <c r="B74" s="1368" t="s">
        <v>1434</v>
      </c>
      <c r="C74" s="562">
        <f>C73*'ANNEXE A'!$C$245</f>
        <v>128707.14402662242</v>
      </c>
      <c r="D74" s="7" t="s">
        <v>71</v>
      </c>
    </row>
    <row r="75" spans="2:11" ht="19" customHeight="1" x14ac:dyDescent="0.2">
      <c r="B75" s="2121"/>
      <c r="C75" s="2122"/>
      <c r="D75" s="328"/>
      <c r="G75" s="2"/>
      <c r="H75" s="2"/>
      <c r="I75" s="2"/>
    </row>
    <row r="76" spans="2:11" ht="19" customHeight="1" x14ac:dyDescent="0.2">
      <c r="G76" s="2"/>
      <c r="H76" s="2"/>
      <c r="I76" s="2"/>
    </row>
    <row r="77" spans="2:11" ht="19" customHeight="1" x14ac:dyDescent="0.2">
      <c r="B77" s="325" t="s">
        <v>1986</v>
      </c>
      <c r="G77" s="2"/>
      <c r="H77" s="2"/>
      <c r="I77" s="2"/>
    </row>
    <row r="78" spans="2:11" ht="19" customHeight="1" x14ac:dyDescent="0.2">
      <c r="B78" s="1654" t="s">
        <v>1365</v>
      </c>
      <c r="G78" s="2"/>
      <c r="H78" s="2"/>
      <c r="I78" s="2"/>
    </row>
    <row r="79" spans="2:11" ht="19" customHeight="1" x14ac:dyDescent="0.2">
      <c r="B79" s="55" t="s">
        <v>1455</v>
      </c>
    </row>
    <row r="80" spans="2:11" ht="19" customHeight="1" x14ac:dyDescent="0.2">
      <c r="K80" s="2"/>
    </row>
    <row r="81" spans="2:23" ht="19" customHeight="1" x14ac:dyDescent="0.2">
      <c r="B81" s="75" t="s">
        <v>1988</v>
      </c>
      <c r="C81" s="365"/>
      <c r="K81" s="2"/>
    </row>
    <row r="82" spans="2:23" ht="30" hidden="1" customHeight="1" outlineLevel="1" x14ac:dyDescent="0.2">
      <c r="B82" s="365"/>
      <c r="D82" s="365"/>
      <c r="E82" s="365"/>
      <c r="F82" s="2973" t="s">
        <v>924</v>
      </c>
      <c r="G82" s="2973"/>
      <c r="H82" s="2973"/>
      <c r="I82" s="2973"/>
      <c r="J82" s="2973"/>
      <c r="K82" s="2973"/>
      <c r="L82" s="2973"/>
      <c r="M82" s="2973" t="s">
        <v>923</v>
      </c>
      <c r="N82" s="2973"/>
      <c r="O82" s="2973"/>
      <c r="P82" s="2973"/>
      <c r="Q82" s="2973"/>
      <c r="R82" s="2973"/>
      <c r="S82" s="2973"/>
      <c r="T82" s="2"/>
      <c r="U82" s="2"/>
      <c r="V82" s="2"/>
    </row>
    <row r="83" spans="2:23" ht="41" hidden="1" customHeight="1" outlineLevel="1" x14ac:dyDescent="0.2">
      <c r="B83" s="787" t="s">
        <v>1443</v>
      </c>
      <c r="C83" s="787" t="s">
        <v>1437</v>
      </c>
      <c r="D83" s="787" t="s">
        <v>1438</v>
      </c>
      <c r="E83" s="788" t="s">
        <v>1444</v>
      </c>
      <c r="F83" s="791" t="s">
        <v>1583</v>
      </c>
      <c r="G83" s="791" t="s">
        <v>1441</v>
      </c>
      <c r="H83" s="791" t="s">
        <v>1994</v>
      </c>
      <c r="I83" s="792" t="s">
        <v>742</v>
      </c>
      <c r="J83" s="792" t="s">
        <v>748</v>
      </c>
      <c r="K83" s="792" t="s">
        <v>726</v>
      </c>
      <c r="L83" s="792" t="s">
        <v>728</v>
      </c>
      <c r="M83" s="791" t="s">
        <v>1584</v>
      </c>
      <c r="N83" s="791" t="s">
        <v>1585</v>
      </c>
      <c r="O83" s="792" t="s">
        <v>748</v>
      </c>
      <c r="P83" s="792" t="s">
        <v>750</v>
      </c>
      <c r="Q83" s="792" t="s">
        <v>749</v>
      </c>
      <c r="R83" s="792" t="s">
        <v>913</v>
      </c>
      <c r="S83" s="792" t="s">
        <v>726</v>
      </c>
      <c r="T83" s="2"/>
      <c r="U83" s="2"/>
      <c r="V83" s="2"/>
      <c r="W83" s="2"/>
    </row>
    <row r="84" spans="2:23" ht="22" hidden="1" customHeight="1" outlineLevel="1" x14ac:dyDescent="0.2">
      <c r="B84" s="502" t="s">
        <v>1526</v>
      </c>
      <c r="C84" s="503" t="s">
        <v>1442</v>
      </c>
      <c r="D84" s="502">
        <v>66183</v>
      </c>
      <c r="E84" s="511">
        <v>7.7300000000000008E-2</v>
      </c>
      <c r="F84" s="786">
        <f t="shared" ref="F84:F115" si="6">E84*D84</f>
        <v>5115.9459000000006</v>
      </c>
      <c r="G84" s="502" t="s">
        <v>1445</v>
      </c>
      <c r="H84" s="503">
        <v>1033</v>
      </c>
      <c r="I84" s="504">
        <v>0.64333333333333331</v>
      </c>
      <c r="J84" s="504">
        <v>0.19666666666666666</v>
      </c>
      <c r="K84" s="504">
        <v>0.10000000000000002</v>
      </c>
      <c r="L84" s="504">
        <v>6.0000000000000005E-2</v>
      </c>
      <c r="M84" s="786">
        <f t="shared" ref="M84:M115" si="7">D84*(1-E84)</f>
        <v>61067.054100000001</v>
      </c>
      <c r="N84" s="502">
        <v>259.5</v>
      </c>
      <c r="O84" s="504">
        <v>0.54</v>
      </c>
      <c r="P84" s="504">
        <v>0.1</v>
      </c>
      <c r="Q84" s="504">
        <v>0.12</v>
      </c>
      <c r="R84" s="504">
        <v>0.12</v>
      </c>
      <c r="S84" s="504">
        <v>0.12</v>
      </c>
      <c r="T84" s="2"/>
      <c r="U84" s="2"/>
      <c r="V84" s="2"/>
      <c r="W84" s="2"/>
    </row>
    <row r="85" spans="2:23" ht="22" hidden="1" customHeight="1" outlineLevel="1" x14ac:dyDescent="0.2">
      <c r="B85" s="502" t="s">
        <v>1526</v>
      </c>
      <c r="C85" s="503" t="s">
        <v>1442</v>
      </c>
      <c r="D85" s="502">
        <v>77328</v>
      </c>
      <c r="E85" s="511">
        <v>7.7300000000000008E-2</v>
      </c>
      <c r="F85" s="786">
        <f t="shared" si="6"/>
        <v>5977.4544000000005</v>
      </c>
      <c r="G85" s="502" t="s">
        <v>1446</v>
      </c>
      <c r="H85" s="503">
        <v>430</v>
      </c>
      <c r="I85" s="504">
        <v>0.64333333333333331</v>
      </c>
      <c r="J85" s="504">
        <v>0.19666666666666666</v>
      </c>
      <c r="K85" s="504">
        <v>0.10000000000000002</v>
      </c>
      <c r="L85" s="504">
        <v>6.0000000000000005E-2</v>
      </c>
      <c r="M85" s="786">
        <f t="shared" si="7"/>
        <v>71350.545599999998</v>
      </c>
      <c r="N85" s="502">
        <v>259.5</v>
      </c>
      <c r="O85" s="504">
        <v>0.54</v>
      </c>
      <c r="P85" s="504">
        <v>0.1</v>
      </c>
      <c r="Q85" s="504">
        <v>0.12</v>
      </c>
      <c r="R85" s="504">
        <v>0.12</v>
      </c>
      <c r="S85" s="504">
        <v>0.12</v>
      </c>
      <c r="T85" s="2"/>
      <c r="U85" s="2"/>
      <c r="V85" s="2"/>
      <c r="W85" s="2"/>
    </row>
    <row r="86" spans="2:23" ht="22" hidden="1" customHeight="1" outlineLevel="1" x14ac:dyDescent="0.2">
      <c r="B86" s="502" t="s">
        <v>1526</v>
      </c>
      <c r="C86" s="503" t="s">
        <v>1442</v>
      </c>
      <c r="D86" s="502">
        <v>78000</v>
      </c>
      <c r="E86" s="511">
        <v>7.7300000000000008E-2</v>
      </c>
      <c r="F86" s="786">
        <f t="shared" si="6"/>
        <v>6029.4000000000005</v>
      </c>
      <c r="G86" s="502" t="s">
        <v>1445</v>
      </c>
      <c r="H86" s="503">
        <v>2095</v>
      </c>
      <c r="I86" s="504">
        <v>0.64333333333333331</v>
      </c>
      <c r="J86" s="504">
        <v>0.19666666666666666</v>
      </c>
      <c r="K86" s="504">
        <v>0.10000000000000002</v>
      </c>
      <c r="L86" s="504">
        <v>6.0000000000000005E-2</v>
      </c>
      <c r="M86" s="786">
        <f t="shared" si="7"/>
        <v>71970.599999999991</v>
      </c>
      <c r="N86" s="502">
        <v>259.5</v>
      </c>
      <c r="O86" s="504">
        <v>0.54</v>
      </c>
      <c r="P86" s="504">
        <v>0.1</v>
      </c>
      <c r="Q86" s="504">
        <v>0.12</v>
      </c>
      <c r="R86" s="504">
        <v>0.12</v>
      </c>
      <c r="S86" s="504">
        <v>0.12</v>
      </c>
      <c r="T86" s="2"/>
      <c r="U86" s="2"/>
      <c r="V86" s="2"/>
      <c r="W86" s="2"/>
    </row>
    <row r="87" spans="2:23" ht="22" hidden="1" customHeight="1" outlineLevel="1" x14ac:dyDescent="0.2">
      <c r="B87" s="502" t="s">
        <v>1527</v>
      </c>
      <c r="C87" s="503" t="s">
        <v>1442</v>
      </c>
      <c r="D87" s="502">
        <v>11212</v>
      </c>
      <c r="E87" s="511">
        <v>2.5000000000000001E-2</v>
      </c>
      <c r="F87" s="786">
        <f t="shared" si="6"/>
        <v>280.3</v>
      </c>
      <c r="G87" s="502" t="s">
        <v>1445</v>
      </c>
      <c r="H87" s="503">
        <v>2095</v>
      </c>
      <c r="I87" s="504">
        <v>0.64333333333333331</v>
      </c>
      <c r="J87" s="504">
        <v>0.19666666666666666</v>
      </c>
      <c r="K87" s="504">
        <v>0.10000000000000002</v>
      </c>
      <c r="L87" s="504">
        <v>6.0000000000000005E-2</v>
      </c>
      <c r="M87" s="786">
        <f t="shared" si="7"/>
        <v>10931.699999999999</v>
      </c>
      <c r="N87" s="502">
        <v>197</v>
      </c>
      <c r="O87" s="504">
        <v>0.76200000000000001</v>
      </c>
      <c r="P87" s="504">
        <v>0.09</v>
      </c>
      <c r="Q87" s="504">
        <v>6.9999999999999993E-2</v>
      </c>
      <c r="R87" s="504">
        <v>6.0000000000000012E-2</v>
      </c>
      <c r="S87" s="504">
        <v>1.6E-2</v>
      </c>
      <c r="T87" s="2"/>
      <c r="U87" s="2"/>
      <c r="V87" s="2"/>
      <c r="W87" s="2"/>
    </row>
    <row r="88" spans="2:23" ht="22" hidden="1" customHeight="1" outlineLevel="1" x14ac:dyDescent="0.2">
      <c r="B88" s="502" t="s">
        <v>1527</v>
      </c>
      <c r="C88" s="503" t="s">
        <v>1442</v>
      </c>
      <c r="D88" s="502">
        <v>11445</v>
      </c>
      <c r="E88" s="511">
        <v>2.5000000000000001E-2</v>
      </c>
      <c r="F88" s="786">
        <f t="shared" si="6"/>
        <v>286.125</v>
      </c>
      <c r="G88" s="502" t="s">
        <v>1445</v>
      </c>
      <c r="H88" s="503">
        <v>1340</v>
      </c>
      <c r="I88" s="504">
        <v>0.64333333333333331</v>
      </c>
      <c r="J88" s="504">
        <v>0.19666666666666666</v>
      </c>
      <c r="K88" s="504">
        <v>0.10000000000000002</v>
      </c>
      <c r="L88" s="504">
        <v>6.0000000000000005E-2</v>
      </c>
      <c r="M88" s="786">
        <f t="shared" si="7"/>
        <v>11158.875</v>
      </c>
      <c r="N88" s="502">
        <v>197</v>
      </c>
      <c r="O88" s="504">
        <v>0.76200000000000001</v>
      </c>
      <c r="P88" s="504">
        <v>0.09</v>
      </c>
      <c r="Q88" s="504">
        <v>6.9999999999999993E-2</v>
      </c>
      <c r="R88" s="504">
        <v>6.0000000000000012E-2</v>
      </c>
      <c r="S88" s="504">
        <v>1.6E-2</v>
      </c>
      <c r="T88" s="2"/>
      <c r="U88" s="2"/>
      <c r="V88" s="2"/>
      <c r="W88" s="2"/>
    </row>
    <row r="89" spans="2:23" ht="22" hidden="1" customHeight="1" outlineLevel="1" x14ac:dyDescent="0.2">
      <c r="B89" s="502" t="s">
        <v>1527</v>
      </c>
      <c r="C89" s="503" t="s">
        <v>1442</v>
      </c>
      <c r="D89" s="502">
        <v>7409</v>
      </c>
      <c r="E89" s="511">
        <v>2.5000000000000001E-2</v>
      </c>
      <c r="F89" s="786">
        <f t="shared" si="6"/>
        <v>185.22500000000002</v>
      </c>
      <c r="G89" s="502" t="s">
        <v>1445</v>
      </c>
      <c r="H89" s="503">
        <v>1243</v>
      </c>
      <c r="I89" s="504">
        <v>0.64333333333333331</v>
      </c>
      <c r="J89" s="504">
        <v>0.19666666666666666</v>
      </c>
      <c r="K89" s="504">
        <v>0.10000000000000002</v>
      </c>
      <c r="L89" s="504">
        <v>6.0000000000000005E-2</v>
      </c>
      <c r="M89" s="786">
        <f t="shared" si="7"/>
        <v>7223.7749999999996</v>
      </c>
      <c r="N89" s="502">
        <v>197</v>
      </c>
      <c r="O89" s="504">
        <v>0.76200000000000001</v>
      </c>
      <c r="P89" s="504">
        <v>0.09</v>
      </c>
      <c r="Q89" s="504">
        <v>6.9999999999999993E-2</v>
      </c>
      <c r="R89" s="504">
        <v>6.0000000000000012E-2</v>
      </c>
      <c r="S89" s="504">
        <v>1.6E-2</v>
      </c>
      <c r="T89" s="2"/>
      <c r="U89" s="2"/>
      <c r="V89" s="2"/>
      <c r="W89" s="2"/>
    </row>
    <row r="90" spans="2:23" ht="22" hidden="1" customHeight="1" outlineLevel="1" x14ac:dyDescent="0.2">
      <c r="B90" s="502" t="s">
        <v>1447</v>
      </c>
      <c r="C90" s="503" t="s">
        <v>1442</v>
      </c>
      <c r="D90" s="502">
        <v>80000</v>
      </c>
      <c r="E90" s="511">
        <v>7.7300000000000008E-2</v>
      </c>
      <c r="F90" s="786">
        <f t="shared" si="6"/>
        <v>6184.0000000000009</v>
      </c>
      <c r="G90" s="502" t="s">
        <v>1446</v>
      </c>
      <c r="H90" s="503">
        <v>878</v>
      </c>
      <c r="I90" s="504">
        <v>0.64333333333333331</v>
      </c>
      <c r="J90" s="504">
        <v>0.19666666666666666</v>
      </c>
      <c r="K90" s="504">
        <v>0.10000000000000002</v>
      </c>
      <c r="L90" s="504">
        <v>6.0000000000000005E-2</v>
      </c>
      <c r="M90" s="786">
        <f t="shared" si="7"/>
        <v>73816</v>
      </c>
      <c r="N90" s="502">
        <v>259.5</v>
      </c>
      <c r="O90" s="504">
        <v>0.54</v>
      </c>
      <c r="P90" s="504">
        <v>0.1</v>
      </c>
      <c r="Q90" s="504">
        <v>0.12</v>
      </c>
      <c r="R90" s="504">
        <v>0.12</v>
      </c>
      <c r="S90" s="504">
        <v>0.12</v>
      </c>
      <c r="T90" s="2"/>
      <c r="U90" s="2"/>
      <c r="V90" s="2"/>
      <c r="W90" s="2"/>
    </row>
    <row r="91" spans="2:23" ht="22" hidden="1" customHeight="1" outlineLevel="1" x14ac:dyDescent="0.2">
      <c r="B91" s="502" t="s">
        <v>1447</v>
      </c>
      <c r="C91" s="503" t="s">
        <v>1442</v>
      </c>
      <c r="D91" s="502">
        <v>78750</v>
      </c>
      <c r="E91" s="511">
        <v>7.7300000000000008E-2</v>
      </c>
      <c r="F91" s="786">
        <f t="shared" si="6"/>
        <v>6087.3750000000009</v>
      </c>
      <c r="G91" s="502" t="s">
        <v>1446</v>
      </c>
      <c r="H91" s="503">
        <v>490</v>
      </c>
      <c r="I91" s="504">
        <v>0.64333333333333331</v>
      </c>
      <c r="J91" s="504">
        <v>0.19666666666666666</v>
      </c>
      <c r="K91" s="504">
        <v>0.10000000000000002</v>
      </c>
      <c r="L91" s="504">
        <v>6.0000000000000005E-2</v>
      </c>
      <c r="M91" s="786">
        <f t="shared" si="7"/>
        <v>72662.625</v>
      </c>
      <c r="N91" s="502">
        <v>259.5</v>
      </c>
      <c r="O91" s="504">
        <v>0.54</v>
      </c>
      <c r="P91" s="504">
        <v>0.1</v>
      </c>
      <c r="Q91" s="504">
        <v>0.12</v>
      </c>
      <c r="R91" s="504">
        <v>0.12</v>
      </c>
      <c r="S91" s="504">
        <v>0.12</v>
      </c>
      <c r="T91" s="2"/>
      <c r="U91" s="2"/>
      <c r="V91" s="2"/>
      <c r="W91" s="2"/>
    </row>
    <row r="92" spans="2:23" ht="22" hidden="1" customHeight="1" outlineLevel="1" x14ac:dyDescent="0.2">
      <c r="B92" s="502" t="s">
        <v>1447</v>
      </c>
      <c r="C92" s="503" t="s">
        <v>1442</v>
      </c>
      <c r="D92" s="502">
        <v>41101</v>
      </c>
      <c r="E92" s="511">
        <v>7.7300000000000008E-2</v>
      </c>
      <c r="F92" s="786">
        <f t="shared" si="6"/>
        <v>3177.1073000000001</v>
      </c>
      <c r="G92" s="502" t="s">
        <v>1445</v>
      </c>
      <c r="H92" s="503">
        <v>1287</v>
      </c>
      <c r="I92" s="504">
        <v>0.64333333333333331</v>
      </c>
      <c r="J92" s="504">
        <v>0.19666666666666666</v>
      </c>
      <c r="K92" s="504">
        <v>0.10000000000000002</v>
      </c>
      <c r="L92" s="504">
        <v>6.0000000000000005E-2</v>
      </c>
      <c r="M92" s="786">
        <f t="shared" si="7"/>
        <v>37923.892699999997</v>
      </c>
      <c r="N92" s="502">
        <v>259.5</v>
      </c>
      <c r="O92" s="504">
        <v>0.54</v>
      </c>
      <c r="P92" s="504">
        <v>0.1</v>
      </c>
      <c r="Q92" s="504">
        <v>0.12</v>
      </c>
      <c r="R92" s="504">
        <v>0.12</v>
      </c>
      <c r="S92" s="504">
        <v>0.12</v>
      </c>
      <c r="T92" s="2"/>
      <c r="U92" s="2"/>
      <c r="V92" s="2"/>
      <c r="W92" s="2"/>
    </row>
    <row r="93" spans="2:23" ht="22" hidden="1" customHeight="1" outlineLevel="1" x14ac:dyDescent="0.2">
      <c r="B93" s="502" t="s">
        <v>1448</v>
      </c>
      <c r="C93" s="503" t="s">
        <v>1442</v>
      </c>
      <c r="D93" s="502">
        <v>18604</v>
      </c>
      <c r="E93" s="511">
        <v>2.5000000000000001E-2</v>
      </c>
      <c r="F93" s="786">
        <f t="shared" si="6"/>
        <v>465.1</v>
      </c>
      <c r="G93" s="502" t="s">
        <v>1446</v>
      </c>
      <c r="H93" s="503">
        <v>960</v>
      </c>
      <c r="I93" s="504">
        <v>0.64333333333333331</v>
      </c>
      <c r="J93" s="504">
        <v>0.19666666666666666</v>
      </c>
      <c r="K93" s="504">
        <v>0.10000000000000002</v>
      </c>
      <c r="L93" s="504">
        <v>6.0000000000000005E-2</v>
      </c>
      <c r="M93" s="786">
        <f t="shared" si="7"/>
        <v>18138.899999999998</v>
      </c>
      <c r="N93" s="502">
        <v>197</v>
      </c>
      <c r="O93" s="504">
        <v>0.76200000000000001</v>
      </c>
      <c r="P93" s="504">
        <v>0.09</v>
      </c>
      <c r="Q93" s="504">
        <v>6.9999999999999993E-2</v>
      </c>
      <c r="R93" s="504">
        <v>6.0000000000000012E-2</v>
      </c>
      <c r="S93" s="504">
        <v>1.6E-2</v>
      </c>
      <c r="T93" s="2"/>
      <c r="U93" s="2"/>
      <c r="V93" s="2"/>
      <c r="W93" s="2"/>
    </row>
    <row r="94" spans="2:23" ht="22" hidden="1" customHeight="1" outlineLevel="1" x14ac:dyDescent="0.2">
      <c r="B94" s="502" t="s">
        <v>1448</v>
      </c>
      <c r="C94" s="503" t="s">
        <v>1442</v>
      </c>
      <c r="D94" s="502">
        <v>11000</v>
      </c>
      <c r="E94" s="511">
        <v>2.5000000000000001E-2</v>
      </c>
      <c r="F94" s="786">
        <f t="shared" si="6"/>
        <v>275</v>
      </c>
      <c r="G94" s="502" t="s">
        <v>1446</v>
      </c>
      <c r="H94" s="503">
        <v>922</v>
      </c>
      <c r="I94" s="504">
        <v>0.64333333333333331</v>
      </c>
      <c r="J94" s="504">
        <v>0.19666666666666666</v>
      </c>
      <c r="K94" s="504">
        <v>0.10000000000000002</v>
      </c>
      <c r="L94" s="504">
        <v>6.0000000000000005E-2</v>
      </c>
      <c r="M94" s="786">
        <f t="shared" si="7"/>
        <v>10725</v>
      </c>
      <c r="N94" s="502">
        <v>197</v>
      </c>
      <c r="O94" s="504">
        <v>0.76200000000000001</v>
      </c>
      <c r="P94" s="504">
        <v>0.09</v>
      </c>
      <c r="Q94" s="504">
        <v>6.9999999999999993E-2</v>
      </c>
      <c r="R94" s="504">
        <v>6.0000000000000012E-2</v>
      </c>
      <c r="S94" s="504">
        <v>1.6E-2</v>
      </c>
      <c r="T94" s="2"/>
      <c r="U94" s="2"/>
      <c r="V94" s="2"/>
      <c r="W94" s="2"/>
    </row>
    <row r="95" spans="2:23" ht="22" hidden="1" customHeight="1" outlineLevel="1" x14ac:dyDescent="0.2">
      <c r="B95" s="502" t="s">
        <v>1449</v>
      </c>
      <c r="C95" s="503" t="s">
        <v>1442</v>
      </c>
      <c r="D95" s="502">
        <v>17596.849999999999</v>
      </c>
      <c r="E95" s="511">
        <v>4.0400000000000005E-2</v>
      </c>
      <c r="F95" s="786">
        <f t="shared" si="6"/>
        <v>710.91273999999999</v>
      </c>
      <c r="G95" s="502" t="s">
        <v>1446</v>
      </c>
      <c r="H95" s="503">
        <v>870</v>
      </c>
      <c r="I95" s="504">
        <v>0.64333333333333331</v>
      </c>
      <c r="J95" s="504">
        <v>0.19666666666666666</v>
      </c>
      <c r="K95" s="504">
        <v>0.10000000000000002</v>
      </c>
      <c r="L95" s="504">
        <v>6.0000000000000005E-2</v>
      </c>
      <c r="M95" s="786">
        <f t="shared" si="7"/>
        <v>16885.937259999999</v>
      </c>
      <c r="N95" s="502">
        <v>42</v>
      </c>
      <c r="O95" s="504">
        <v>0.76200000000000001</v>
      </c>
      <c r="P95" s="504">
        <v>0.09</v>
      </c>
      <c r="Q95" s="504">
        <v>6.9999999999999993E-2</v>
      </c>
      <c r="R95" s="504">
        <v>6.0000000000000012E-2</v>
      </c>
      <c r="S95" s="504">
        <v>1.6E-2</v>
      </c>
      <c r="T95" s="2"/>
      <c r="U95" s="2"/>
      <c r="V95" s="2"/>
      <c r="W95" s="2"/>
    </row>
    <row r="96" spans="2:23" ht="22" hidden="1" customHeight="1" outlineLevel="1" x14ac:dyDescent="0.2">
      <c r="B96" s="502" t="s">
        <v>1449</v>
      </c>
      <c r="C96" s="503" t="s">
        <v>1442</v>
      </c>
      <c r="D96" s="502">
        <v>46151</v>
      </c>
      <c r="E96" s="511">
        <v>4.0400000000000005E-2</v>
      </c>
      <c r="F96" s="786">
        <f t="shared" si="6"/>
        <v>1864.5004000000004</v>
      </c>
      <c r="G96" s="502" t="s">
        <v>1446</v>
      </c>
      <c r="H96" s="503">
        <v>585</v>
      </c>
      <c r="I96" s="504">
        <v>0.64333333333333331</v>
      </c>
      <c r="J96" s="504">
        <v>0.19666666666666666</v>
      </c>
      <c r="K96" s="504">
        <v>0.10000000000000002</v>
      </c>
      <c r="L96" s="504">
        <v>6.0000000000000005E-2</v>
      </c>
      <c r="M96" s="786">
        <f t="shared" si="7"/>
        <v>44286.499600000003</v>
      </c>
      <c r="N96" s="502">
        <v>42</v>
      </c>
      <c r="O96" s="504">
        <v>0.54</v>
      </c>
      <c r="P96" s="504">
        <v>0.1</v>
      </c>
      <c r="Q96" s="504">
        <v>0.12</v>
      </c>
      <c r="R96" s="504">
        <v>0.12</v>
      </c>
      <c r="S96" s="504">
        <v>0.12</v>
      </c>
      <c r="T96" s="2"/>
      <c r="U96" s="2"/>
      <c r="V96" s="2"/>
      <c r="W96" s="2"/>
    </row>
    <row r="97" spans="2:23" ht="22" hidden="1" customHeight="1" outlineLevel="1" x14ac:dyDescent="0.2">
      <c r="B97" s="502" t="s">
        <v>1449</v>
      </c>
      <c r="C97" s="503" t="s">
        <v>1442</v>
      </c>
      <c r="D97" s="502">
        <v>64020.5</v>
      </c>
      <c r="E97" s="511">
        <v>4.0400000000000005E-2</v>
      </c>
      <c r="F97" s="786">
        <f t="shared" si="6"/>
        <v>2586.4282000000003</v>
      </c>
      <c r="G97" s="502" t="s">
        <v>1446</v>
      </c>
      <c r="H97" s="503">
        <v>799</v>
      </c>
      <c r="I97" s="504">
        <v>0.64333333333333331</v>
      </c>
      <c r="J97" s="504">
        <v>0.19666666666666666</v>
      </c>
      <c r="K97" s="504">
        <v>0.10000000000000002</v>
      </c>
      <c r="L97" s="504">
        <v>6.0000000000000005E-2</v>
      </c>
      <c r="M97" s="786">
        <f t="shared" si="7"/>
        <v>61434.071799999998</v>
      </c>
      <c r="N97" s="502">
        <v>42</v>
      </c>
      <c r="O97" s="504">
        <v>0.76200000000000001</v>
      </c>
      <c r="P97" s="504">
        <v>0.09</v>
      </c>
      <c r="Q97" s="504">
        <v>6.9999999999999993E-2</v>
      </c>
      <c r="R97" s="504">
        <v>6.0000000000000012E-2</v>
      </c>
      <c r="S97" s="504">
        <v>1.6E-2</v>
      </c>
      <c r="T97" s="2"/>
      <c r="U97" s="2"/>
      <c r="V97" s="2"/>
      <c r="W97" s="2"/>
    </row>
    <row r="98" spans="2:23" ht="22" hidden="1" customHeight="1" outlineLevel="1" x14ac:dyDescent="0.2">
      <c r="B98" s="502" t="s">
        <v>1449</v>
      </c>
      <c r="C98" s="503" t="s">
        <v>1442</v>
      </c>
      <c r="D98" s="502">
        <v>64020.5</v>
      </c>
      <c r="E98" s="511">
        <v>4.0400000000000005E-2</v>
      </c>
      <c r="F98" s="786">
        <f t="shared" si="6"/>
        <v>2586.4282000000003</v>
      </c>
      <c r="G98" s="502" t="s">
        <v>1445</v>
      </c>
      <c r="H98" s="503">
        <v>1317</v>
      </c>
      <c r="I98" s="504">
        <v>0.64333333333333331</v>
      </c>
      <c r="J98" s="504">
        <v>0.19666666666666666</v>
      </c>
      <c r="K98" s="504">
        <v>0.10000000000000002</v>
      </c>
      <c r="L98" s="504">
        <v>6.0000000000000005E-2</v>
      </c>
      <c r="M98" s="786">
        <f t="shared" si="7"/>
        <v>61434.071799999998</v>
      </c>
      <c r="N98" s="502">
        <v>42</v>
      </c>
      <c r="O98" s="504">
        <v>0.76200000000000001</v>
      </c>
      <c r="P98" s="504">
        <v>0.09</v>
      </c>
      <c r="Q98" s="504">
        <v>6.9999999999999993E-2</v>
      </c>
      <c r="R98" s="504">
        <v>6.0000000000000012E-2</v>
      </c>
      <c r="S98" s="504">
        <v>1.6E-2</v>
      </c>
      <c r="T98" s="2"/>
      <c r="U98" s="2"/>
      <c r="V98" s="2"/>
      <c r="W98" s="2"/>
    </row>
    <row r="99" spans="2:23" ht="22" hidden="1" customHeight="1" outlineLevel="1" x14ac:dyDescent="0.2">
      <c r="B99" s="502" t="s">
        <v>1449</v>
      </c>
      <c r="C99" s="503" t="s">
        <v>1442</v>
      </c>
      <c r="D99" s="502">
        <v>46151</v>
      </c>
      <c r="E99" s="511">
        <v>4.0400000000000005E-2</v>
      </c>
      <c r="F99" s="786">
        <f t="shared" si="6"/>
        <v>1864.5004000000004</v>
      </c>
      <c r="G99" s="502" t="s">
        <v>1445</v>
      </c>
      <c r="H99" s="503">
        <v>1453</v>
      </c>
      <c r="I99" s="504">
        <v>0.64333333333333331</v>
      </c>
      <c r="J99" s="504">
        <v>0.19666666666666666</v>
      </c>
      <c r="K99" s="504">
        <v>0.10000000000000002</v>
      </c>
      <c r="L99" s="504">
        <v>6.0000000000000005E-2</v>
      </c>
      <c r="M99" s="786">
        <f t="shared" si="7"/>
        <v>44286.499600000003</v>
      </c>
      <c r="N99" s="502">
        <v>42</v>
      </c>
      <c r="O99" s="504">
        <v>0.54</v>
      </c>
      <c r="P99" s="504">
        <v>0.1</v>
      </c>
      <c r="Q99" s="504">
        <v>0.12</v>
      </c>
      <c r="R99" s="504">
        <v>0.12</v>
      </c>
      <c r="S99" s="504">
        <v>0.12</v>
      </c>
      <c r="T99" s="2"/>
      <c r="U99" s="2"/>
      <c r="V99" s="2"/>
      <c r="W99" s="2"/>
    </row>
    <row r="100" spans="2:23" ht="22" hidden="1" customHeight="1" outlineLevel="1" x14ac:dyDescent="0.2">
      <c r="B100" s="502" t="s">
        <v>1449</v>
      </c>
      <c r="C100" s="503" t="s">
        <v>1442</v>
      </c>
      <c r="D100" s="502">
        <v>64020.5</v>
      </c>
      <c r="E100" s="511">
        <v>4.0400000000000005E-2</v>
      </c>
      <c r="F100" s="786">
        <f t="shared" si="6"/>
        <v>2586.4282000000003</v>
      </c>
      <c r="G100" s="502" t="s">
        <v>1445</v>
      </c>
      <c r="H100" s="503">
        <v>1001</v>
      </c>
      <c r="I100" s="504">
        <v>0.64333333333333331</v>
      </c>
      <c r="J100" s="504">
        <v>0.19666666666666666</v>
      </c>
      <c r="K100" s="504">
        <v>0.10000000000000002</v>
      </c>
      <c r="L100" s="504">
        <v>6.0000000000000005E-2</v>
      </c>
      <c r="M100" s="786">
        <f t="shared" si="7"/>
        <v>61434.071799999998</v>
      </c>
      <c r="N100" s="502">
        <v>42</v>
      </c>
      <c r="O100" s="504">
        <v>0.76200000000000001</v>
      </c>
      <c r="P100" s="504">
        <v>0.09</v>
      </c>
      <c r="Q100" s="504">
        <v>6.9999999999999993E-2</v>
      </c>
      <c r="R100" s="504">
        <v>6.0000000000000012E-2</v>
      </c>
      <c r="S100" s="504">
        <v>1.6E-2</v>
      </c>
      <c r="T100" s="2"/>
      <c r="U100" s="2"/>
      <c r="V100" s="2"/>
      <c r="W100" s="2"/>
    </row>
    <row r="101" spans="2:23" ht="22" hidden="1" customHeight="1" outlineLevel="1" x14ac:dyDescent="0.2">
      <c r="B101" s="502" t="s">
        <v>1449</v>
      </c>
      <c r="C101" s="503" t="s">
        <v>1442</v>
      </c>
      <c r="D101" s="502">
        <v>48580</v>
      </c>
      <c r="E101" s="511">
        <v>4.0400000000000005E-2</v>
      </c>
      <c r="F101" s="786">
        <f t="shared" si="6"/>
        <v>1962.6320000000003</v>
      </c>
      <c r="G101" s="502" t="s">
        <v>1446</v>
      </c>
      <c r="H101" s="503">
        <v>684</v>
      </c>
      <c r="I101" s="504">
        <v>0.64333333333333331</v>
      </c>
      <c r="J101" s="504">
        <v>0.19666666666666666</v>
      </c>
      <c r="K101" s="504">
        <v>0.10000000000000002</v>
      </c>
      <c r="L101" s="504">
        <v>6.0000000000000005E-2</v>
      </c>
      <c r="M101" s="786">
        <f t="shared" si="7"/>
        <v>46617.368000000002</v>
      </c>
      <c r="N101" s="502">
        <v>42</v>
      </c>
      <c r="O101" s="504">
        <v>0.54</v>
      </c>
      <c r="P101" s="504">
        <v>0.1</v>
      </c>
      <c r="Q101" s="504">
        <v>0.12</v>
      </c>
      <c r="R101" s="504">
        <v>0.12</v>
      </c>
      <c r="S101" s="504">
        <v>0.12</v>
      </c>
      <c r="T101" s="2"/>
      <c r="U101" s="2"/>
      <c r="V101" s="2"/>
      <c r="W101" s="2"/>
    </row>
    <row r="102" spans="2:23" ht="22" hidden="1" customHeight="1" outlineLevel="1" x14ac:dyDescent="0.2">
      <c r="B102" s="502" t="s">
        <v>1450</v>
      </c>
      <c r="C102" s="503" t="s">
        <v>1442</v>
      </c>
      <c r="D102" s="502">
        <v>11000</v>
      </c>
      <c r="E102" s="511">
        <v>4.0400000000000005E-2</v>
      </c>
      <c r="F102" s="786">
        <f t="shared" si="6"/>
        <v>444.40000000000003</v>
      </c>
      <c r="G102" s="504" t="s">
        <v>1445</v>
      </c>
      <c r="H102" s="513">
        <v>1171</v>
      </c>
      <c r="I102" s="504">
        <v>0.64333333333333331</v>
      </c>
      <c r="J102" s="504">
        <v>0.19666666666666666</v>
      </c>
      <c r="K102" s="504">
        <v>0.10000000000000002</v>
      </c>
      <c r="L102" s="504">
        <v>6.0000000000000005E-2</v>
      </c>
      <c r="M102" s="786">
        <f t="shared" si="7"/>
        <v>10555.6</v>
      </c>
      <c r="N102" s="76">
        <v>42</v>
      </c>
      <c r="O102" s="504">
        <v>0.54</v>
      </c>
      <c r="P102" s="504">
        <v>0.1</v>
      </c>
      <c r="Q102" s="504">
        <v>0.12</v>
      </c>
      <c r="R102" s="504">
        <v>0.12</v>
      </c>
      <c r="S102" s="504">
        <v>0.12</v>
      </c>
      <c r="T102" s="2"/>
      <c r="U102" s="2"/>
      <c r="V102" s="2"/>
      <c r="W102" s="2"/>
    </row>
    <row r="103" spans="2:23" ht="22" hidden="1" customHeight="1" outlineLevel="1" x14ac:dyDescent="0.2">
      <c r="B103" s="502" t="s">
        <v>1450</v>
      </c>
      <c r="C103" s="503" t="s">
        <v>1442</v>
      </c>
      <c r="D103" s="502">
        <v>11000</v>
      </c>
      <c r="E103" s="511">
        <v>4.0400000000000005E-2</v>
      </c>
      <c r="F103" s="786">
        <f t="shared" si="6"/>
        <v>444.40000000000003</v>
      </c>
      <c r="G103" s="504" t="s">
        <v>1446</v>
      </c>
      <c r="H103" s="513">
        <v>345</v>
      </c>
      <c r="I103" s="504">
        <v>0.64333333333333331</v>
      </c>
      <c r="J103" s="504">
        <v>0.19666666666666666</v>
      </c>
      <c r="K103" s="504">
        <v>0.10000000000000002</v>
      </c>
      <c r="L103" s="504">
        <v>6.0000000000000005E-2</v>
      </c>
      <c r="M103" s="786">
        <f t="shared" si="7"/>
        <v>10555.6</v>
      </c>
      <c r="N103" s="76">
        <v>42</v>
      </c>
      <c r="O103" s="504">
        <v>0.54</v>
      </c>
      <c r="P103" s="504">
        <v>0.1</v>
      </c>
      <c r="Q103" s="504">
        <v>0.12</v>
      </c>
      <c r="R103" s="504">
        <v>0.12</v>
      </c>
      <c r="S103" s="504">
        <v>0.12</v>
      </c>
      <c r="T103" s="2"/>
      <c r="U103" s="2"/>
      <c r="V103" s="2"/>
      <c r="W103" s="2"/>
    </row>
    <row r="104" spans="2:23" ht="22" hidden="1" customHeight="1" outlineLevel="1" x14ac:dyDescent="0.2">
      <c r="B104" s="502" t="s">
        <v>1450</v>
      </c>
      <c r="C104" s="503" t="s">
        <v>1442</v>
      </c>
      <c r="D104" s="502">
        <v>11000</v>
      </c>
      <c r="E104" s="511">
        <v>4.0400000000000005E-2</v>
      </c>
      <c r="F104" s="786">
        <f t="shared" si="6"/>
        <v>444.40000000000003</v>
      </c>
      <c r="G104" s="504" t="s">
        <v>1446</v>
      </c>
      <c r="H104" s="513">
        <v>735</v>
      </c>
      <c r="I104" s="504">
        <v>0.64333333333333331</v>
      </c>
      <c r="J104" s="504">
        <v>0.19666666666666666</v>
      </c>
      <c r="K104" s="504">
        <v>0.10000000000000002</v>
      </c>
      <c r="L104" s="504">
        <v>6.0000000000000005E-2</v>
      </c>
      <c r="M104" s="786">
        <f t="shared" si="7"/>
        <v>10555.6</v>
      </c>
      <c r="N104" s="76">
        <v>42</v>
      </c>
      <c r="O104" s="504">
        <v>0.76200000000000001</v>
      </c>
      <c r="P104" s="504">
        <v>0.09</v>
      </c>
      <c r="Q104" s="504">
        <v>6.9999999999999993E-2</v>
      </c>
      <c r="R104" s="504">
        <v>6.0000000000000012E-2</v>
      </c>
      <c r="S104" s="504">
        <v>1.6E-2</v>
      </c>
      <c r="T104" s="2"/>
      <c r="U104" s="2"/>
      <c r="V104" s="2"/>
      <c r="W104" s="2"/>
    </row>
    <row r="105" spans="2:23" ht="22" hidden="1" customHeight="1" outlineLevel="1" x14ac:dyDescent="0.2">
      <c r="B105" s="502" t="s">
        <v>1450</v>
      </c>
      <c r="C105" s="503" t="s">
        <v>1442</v>
      </c>
      <c r="D105" s="502">
        <v>11000</v>
      </c>
      <c r="E105" s="511">
        <v>4.0400000000000005E-2</v>
      </c>
      <c r="F105" s="786">
        <f t="shared" si="6"/>
        <v>444.40000000000003</v>
      </c>
      <c r="G105" s="504" t="s">
        <v>1445</v>
      </c>
      <c r="H105" s="513">
        <v>1531</v>
      </c>
      <c r="I105" s="504">
        <v>0.64333333333333331</v>
      </c>
      <c r="J105" s="504">
        <v>0.19666666666666666</v>
      </c>
      <c r="K105" s="504">
        <v>0.10000000000000002</v>
      </c>
      <c r="L105" s="504">
        <v>6.0000000000000005E-2</v>
      </c>
      <c r="M105" s="786">
        <f t="shared" si="7"/>
        <v>10555.6</v>
      </c>
      <c r="N105" s="76">
        <v>42</v>
      </c>
      <c r="O105" s="504">
        <v>0.54</v>
      </c>
      <c r="P105" s="504">
        <v>0.1</v>
      </c>
      <c r="Q105" s="504">
        <v>0.12</v>
      </c>
      <c r="R105" s="504">
        <v>0.12</v>
      </c>
      <c r="S105" s="504">
        <v>0.12</v>
      </c>
      <c r="T105" s="2"/>
      <c r="U105" s="2"/>
      <c r="V105" s="2"/>
      <c r="W105" s="2"/>
    </row>
    <row r="106" spans="2:23" ht="22" hidden="1" customHeight="1" outlineLevel="1" x14ac:dyDescent="0.2">
      <c r="B106" s="502" t="s">
        <v>1450</v>
      </c>
      <c r="C106" s="503" t="s">
        <v>1442</v>
      </c>
      <c r="D106" s="502">
        <v>11000</v>
      </c>
      <c r="E106" s="511">
        <v>4.0400000000000005E-2</v>
      </c>
      <c r="F106" s="786">
        <f t="shared" si="6"/>
        <v>444.40000000000003</v>
      </c>
      <c r="G106" s="504" t="s">
        <v>1446</v>
      </c>
      <c r="H106" s="513">
        <v>341</v>
      </c>
      <c r="I106" s="504">
        <v>0.64333333333333331</v>
      </c>
      <c r="J106" s="504">
        <v>0.19666666666666666</v>
      </c>
      <c r="K106" s="504">
        <v>0.10000000000000002</v>
      </c>
      <c r="L106" s="504">
        <v>6.0000000000000005E-2</v>
      </c>
      <c r="M106" s="786">
        <f t="shared" si="7"/>
        <v>10555.6</v>
      </c>
      <c r="N106" s="76">
        <v>42</v>
      </c>
      <c r="O106" s="504">
        <v>0.76200000000000001</v>
      </c>
      <c r="P106" s="504">
        <v>0.09</v>
      </c>
      <c r="Q106" s="504">
        <v>6.9999999999999993E-2</v>
      </c>
      <c r="R106" s="504">
        <v>6.0000000000000012E-2</v>
      </c>
      <c r="S106" s="504">
        <v>1.6E-2</v>
      </c>
      <c r="T106" s="2"/>
      <c r="U106" s="2"/>
      <c r="V106" s="2"/>
      <c r="W106" s="2"/>
    </row>
    <row r="107" spans="2:23" ht="22" hidden="1" customHeight="1" outlineLevel="1" x14ac:dyDescent="0.2">
      <c r="B107" s="502" t="s">
        <v>1450</v>
      </c>
      <c r="C107" s="503" t="s">
        <v>1442</v>
      </c>
      <c r="D107" s="502">
        <v>11000</v>
      </c>
      <c r="E107" s="511">
        <v>4.0400000000000005E-2</v>
      </c>
      <c r="F107" s="786">
        <f t="shared" si="6"/>
        <v>444.40000000000003</v>
      </c>
      <c r="G107" s="504" t="s">
        <v>1445</v>
      </c>
      <c r="H107" s="513">
        <v>1052</v>
      </c>
      <c r="I107" s="504">
        <v>0.64333333333333331</v>
      </c>
      <c r="J107" s="504">
        <v>0.19666666666666666</v>
      </c>
      <c r="K107" s="504">
        <v>0.10000000000000002</v>
      </c>
      <c r="L107" s="504">
        <v>6.0000000000000005E-2</v>
      </c>
      <c r="M107" s="786">
        <f t="shared" si="7"/>
        <v>10555.6</v>
      </c>
      <c r="N107" s="76">
        <v>42</v>
      </c>
      <c r="O107" s="504">
        <v>0.54</v>
      </c>
      <c r="P107" s="504">
        <v>0.1</v>
      </c>
      <c r="Q107" s="504">
        <v>0.12</v>
      </c>
      <c r="R107" s="504">
        <v>0.12</v>
      </c>
      <c r="S107" s="504">
        <v>0.12</v>
      </c>
      <c r="T107" s="2"/>
      <c r="U107" s="2"/>
      <c r="V107" s="2"/>
      <c r="W107" s="2"/>
    </row>
    <row r="108" spans="2:23" ht="22" hidden="1" customHeight="1" outlineLevel="1" x14ac:dyDescent="0.2">
      <c r="B108" s="502" t="s">
        <v>1450</v>
      </c>
      <c r="C108" s="503" t="s">
        <v>1442</v>
      </c>
      <c r="D108" s="502">
        <v>11000</v>
      </c>
      <c r="E108" s="511">
        <v>4.0400000000000005E-2</v>
      </c>
      <c r="F108" s="786">
        <f t="shared" si="6"/>
        <v>444.40000000000003</v>
      </c>
      <c r="G108" s="504" t="s">
        <v>1446</v>
      </c>
      <c r="H108" s="513">
        <v>235</v>
      </c>
      <c r="I108" s="504">
        <v>0.64333333333333331</v>
      </c>
      <c r="J108" s="504">
        <v>0.19666666666666666</v>
      </c>
      <c r="K108" s="504">
        <v>0.10000000000000002</v>
      </c>
      <c r="L108" s="504">
        <v>6.0000000000000005E-2</v>
      </c>
      <c r="M108" s="786">
        <f t="shared" si="7"/>
        <v>10555.6</v>
      </c>
      <c r="N108" s="76">
        <v>42</v>
      </c>
      <c r="O108" s="504">
        <v>0.76200000000000001</v>
      </c>
      <c r="P108" s="504">
        <v>0.09</v>
      </c>
      <c r="Q108" s="504">
        <v>6.9999999999999993E-2</v>
      </c>
      <c r="R108" s="504">
        <v>6.0000000000000012E-2</v>
      </c>
      <c r="S108" s="504">
        <v>1.6E-2</v>
      </c>
      <c r="T108" s="2"/>
      <c r="U108" s="2"/>
      <c r="V108" s="2"/>
      <c r="W108" s="2"/>
    </row>
    <row r="109" spans="2:23" ht="22" hidden="1" customHeight="1" outlineLevel="1" x14ac:dyDescent="0.2">
      <c r="B109" s="502" t="s">
        <v>1450</v>
      </c>
      <c r="C109" s="503" t="s">
        <v>1442</v>
      </c>
      <c r="D109" s="502">
        <v>11000</v>
      </c>
      <c r="E109" s="511">
        <v>4.0400000000000005E-2</v>
      </c>
      <c r="F109" s="786">
        <f t="shared" si="6"/>
        <v>444.40000000000003</v>
      </c>
      <c r="G109" s="504" t="s">
        <v>1446</v>
      </c>
      <c r="H109" s="513">
        <v>735</v>
      </c>
      <c r="I109" s="504">
        <v>0.64333333333333331</v>
      </c>
      <c r="J109" s="504">
        <v>0.19666666666666666</v>
      </c>
      <c r="K109" s="504">
        <v>0.10000000000000002</v>
      </c>
      <c r="L109" s="504">
        <v>6.0000000000000005E-2</v>
      </c>
      <c r="M109" s="786">
        <f t="shared" si="7"/>
        <v>10555.6</v>
      </c>
      <c r="N109" s="76">
        <v>42</v>
      </c>
      <c r="O109" s="504">
        <v>0.76200000000000001</v>
      </c>
      <c r="P109" s="504">
        <v>0.09</v>
      </c>
      <c r="Q109" s="504">
        <v>6.9999999999999993E-2</v>
      </c>
      <c r="R109" s="504">
        <v>6.0000000000000012E-2</v>
      </c>
      <c r="S109" s="504">
        <v>1.6E-2</v>
      </c>
      <c r="T109" s="2"/>
      <c r="U109" s="2"/>
      <c r="V109" s="2"/>
      <c r="W109" s="2"/>
    </row>
    <row r="110" spans="2:23" ht="22" hidden="1" customHeight="1" outlineLevel="1" x14ac:dyDescent="0.2">
      <c r="B110" s="502" t="s">
        <v>1450</v>
      </c>
      <c r="C110" s="503" t="s">
        <v>1442</v>
      </c>
      <c r="D110" s="502">
        <v>11000</v>
      </c>
      <c r="E110" s="511">
        <v>4.0400000000000005E-2</v>
      </c>
      <c r="F110" s="786">
        <f t="shared" si="6"/>
        <v>444.40000000000003</v>
      </c>
      <c r="G110" s="504" t="s">
        <v>1446</v>
      </c>
      <c r="H110" s="513">
        <v>714</v>
      </c>
      <c r="I110" s="504">
        <v>0.64333333333333331</v>
      </c>
      <c r="J110" s="504">
        <v>0.19666666666666666</v>
      </c>
      <c r="K110" s="504">
        <v>0.10000000000000002</v>
      </c>
      <c r="L110" s="504">
        <v>6.0000000000000005E-2</v>
      </c>
      <c r="M110" s="786">
        <f t="shared" si="7"/>
        <v>10555.6</v>
      </c>
      <c r="N110" s="76">
        <v>42</v>
      </c>
      <c r="O110" s="504">
        <v>0.54</v>
      </c>
      <c r="P110" s="504">
        <v>0.1</v>
      </c>
      <c r="Q110" s="504">
        <v>0.12</v>
      </c>
      <c r="R110" s="504">
        <v>0.12</v>
      </c>
      <c r="S110" s="504">
        <v>0.12</v>
      </c>
      <c r="T110" s="2"/>
      <c r="U110" s="2"/>
      <c r="V110" s="2"/>
      <c r="W110" s="2"/>
    </row>
    <row r="111" spans="2:23" ht="22" hidden="1" customHeight="1" outlineLevel="1" x14ac:dyDescent="0.2">
      <c r="B111" s="76" t="s">
        <v>1451</v>
      </c>
      <c r="C111" s="76" t="s">
        <v>1442</v>
      </c>
      <c r="D111" s="516">
        <v>31788</v>
      </c>
      <c r="E111" s="511">
        <v>4.0400000000000005E-2</v>
      </c>
      <c r="F111" s="786">
        <f t="shared" si="6"/>
        <v>1284.2352000000001</v>
      </c>
      <c r="G111" s="504" t="s">
        <v>1445</v>
      </c>
      <c r="H111" s="513">
        <v>2291</v>
      </c>
      <c r="I111" s="504">
        <v>0.64333333333333331</v>
      </c>
      <c r="J111" s="504">
        <v>0.19666666666666666</v>
      </c>
      <c r="K111" s="504">
        <v>0.10000000000000002</v>
      </c>
      <c r="L111" s="504">
        <v>6.0000000000000005E-2</v>
      </c>
      <c r="M111" s="786">
        <f t="shared" si="7"/>
        <v>30503.764800000001</v>
      </c>
      <c r="N111" s="76">
        <v>42</v>
      </c>
      <c r="O111" s="504">
        <v>0.76200000000000001</v>
      </c>
      <c r="P111" s="504">
        <v>0.09</v>
      </c>
      <c r="Q111" s="504">
        <v>6.9999999999999993E-2</v>
      </c>
      <c r="R111" s="504">
        <v>6.0000000000000012E-2</v>
      </c>
      <c r="S111" s="504">
        <v>1.6E-2</v>
      </c>
      <c r="T111" s="2"/>
      <c r="U111" s="2"/>
      <c r="V111" s="2"/>
      <c r="W111" s="2"/>
    </row>
    <row r="112" spans="2:23" ht="22" hidden="1" customHeight="1" outlineLevel="1" x14ac:dyDescent="0.2">
      <c r="B112" s="76" t="s">
        <v>1451</v>
      </c>
      <c r="C112" s="76" t="s">
        <v>1442</v>
      </c>
      <c r="D112" s="516">
        <v>16670.7</v>
      </c>
      <c r="E112" s="511">
        <v>4.0400000000000005E-2</v>
      </c>
      <c r="F112" s="786">
        <f t="shared" si="6"/>
        <v>673.49628000000007</v>
      </c>
      <c r="G112" s="504" t="s">
        <v>1446</v>
      </c>
      <c r="H112" s="513">
        <v>995</v>
      </c>
      <c r="I112" s="504">
        <v>0.64333333333333331</v>
      </c>
      <c r="J112" s="504">
        <v>0.19666666666666666</v>
      </c>
      <c r="K112" s="504">
        <v>0.10000000000000002</v>
      </c>
      <c r="L112" s="504">
        <v>6.0000000000000005E-2</v>
      </c>
      <c r="M112" s="786">
        <f t="shared" si="7"/>
        <v>15997.203720000001</v>
      </c>
      <c r="N112" s="76">
        <v>42</v>
      </c>
      <c r="O112" s="504">
        <v>0.76200000000000001</v>
      </c>
      <c r="P112" s="504">
        <v>0.09</v>
      </c>
      <c r="Q112" s="504">
        <v>6.9999999999999993E-2</v>
      </c>
      <c r="R112" s="504">
        <v>6.0000000000000012E-2</v>
      </c>
      <c r="S112" s="504">
        <v>1.6E-2</v>
      </c>
      <c r="T112" s="2"/>
      <c r="U112" s="2"/>
      <c r="V112" s="2"/>
      <c r="W112" s="2"/>
    </row>
    <row r="113" spans="2:23" ht="22" hidden="1" customHeight="1" outlineLevel="1" x14ac:dyDescent="0.2">
      <c r="B113" s="76" t="s">
        <v>1451</v>
      </c>
      <c r="C113" s="76" t="s">
        <v>1442</v>
      </c>
      <c r="D113" s="516">
        <v>26800.2</v>
      </c>
      <c r="E113" s="511">
        <v>4.0400000000000005E-2</v>
      </c>
      <c r="F113" s="786">
        <f t="shared" si="6"/>
        <v>1082.7280800000001</v>
      </c>
      <c r="G113" s="504" t="s">
        <v>1445</v>
      </c>
      <c r="H113" s="513">
        <v>2330</v>
      </c>
      <c r="I113" s="504">
        <v>0.64333333333333331</v>
      </c>
      <c r="J113" s="504">
        <v>0.19666666666666666</v>
      </c>
      <c r="K113" s="504">
        <v>0.10000000000000002</v>
      </c>
      <c r="L113" s="504">
        <v>6.0000000000000005E-2</v>
      </c>
      <c r="M113" s="786">
        <f t="shared" si="7"/>
        <v>25717.47192</v>
      </c>
      <c r="N113" s="76">
        <v>42</v>
      </c>
      <c r="O113" s="504">
        <v>0.76200000000000001</v>
      </c>
      <c r="P113" s="504">
        <v>0.09</v>
      </c>
      <c r="Q113" s="504">
        <v>6.9999999999999993E-2</v>
      </c>
      <c r="R113" s="504">
        <v>6.0000000000000012E-2</v>
      </c>
      <c r="S113" s="504">
        <v>1.6E-2</v>
      </c>
      <c r="T113" s="2"/>
      <c r="U113" s="2"/>
      <c r="V113" s="2"/>
      <c r="W113" s="2"/>
    </row>
    <row r="114" spans="2:23" ht="22" hidden="1" customHeight="1" outlineLevel="1" x14ac:dyDescent="0.2">
      <c r="B114" s="76" t="s">
        <v>1451</v>
      </c>
      <c r="C114" s="76" t="s">
        <v>1442</v>
      </c>
      <c r="D114" s="516">
        <v>31788</v>
      </c>
      <c r="E114" s="511">
        <v>4.0400000000000005E-2</v>
      </c>
      <c r="F114" s="786">
        <f t="shared" si="6"/>
        <v>1284.2352000000001</v>
      </c>
      <c r="G114" s="504" t="s">
        <v>1446</v>
      </c>
      <c r="H114" s="513">
        <v>710</v>
      </c>
      <c r="I114" s="504">
        <v>0.64333333333333331</v>
      </c>
      <c r="J114" s="504">
        <v>0.19666666666666666</v>
      </c>
      <c r="K114" s="504">
        <v>0.10000000000000002</v>
      </c>
      <c r="L114" s="504">
        <v>6.0000000000000005E-2</v>
      </c>
      <c r="M114" s="786">
        <f t="shared" si="7"/>
        <v>30503.764800000001</v>
      </c>
      <c r="N114" s="76">
        <v>42</v>
      </c>
      <c r="O114" s="504">
        <v>0.76200000000000001</v>
      </c>
      <c r="P114" s="504">
        <v>0.09</v>
      </c>
      <c r="Q114" s="504">
        <v>6.9999999999999993E-2</v>
      </c>
      <c r="R114" s="504">
        <v>6.0000000000000012E-2</v>
      </c>
      <c r="S114" s="504">
        <v>1.6E-2</v>
      </c>
      <c r="T114" s="2"/>
      <c r="U114" s="2"/>
      <c r="V114" s="2"/>
      <c r="W114" s="2"/>
    </row>
    <row r="115" spans="2:23" ht="22" hidden="1" customHeight="1" outlineLevel="1" x14ac:dyDescent="0.2">
      <c r="B115" s="76" t="s">
        <v>1451</v>
      </c>
      <c r="C115" s="76" t="s">
        <v>1442</v>
      </c>
      <c r="D115" s="516">
        <v>26800.2</v>
      </c>
      <c r="E115" s="511">
        <v>4.0400000000000005E-2</v>
      </c>
      <c r="F115" s="786">
        <f t="shared" si="6"/>
        <v>1082.7280800000001</v>
      </c>
      <c r="G115" s="504" t="s">
        <v>1445</v>
      </c>
      <c r="H115" s="513">
        <v>3246</v>
      </c>
      <c r="I115" s="504">
        <v>0.64333333333333331</v>
      </c>
      <c r="J115" s="504">
        <v>0.19666666666666666</v>
      </c>
      <c r="K115" s="504">
        <v>0.10000000000000002</v>
      </c>
      <c r="L115" s="504">
        <v>6.0000000000000005E-2</v>
      </c>
      <c r="M115" s="786">
        <f t="shared" si="7"/>
        <v>25717.47192</v>
      </c>
      <c r="N115" s="76">
        <v>42</v>
      </c>
      <c r="O115" s="504">
        <v>0.76200000000000001</v>
      </c>
      <c r="P115" s="504">
        <v>0.09</v>
      </c>
      <c r="Q115" s="504">
        <v>6.9999999999999993E-2</v>
      </c>
      <c r="R115" s="504">
        <v>6.0000000000000012E-2</v>
      </c>
      <c r="S115" s="504">
        <v>1.6E-2</v>
      </c>
      <c r="T115" s="2"/>
      <c r="U115" s="2"/>
      <c r="V115" s="2"/>
      <c r="W115" s="2"/>
    </row>
    <row r="116" spans="2:23" ht="22" hidden="1" customHeight="1" outlineLevel="1" x14ac:dyDescent="0.2">
      <c r="B116" s="76" t="s">
        <v>1451</v>
      </c>
      <c r="C116" s="76" t="s">
        <v>1442</v>
      </c>
      <c r="D116" s="516">
        <v>16670.7</v>
      </c>
      <c r="E116" s="511">
        <v>4.0400000000000005E-2</v>
      </c>
      <c r="F116" s="786">
        <f t="shared" ref="F116:F147" si="8">E116*D116</f>
        <v>673.49628000000007</v>
      </c>
      <c r="G116" s="504" t="s">
        <v>1445</v>
      </c>
      <c r="H116" s="513">
        <v>1044</v>
      </c>
      <c r="I116" s="504">
        <v>0.64333333333333331</v>
      </c>
      <c r="J116" s="504">
        <v>0.19666666666666666</v>
      </c>
      <c r="K116" s="504">
        <v>0.10000000000000002</v>
      </c>
      <c r="L116" s="504">
        <v>6.0000000000000005E-2</v>
      </c>
      <c r="M116" s="786">
        <f t="shared" ref="M116:M147" si="9">D116*(1-E116)</f>
        <v>15997.203720000001</v>
      </c>
      <c r="N116" s="76">
        <v>42</v>
      </c>
      <c r="O116" s="504">
        <v>0.76200000000000001</v>
      </c>
      <c r="P116" s="504">
        <v>0.09</v>
      </c>
      <c r="Q116" s="504">
        <v>6.9999999999999993E-2</v>
      </c>
      <c r="R116" s="504">
        <v>6.0000000000000012E-2</v>
      </c>
      <c r="S116" s="504">
        <v>1.6E-2</v>
      </c>
      <c r="T116" s="2"/>
      <c r="U116" s="2"/>
      <c r="V116" s="2"/>
      <c r="W116" s="2"/>
    </row>
    <row r="117" spans="2:23" ht="22" hidden="1" customHeight="1" outlineLevel="1" x14ac:dyDescent="0.2">
      <c r="B117" s="76" t="s">
        <v>1451</v>
      </c>
      <c r="C117" s="76" t="s">
        <v>1442</v>
      </c>
      <c r="D117" s="516">
        <v>17596.849999999999</v>
      </c>
      <c r="E117" s="511">
        <v>4.0400000000000005E-2</v>
      </c>
      <c r="F117" s="786">
        <f t="shared" si="8"/>
        <v>710.91273999999999</v>
      </c>
      <c r="G117" s="504" t="s">
        <v>1446</v>
      </c>
      <c r="H117" s="513">
        <v>812</v>
      </c>
      <c r="I117" s="504">
        <v>0.64333333333333331</v>
      </c>
      <c r="J117" s="504">
        <v>0.19666666666666666</v>
      </c>
      <c r="K117" s="504">
        <v>0.10000000000000002</v>
      </c>
      <c r="L117" s="504">
        <v>6.0000000000000005E-2</v>
      </c>
      <c r="M117" s="786">
        <f t="shared" si="9"/>
        <v>16885.937259999999</v>
      </c>
      <c r="N117" s="76">
        <v>42</v>
      </c>
      <c r="O117" s="504">
        <v>0.76200000000000001</v>
      </c>
      <c r="P117" s="504">
        <v>0.09</v>
      </c>
      <c r="Q117" s="504">
        <v>6.9999999999999993E-2</v>
      </c>
      <c r="R117" s="504">
        <v>6.0000000000000012E-2</v>
      </c>
      <c r="S117" s="504">
        <v>1.6E-2</v>
      </c>
      <c r="T117" s="2"/>
      <c r="U117" s="2"/>
      <c r="V117" s="2"/>
      <c r="W117" s="2"/>
    </row>
    <row r="118" spans="2:23" ht="22" hidden="1" customHeight="1" outlineLevel="1" x14ac:dyDescent="0.2">
      <c r="B118" s="76" t="s">
        <v>1451</v>
      </c>
      <c r="C118" s="76" t="s">
        <v>1442</v>
      </c>
      <c r="D118" s="516">
        <v>28289.1</v>
      </c>
      <c r="E118" s="511">
        <v>4.0400000000000005E-2</v>
      </c>
      <c r="F118" s="786">
        <f t="shared" si="8"/>
        <v>1142.8796400000001</v>
      </c>
      <c r="G118" s="504" t="s">
        <v>1445</v>
      </c>
      <c r="H118" s="513">
        <v>2903</v>
      </c>
      <c r="I118" s="504">
        <v>0.64333333333333331</v>
      </c>
      <c r="J118" s="504">
        <v>0.19666666666666666</v>
      </c>
      <c r="K118" s="504">
        <v>0.10000000000000002</v>
      </c>
      <c r="L118" s="504">
        <v>6.0000000000000005E-2</v>
      </c>
      <c r="M118" s="786">
        <f t="shared" si="9"/>
        <v>27146.220359999999</v>
      </c>
      <c r="N118" s="76">
        <v>42</v>
      </c>
      <c r="O118" s="504">
        <v>0.76200000000000001</v>
      </c>
      <c r="P118" s="504">
        <v>0.09</v>
      </c>
      <c r="Q118" s="504">
        <v>6.9999999999999993E-2</v>
      </c>
      <c r="R118" s="504">
        <v>6.0000000000000012E-2</v>
      </c>
      <c r="S118" s="504">
        <v>1.6E-2</v>
      </c>
      <c r="T118" s="2"/>
      <c r="U118" s="2"/>
      <c r="V118" s="2"/>
      <c r="W118" s="2"/>
    </row>
    <row r="119" spans="2:23" ht="22" hidden="1" customHeight="1" outlineLevel="1" x14ac:dyDescent="0.2">
      <c r="B119" s="76" t="s">
        <v>1451</v>
      </c>
      <c r="C119" s="76" t="s">
        <v>1442</v>
      </c>
      <c r="D119" s="516">
        <v>33554</v>
      </c>
      <c r="E119" s="511">
        <v>4.0400000000000005E-2</v>
      </c>
      <c r="F119" s="786">
        <f t="shared" si="8"/>
        <v>1355.5816000000002</v>
      </c>
      <c r="G119" s="504" t="s">
        <v>1446</v>
      </c>
      <c r="H119" s="513">
        <v>751</v>
      </c>
      <c r="I119" s="504">
        <v>0.64333333333333331</v>
      </c>
      <c r="J119" s="504">
        <v>0.19666666666666666</v>
      </c>
      <c r="K119" s="504">
        <v>0.10000000000000002</v>
      </c>
      <c r="L119" s="504">
        <v>6.0000000000000005E-2</v>
      </c>
      <c r="M119" s="786">
        <f t="shared" si="9"/>
        <v>32198.418399999999</v>
      </c>
      <c r="N119" s="76">
        <v>42</v>
      </c>
      <c r="O119" s="504">
        <v>0.76200000000000001</v>
      </c>
      <c r="P119" s="504">
        <v>0.09</v>
      </c>
      <c r="Q119" s="504">
        <v>6.9999999999999993E-2</v>
      </c>
      <c r="R119" s="504">
        <v>6.0000000000000012E-2</v>
      </c>
      <c r="S119" s="504">
        <v>1.6E-2</v>
      </c>
      <c r="T119" s="2"/>
      <c r="U119" s="2"/>
      <c r="V119" s="2"/>
      <c r="W119" s="2"/>
    </row>
    <row r="120" spans="2:23" ht="22" hidden="1" customHeight="1" outlineLevel="1" x14ac:dyDescent="0.2">
      <c r="B120" s="81" t="s">
        <v>1713</v>
      </c>
      <c r="C120" s="81" t="s">
        <v>1442</v>
      </c>
      <c r="D120" s="516">
        <v>22447</v>
      </c>
      <c r="E120" s="511">
        <v>4.0400000000000005E-2</v>
      </c>
      <c r="F120" s="786">
        <f t="shared" si="8"/>
        <v>906.85880000000009</v>
      </c>
      <c r="G120" s="504" t="s">
        <v>1446</v>
      </c>
      <c r="H120" s="513">
        <v>806</v>
      </c>
      <c r="I120" s="504">
        <v>0.64333333333333331</v>
      </c>
      <c r="J120" s="504">
        <v>0.19666666666666666</v>
      </c>
      <c r="K120" s="504">
        <v>0.10000000000000002</v>
      </c>
      <c r="L120" s="504">
        <v>6.0000000000000005E-2</v>
      </c>
      <c r="M120" s="786">
        <f t="shared" si="9"/>
        <v>21540.141200000002</v>
      </c>
      <c r="N120" s="76">
        <v>42</v>
      </c>
      <c r="O120" s="504">
        <v>0.76200000000000001</v>
      </c>
      <c r="P120" s="504">
        <v>0.09</v>
      </c>
      <c r="Q120" s="504">
        <v>6.9999999999999993E-2</v>
      </c>
      <c r="R120" s="504">
        <v>6.0000000000000012E-2</v>
      </c>
      <c r="S120" s="504">
        <v>1.6E-2</v>
      </c>
      <c r="T120" s="2"/>
      <c r="U120" s="2"/>
      <c r="V120" s="2"/>
      <c r="W120" s="2"/>
    </row>
    <row r="121" spans="2:23" ht="22" hidden="1" customHeight="1" outlineLevel="1" x14ac:dyDescent="0.2">
      <c r="B121" s="81" t="s">
        <v>1452</v>
      </c>
      <c r="C121" s="81" t="s">
        <v>1442</v>
      </c>
      <c r="D121" s="516">
        <v>22447</v>
      </c>
      <c r="E121" s="511">
        <v>4.0400000000000005E-2</v>
      </c>
      <c r="F121" s="786">
        <f t="shared" si="8"/>
        <v>906.85880000000009</v>
      </c>
      <c r="G121" s="504" t="s">
        <v>1446</v>
      </c>
      <c r="H121" s="513">
        <v>982</v>
      </c>
      <c r="I121" s="504">
        <v>0.64333333333333331</v>
      </c>
      <c r="J121" s="504">
        <v>0.19666666666666666</v>
      </c>
      <c r="K121" s="504">
        <v>0.10000000000000002</v>
      </c>
      <c r="L121" s="504">
        <v>6.0000000000000005E-2</v>
      </c>
      <c r="M121" s="786">
        <f t="shared" si="9"/>
        <v>21540.141200000002</v>
      </c>
      <c r="N121" s="76">
        <v>42</v>
      </c>
      <c r="O121" s="504">
        <v>0.76200000000000001</v>
      </c>
      <c r="P121" s="504">
        <v>0.09</v>
      </c>
      <c r="Q121" s="504">
        <v>6.9999999999999993E-2</v>
      </c>
      <c r="R121" s="504">
        <v>6.0000000000000012E-2</v>
      </c>
      <c r="S121" s="504">
        <v>1.6E-2</v>
      </c>
      <c r="T121" s="2"/>
      <c r="U121" s="2"/>
      <c r="V121" s="2"/>
      <c r="W121" s="2"/>
    </row>
    <row r="122" spans="2:23" ht="22" hidden="1" customHeight="1" outlineLevel="1" x14ac:dyDescent="0.2">
      <c r="B122" s="81" t="s">
        <v>1452</v>
      </c>
      <c r="C122" s="81" t="s">
        <v>1442</v>
      </c>
      <c r="D122" s="516">
        <v>22447</v>
      </c>
      <c r="E122" s="511">
        <v>4.0400000000000005E-2</v>
      </c>
      <c r="F122" s="786">
        <f t="shared" si="8"/>
        <v>906.85880000000009</v>
      </c>
      <c r="G122" s="504" t="s">
        <v>1445</v>
      </c>
      <c r="H122" s="513">
        <v>1057</v>
      </c>
      <c r="I122" s="504">
        <v>0.64333333333333331</v>
      </c>
      <c r="J122" s="504">
        <v>0.19666666666666666</v>
      </c>
      <c r="K122" s="504">
        <v>0.10000000000000002</v>
      </c>
      <c r="L122" s="504">
        <v>6.0000000000000005E-2</v>
      </c>
      <c r="M122" s="786">
        <f t="shared" si="9"/>
        <v>21540.141200000002</v>
      </c>
      <c r="N122" s="76">
        <v>42</v>
      </c>
      <c r="O122" s="504">
        <v>0.76200000000000001</v>
      </c>
      <c r="P122" s="504">
        <v>0.09</v>
      </c>
      <c r="Q122" s="504">
        <v>6.9999999999999993E-2</v>
      </c>
      <c r="R122" s="504">
        <v>6.0000000000000012E-2</v>
      </c>
      <c r="S122" s="504">
        <v>1.6E-2</v>
      </c>
      <c r="T122" s="2"/>
      <c r="U122" s="2"/>
      <c r="V122" s="2"/>
      <c r="W122" s="2"/>
    </row>
    <row r="123" spans="2:23" ht="22" hidden="1" customHeight="1" outlineLevel="1" x14ac:dyDescent="0.2">
      <c r="B123" s="81" t="s">
        <v>1452</v>
      </c>
      <c r="C123" s="81" t="s">
        <v>1442</v>
      </c>
      <c r="D123" s="516">
        <v>22447</v>
      </c>
      <c r="E123" s="511">
        <v>4.0400000000000005E-2</v>
      </c>
      <c r="F123" s="786">
        <f t="shared" si="8"/>
        <v>906.85880000000009</v>
      </c>
      <c r="G123" s="504" t="s">
        <v>1445</v>
      </c>
      <c r="H123" s="513">
        <v>1754</v>
      </c>
      <c r="I123" s="504">
        <v>0.64333333333333331</v>
      </c>
      <c r="J123" s="504">
        <v>0.19666666666666666</v>
      </c>
      <c r="K123" s="504">
        <v>0.10000000000000002</v>
      </c>
      <c r="L123" s="504">
        <v>6.0000000000000005E-2</v>
      </c>
      <c r="M123" s="786">
        <f t="shared" si="9"/>
        <v>21540.141200000002</v>
      </c>
      <c r="N123" s="76">
        <v>42</v>
      </c>
      <c r="O123" s="504">
        <v>0.76200000000000001</v>
      </c>
      <c r="P123" s="504">
        <v>0.09</v>
      </c>
      <c r="Q123" s="504">
        <v>6.9999999999999993E-2</v>
      </c>
      <c r="R123" s="504">
        <v>6.0000000000000012E-2</v>
      </c>
      <c r="S123" s="504">
        <v>1.6E-2</v>
      </c>
      <c r="T123" s="2"/>
      <c r="U123" s="2"/>
      <c r="V123" s="2"/>
      <c r="W123" s="2"/>
    </row>
    <row r="124" spans="2:23" ht="22" hidden="1" customHeight="1" outlineLevel="1" x14ac:dyDescent="0.2">
      <c r="B124" s="81" t="s">
        <v>1452</v>
      </c>
      <c r="C124" s="81" t="s">
        <v>1442</v>
      </c>
      <c r="D124" s="516">
        <v>22447</v>
      </c>
      <c r="E124" s="511">
        <v>4.0400000000000005E-2</v>
      </c>
      <c r="F124" s="786">
        <f t="shared" si="8"/>
        <v>906.85880000000009</v>
      </c>
      <c r="G124" s="504" t="s">
        <v>1446</v>
      </c>
      <c r="H124" s="513">
        <v>430</v>
      </c>
      <c r="I124" s="504">
        <v>0.64333333333333331</v>
      </c>
      <c r="J124" s="504">
        <v>0.19666666666666666</v>
      </c>
      <c r="K124" s="504">
        <v>0.10000000000000002</v>
      </c>
      <c r="L124" s="504">
        <v>6.0000000000000005E-2</v>
      </c>
      <c r="M124" s="786">
        <f t="shared" si="9"/>
        <v>21540.141200000002</v>
      </c>
      <c r="N124" s="76">
        <v>42</v>
      </c>
      <c r="O124" s="504">
        <v>0.76200000000000001</v>
      </c>
      <c r="P124" s="504">
        <v>0.09</v>
      </c>
      <c r="Q124" s="504">
        <v>6.9999999999999993E-2</v>
      </c>
      <c r="R124" s="504">
        <v>6.0000000000000012E-2</v>
      </c>
      <c r="S124" s="504">
        <v>1.6E-2</v>
      </c>
      <c r="T124" s="2"/>
      <c r="U124" s="2"/>
      <c r="V124" s="2"/>
      <c r="W124" s="2"/>
    </row>
    <row r="125" spans="2:23" ht="22" hidden="1" customHeight="1" outlineLevel="1" x14ac:dyDescent="0.2">
      <c r="B125" s="81" t="s">
        <v>1698</v>
      </c>
      <c r="C125" s="81" t="s">
        <v>1442</v>
      </c>
      <c r="D125" s="516">
        <v>11095</v>
      </c>
      <c r="E125" s="511">
        <v>4.0400000000000005E-2</v>
      </c>
      <c r="F125" s="786">
        <f t="shared" si="8"/>
        <v>448.23800000000006</v>
      </c>
      <c r="G125" s="504" t="s">
        <v>1446</v>
      </c>
      <c r="H125" s="513">
        <v>823</v>
      </c>
      <c r="I125" s="504">
        <v>0.64333333333333331</v>
      </c>
      <c r="J125" s="504">
        <v>0.19666666666666666</v>
      </c>
      <c r="K125" s="504">
        <v>0.10000000000000002</v>
      </c>
      <c r="L125" s="504">
        <v>6.0000000000000005E-2</v>
      </c>
      <c r="M125" s="786">
        <f t="shared" si="9"/>
        <v>10646.762000000001</v>
      </c>
      <c r="N125" s="76">
        <v>42</v>
      </c>
      <c r="O125" s="504">
        <v>0.54</v>
      </c>
      <c r="P125" s="504">
        <v>0.1</v>
      </c>
      <c r="Q125" s="504">
        <v>0.12</v>
      </c>
      <c r="R125" s="504">
        <v>0.12</v>
      </c>
      <c r="S125" s="504">
        <v>0.12</v>
      </c>
      <c r="T125" s="2"/>
      <c r="U125" s="2"/>
      <c r="V125" s="2"/>
      <c r="W125" s="2"/>
    </row>
    <row r="126" spans="2:23" ht="22" hidden="1" customHeight="1" outlineLevel="1" x14ac:dyDescent="0.2">
      <c r="B126" s="81" t="s">
        <v>1698</v>
      </c>
      <c r="C126" s="81" t="s">
        <v>1442</v>
      </c>
      <c r="D126" s="516">
        <v>9798</v>
      </c>
      <c r="E126" s="511">
        <v>4.0400000000000005E-2</v>
      </c>
      <c r="F126" s="786">
        <f t="shared" si="8"/>
        <v>395.83920000000006</v>
      </c>
      <c r="G126" s="504" t="s">
        <v>1446</v>
      </c>
      <c r="H126" s="513">
        <v>903</v>
      </c>
      <c r="I126" s="504">
        <v>0.64333333333333331</v>
      </c>
      <c r="J126" s="504">
        <v>0.19666666666666666</v>
      </c>
      <c r="K126" s="504">
        <v>0.10000000000000002</v>
      </c>
      <c r="L126" s="504">
        <v>6.0000000000000005E-2</v>
      </c>
      <c r="M126" s="786">
        <f t="shared" si="9"/>
        <v>9402.1607999999997</v>
      </c>
      <c r="N126" s="76">
        <v>42</v>
      </c>
      <c r="O126" s="504">
        <v>0.76200000000000001</v>
      </c>
      <c r="P126" s="504">
        <v>0.09</v>
      </c>
      <c r="Q126" s="504">
        <v>6.9999999999999993E-2</v>
      </c>
      <c r="R126" s="504">
        <v>6.0000000000000012E-2</v>
      </c>
      <c r="S126" s="504">
        <v>1.6E-2</v>
      </c>
      <c r="T126" s="2"/>
      <c r="U126" s="2"/>
      <c r="V126" s="2"/>
      <c r="W126" s="2"/>
    </row>
    <row r="127" spans="2:23" ht="22" hidden="1" customHeight="1" outlineLevel="1" x14ac:dyDescent="0.2">
      <c r="B127" s="81" t="s">
        <v>1698</v>
      </c>
      <c r="C127" s="81" t="s">
        <v>1442</v>
      </c>
      <c r="D127" s="516">
        <v>16000</v>
      </c>
      <c r="E127" s="511">
        <v>4.0400000000000005E-2</v>
      </c>
      <c r="F127" s="786">
        <f t="shared" si="8"/>
        <v>646.40000000000009</v>
      </c>
      <c r="G127" s="504" t="s">
        <v>1446</v>
      </c>
      <c r="H127" s="513">
        <v>587</v>
      </c>
      <c r="I127" s="504">
        <v>0.64333333333333331</v>
      </c>
      <c r="J127" s="504">
        <v>0.19666666666666666</v>
      </c>
      <c r="K127" s="504">
        <v>0.10000000000000002</v>
      </c>
      <c r="L127" s="504">
        <v>6.0000000000000005E-2</v>
      </c>
      <c r="M127" s="786">
        <f t="shared" si="9"/>
        <v>15353.6</v>
      </c>
      <c r="N127" s="76">
        <v>42</v>
      </c>
      <c r="O127" s="504">
        <v>0.76200000000000001</v>
      </c>
      <c r="P127" s="504">
        <v>0.09</v>
      </c>
      <c r="Q127" s="504">
        <v>6.9999999999999993E-2</v>
      </c>
      <c r="R127" s="504">
        <v>6.0000000000000012E-2</v>
      </c>
      <c r="S127" s="504">
        <v>1.6E-2</v>
      </c>
      <c r="T127" s="2"/>
      <c r="U127" s="2"/>
      <c r="V127" s="2"/>
      <c r="W127" s="2"/>
    </row>
    <row r="128" spans="2:23" ht="22" hidden="1" customHeight="1" outlineLevel="1" x14ac:dyDescent="0.2">
      <c r="B128" s="81" t="s">
        <v>1698</v>
      </c>
      <c r="C128" s="81" t="s">
        <v>1442</v>
      </c>
      <c r="D128" s="516">
        <v>16405</v>
      </c>
      <c r="E128" s="511">
        <v>4.0400000000000005E-2</v>
      </c>
      <c r="F128" s="786">
        <f t="shared" si="8"/>
        <v>662.76200000000006</v>
      </c>
      <c r="G128" s="504" t="s">
        <v>1446</v>
      </c>
      <c r="H128" s="513">
        <v>735</v>
      </c>
      <c r="I128" s="504">
        <v>0.64333333333333331</v>
      </c>
      <c r="J128" s="504">
        <v>0.19666666666666666</v>
      </c>
      <c r="K128" s="504">
        <v>0.10000000000000002</v>
      </c>
      <c r="L128" s="504">
        <v>6.0000000000000005E-2</v>
      </c>
      <c r="M128" s="786">
        <f t="shared" si="9"/>
        <v>15742.237999999999</v>
      </c>
      <c r="N128" s="76">
        <v>42</v>
      </c>
      <c r="O128" s="504">
        <v>0.76200000000000001</v>
      </c>
      <c r="P128" s="504">
        <v>0.09</v>
      </c>
      <c r="Q128" s="504">
        <v>6.9999999999999993E-2</v>
      </c>
      <c r="R128" s="504">
        <v>6.0000000000000012E-2</v>
      </c>
      <c r="S128" s="504">
        <v>1.6E-2</v>
      </c>
      <c r="T128" s="2"/>
      <c r="U128" s="2"/>
      <c r="V128" s="2"/>
      <c r="W128" s="2"/>
    </row>
    <row r="129" spans="2:23" ht="22" hidden="1" customHeight="1" outlineLevel="1" x14ac:dyDescent="0.2">
      <c r="B129" s="81" t="s">
        <v>1698</v>
      </c>
      <c r="C129" s="81" t="s">
        <v>1442</v>
      </c>
      <c r="D129" s="516">
        <v>11095</v>
      </c>
      <c r="E129" s="511">
        <v>4.0400000000000005E-2</v>
      </c>
      <c r="F129" s="786">
        <f t="shared" si="8"/>
        <v>448.23800000000006</v>
      </c>
      <c r="G129" s="504" t="s">
        <v>1445</v>
      </c>
      <c r="H129" s="513">
        <v>1064</v>
      </c>
      <c r="I129" s="504">
        <v>0.64333333333333331</v>
      </c>
      <c r="J129" s="504">
        <v>0.19666666666666666</v>
      </c>
      <c r="K129" s="504">
        <v>0.10000000000000002</v>
      </c>
      <c r="L129" s="504">
        <v>6.0000000000000005E-2</v>
      </c>
      <c r="M129" s="786">
        <f t="shared" si="9"/>
        <v>10646.762000000001</v>
      </c>
      <c r="N129" s="76">
        <v>42</v>
      </c>
      <c r="O129" s="504">
        <v>0.76200000000000001</v>
      </c>
      <c r="P129" s="504">
        <v>0.09</v>
      </c>
      <c r="Q129" s="504">
        <v>6.9999999999999993E-2</v>
      </c>
      <c r="R129" s="504">
        <v>6.0000000000000012E-2</v>
      </c>
      <c r="S129" s="504">
        <v>1.6E-2</v>
      </c>
      <c r="T129" s="2"/>
      <c r="U129" s="2"/>
      <c r="V129" s="2"/>
      <c r="W129" s="2"/>
    </row>
    <row r="130" spans="2:23" ht="22" hidden="1" customHeight="1" outlineLevel="1" x14ac:dyDescent="0.2">
      <c r="B130" s="81" t="s">
        <v>1698</v>
      </c>
      <c r="C130" s="81" t="s">
        <v>1442</v>
      </c>
      <c r="D130" s="516">
        <v>20801</v>
      </c>
      <c r="E130" s="511">
        <v>4.0400000000000005E-2</v>
      </c>
      <c r="F130" s="786">
        <f t="shared" si="8"/>
        <v>840.36040000000014</v>
      </c>
      <c r="G130" s="504" t="s">
        <v>1445</v>
      </c>
      <c r="H130" s="513">
        <v>1124</v>
      </c>
      <c r="I130" s="504">
        <v>0.64333333333333331</v>
      </c>
      <c r="J130" s="504">
        <v>0.19666666666666666</v>
      </c>
      <c r="K130" s="504">
        <v>0.10000000000000002</v>
      </c>
      <c r="L130" s="504">
        <v>6.0000000000000005E-2</v>
      </c>
      <c r="M130" s="786">
        <f t="shared" si="9"/>
        <v>19960.639599999999</v>
      </c>
      <c r="N130" s="76">
        <v>42</v>
      </c>
      <c r="O130" s="504">
        <v>0.76200000000000001</v>
      </c>
      <c r="P130" s="504">
        <v>0.09</v>
      </c>
      <c r="Q130" s="504">
        <v>6.9999999999999993E-2</v>
      </c>
      <c r="R130" s="504">
        <v>6.0000000000000012E-2</v>
      </c>
      <c r="S130" s="504">
        <v>1.6E-2</v>
      </c>
      <c r="T130" s="2"/>
      <c r="U130" s="2"/>
      <c r="V130" s="2"/>
      <c r="W130" s="2"/>
    </row>
    <row r="131" spans="2:23" ht="22" hidden="1" customHeight="1" outlineLevel="1" x14ac:dyDescent="0.2">
      <c r="B131" s="81" t="s">
        <v>1698</v>
      </c>
      <c r="C131" s="81" t="s">
        <v>1442</v>
      </c>
      <c r="D131" s="516">
        <v>15983</v>
      </c>
      <c r="E131" s="511">
        <v>4.0400000000000005E-2</v>
      </c>
      <c r="F131" s="786">
        <f t="shared" si="8"/>
        <v>645.71320000000003</v>
      </c>
      <c r="G131" s="504" t="s">
        <v>1446</v>
      </c>
      <c r="H131" s="513">
        <v>821</v>
      </c>
      <c r="I131" s="504">
        <v>0.64333333333333331</v>
      </c>
      <c r="J131" s="504">
        <v>0.19666666666666666</v>
      </c>
      <c r="K131" s="504">
        <v>0.10000000000000002</v>
      </c>
      <c r="L131" s="504">
        <v>6.0000000000000005E-2</v>
      </c>
      <c r="M131" s="786">
        <f t="shared" si="9"/>
        <v>15337.2868</v>
      </c>
      <c r="N131" s="76">
        <v>42</v>
      </c>
      <c r="O131" s="504">
        <v>0.76200000000000001</v>
      </c>
      <c r="P131" s="504">
        <v>0.09</v>
      </c>
      <c r="Q131" s="504">
        <v>6.9999999999999993E-2</v>
      </c>
      <c r="R131" s="504">
        <v>6.0000000000000012E-2</v>
      </c>
      <c r="S131" s="504">
        <v>1.6E-2</v>
      </c>
      <c r="T131" s="2"/>
      <c r="U131" s="2"/>
      <c r="V131" s="2"/>
      <c r="W131" s="2"/>
    </row>
    <row r="132" spans="2:23" ht="22" hidden="1" customHeight="1" outlineLevel="1" x14ac:dyDescent="0.2">
      <c r="B132" s="81" t="s">
        <v>1698</v>
      </c>
      <c r="C132" s="81" t="s">
        <v>1442</v>
      </c>
      <c r="D132" s="516">
        <v>16000</v>
      </c>
      <c r="E132" s="511">
        <v>4.0400000000000005E-2</v>
      </c>
      <c r="F132" s="786">
        <f t="shared" si="8"/>
        <v>646.40000000000009</v>
      </c>
      <c r="G132" s="504" t="s">
        <v>1445</v>
      </c>
      <c r="H132" s="513">
        <v>1085</v>
      </c>
      <c r="I132" s="504">
        <v>0.64333333333333331</v>
      </c>
      <c r="J132" s="504">
        <v>0.19666666666666666</v>
      </c>
      <c r="K132" s="504">
        <v>0.10000000000000002</v>
      </c>
      <c r="L132" s="504">
        <v>6.0000000000000005E-2</v>
      </c>
      <c r="M132" s="786">
        <f t="shared" si="9"/>
        <v>15353.6</v>
      </c>
      <c r="N132" s="76">
        <v>42</v>
      </c>
      <c r="O132" s="504">
        <v>0.76200000000000001</v>
      </c>
      <c r="P132" s="504">
        <v>0.09</v>
      </c>
      <c r="Q132" s="504">
        <v>6.9999999999999993E-2</v>
      </c>
      <c r="R132" s="504">
        <v>6.0000000000000012E-2</v>
      </c>
      <c r="S132" s="504">
        <v>1.6E-2</v>
      </c>
      <c r="T132" s="2"/>
      <c r="U132" s="2"/>
      <c r="V132" s="2"/>
      <c r="W132" s="2"/>
    </row>
    <row r="133" spans="2:23" ht="22" hidden="1" customHeight="1" outlineLevel="1" x14ac:dyDescent="0.2">
      <c r="B133" s="81" t="s">
        <v>1698</v>
      </c>
      <c r="C133" s="81" t="s">
        <v>1442</v>
      </c>
      <c r="D133" s="516">
        <v>9798</v>
      </c>
      <c r="E133" s="511">
        <v>4.0400000000000005E-2</v>
      </c>
      <c r="F133" s="786">
        <f t="shared" si="8"/>
        <v>395.83920000000006</v>
      </c>
      <c r="G133" s="504" t="s">
        <v>1445</v>
      </c>
      <c r="H133" s="513">
        <v>1429</v>
      </c>
      <c r="I133" s="504">
        <v>0.64333333333333331</v>
      </c>
      <c r="J133" s="504">
        <v>0.19666666666666666</v>
      </c>
      <c r="K133" s="504">
        <v>0.10000000000000002</v>
      </c>
      <c r="L133" s="504">
        <v>6.0000000000000005E-2</v>
      </c>
      <c r="M133" s="786">
        <f t="shared" si="9"/>
        <v>9402.1607999999997</v>
      </c>
      <c r="N133" s="76">
        <v>42</v>
      </c>
      <c r="O133" s="504">
        <v>0.76200000000000001</v>
      </c>
      <c r="P133" s="504">
        <v>0.09</v>
      </c>
      <c r="Q133" s="504">
        <v>6.9999999999999993E-2</v>
      </c>
      <c r="R133" s="504">
        <v>6.0000000000000012E-2</v>
      </c>
      <c r="S133" s="504">
        <v>1.6E-2</v>
      </c>
      <c r="T133" s="2"/>
      <c r="U133" s="2"/>
      <c r="V133" s="2"/>
      <c r="W133" s="2"/>
    </row>
    <row r="134" spans="2:23" ht="22" hidden="1" customHeight="1" outlineLevel="1" x14ac:dyDescent="0.2">
      <c r="B134" s="81" t="s">
        <v>1698</v>
      </c>
      <c r="C134" s="81" t="s">
        <v>1442</v>
      </c>
      <c r="D134" s="516">
        <v>11095</v>
      </c>
      <c r="E134" s="511">
        <v>4.0400000000000005E-2</v>
      </c>
      <c r="F134" s="786">
        <f t="shared" si="8"/>
        <v>448.23800000000006</v>
      </c>
      <c r="G134" s="504" t="s">
        <v>1446</v>
      </c>
      <c r="H134" s="513">
        <v>353</v>
      </c>
      <c r="I134" s="504">
        <v>0.64333333333333331</v>
      </c>
      <c r="J134" s="504">
        <v>0.19666666666666666</v>
      </c>
      <c r="K134" s="504">
        <v>0.10000000000000002</v>
      </c>
      <c r="L134" s="504">
        <v>6.0000000000000005E-2</v>
      </c>
      <c r="M134" s="786">
        <f t="shared" si="9"/>
        <v>10646.762000000001</v>
      </c>
      <c r="N134" s="76">
        <v>42</v>
      </c>
      <c r="O134" s="504">
        <v>0.54</v>
      </c>
      <c r="P134" s="504">
        <v>0.1</v>
      </c>
      <c r="Q134" s="504">
        <v>0.12</v>
      </c>
      <c r="R134" s="504">
        <v>0.12</v>
      </c>
      <c r="S134" s="504">
        <v>0.12</v>
      </c>
      <c r="T134" s="2"/>
      <c r="U134" s="2"/>
      <c r="V134" s="2"/>
      <c r="W134" s="2"/>
    </row>
    <row r="135" spans="2:23" ht="22" hidden="1" customHeight="1" outlineLevel="1" x14ac:dyDescent="0.2">
      <c r="B135" s="81" t="s">
        <v>1698</v>
      </c>
      <c r="C135" s="81" t="s">
        <v>1442</v>
      </c>
      <c r="D135" s="516">
        <v>28126</v>
      </c>
      <c r="E135" s="511">
        <v>4.0400000000000005E-2</v>
      </c>
      <c r="F135" s="786">
        <f t="shared" si="8"/>
        <v>1136.2904000000001</v>
      </c>
      <c r="G135" s="504" t="s">
        <v>1446</v>
      </c>
      <c r="H135" s="513">
        <v>790</v>
      </c>
      <c r="I135" s="504">
        <v>0.64333333333333331</v>
      </c>
      <c r="J135" s="504">
        <v>0.19666666666666666</v>
      </c>
      <c r="K135" s="504">
        <v>0.10000000000000002</v>
      </c>
      <c r="L135" s="504">
        <v>6.0000000000000005E-2</v>
      </c>
      <c r="M135" s="786">
        <f t="shared" si="9"/>
        <v>26989.709600000002</v>
      </c>
      <c r="N135" s="76">
        <v>42</v>
      </c>
      <c r="O135" s="504">
        <v>0.76200000000000001</v>
      </c>
      <c r="P135" s="504">
        <v>0.09</v>
      </c>
      <c r="Q135" s="504">
        <v>6.9999999999999993E-2</v>
      </c>
      <c r="R135" s="504">
        <v>6.0000000000000012E-2</v>
      </c>
      <c r="S135" s="504">
        <v>1.6E-2</v>
      </c>
      <c r="T135" s="2"/>
      <c r="U135" s="2"/>
      <c r="V135" s="2"/>
      <c r="W135" s="2"/>
    </row>
    <row r="136" spans="2:23" ht="22" hidden="1" customHeight="1" outlineLevel="1" x14ac:dyDescent="0.2">
      <c r="B136" s="81" t="s">
        <v>1698</v>
      </c>
      <c r="C136" s="81" t="s">
        <v>1442</v>
      </c>
      <c r="D136" s="516">
        <v>11095</v>
      </c>
      <c r="E136" s="511">
        <v>4.0400000000000005E-2</v>
      </c>
      <c r="F136" s="786">
        <f t="shared" si="8"/>
        <v>448.23800000000006</v>
      </c>
      <c r="G136" s="504" t="s">
        <v>1446</v>
      </c>
      <c r="H136" s="513">
        <v>927</v>
      </c>
      <c r="I136" s="504">
        <v>0.64333333333333331</v>
      </c>
      <c r="J136" s="504">
        <v>0.19666666666666666</v>
      </c>
      <c r="K136" s="504">
        <v>0.10000000000000002</v>
      </c>
      <c r="L136" s="504">
        <v>6.0000000000000005E-2</v>
      </c>
      <c r="M136" s="786">
        <f t="shared" si="9"/>
        <v>10646.762000000001</v>
      </c>
      <c r="N136" s="76">
        <v>42</v>
      </c>
      <c r="O136" s="504">
        <v>0.76200000000000001</v>
      </c>
      <c r="P136" s="504">
        <v>0.09</v>
      </c>
      <c r="Q136" s="504">
        <v>6.9999999999999993E-2</v>
      </c>
      <c r="R136" s="504">
        <v>6.0000000000000012E-2</v>
      </c>
      <c r="S136" s="504">
        <v>1.6E-2</v>
      </c>
      <c r="T136" s="2"/>
      <c r="U136" s="2"/>
      <c r="V136" s="2"/>
      <c r="W136" s="2"/>
    </row>
    <row r="137" spans="2:23" ht="22" hidden="1" customHeight="1" outlineLevel="1" x14ac:dyDescent="0.2">
      <c r="B137" s="81" t="s">
        <v>1698</v>
      </c>
      <c r="C137" s="81" t="s">
        <v>1442</v>
      </c>
      <c r="D137" s="516">
        <v>20801</v>
      </c>
      <c r="E137" s="511">
        <v>4.0400000000000005E-2</v>
      </c>
      <c r="F137" s="786">
        <f t="shared" si="8"/>
        <v>840.36040000000014</v>
      </c>
      <c r="G137" s="504" t="s">
        <v>1445</v>
      </c>
      <c r="H137" s="513">
        <v>1228</v>
      </c>
      <c r="I137" s="504">
        <v>0.64333333333333331</v>
      </c>
      <c r="J137" s="504">
        <v>0.19666666666666666</v>
      </c>
      <c r="K137" s="504">
        <v>0.10000000000000002</v>
      </c>
      <c r="L137" s="504">
        <v>6.0000000000000005E-2</v>
      </c>
      <c r="M137" s="786">
        <f t="shared" si="9"/>
        <v>19960.639599999999</v>
      </c>
      <c r="N137" s="76">
        <v>42</v>
      </c>
      <c r="O137" s="504">
        <v>0.76200000000000001</v>
      </c>
      <c r="P137" s="504">
        <v>0.09</v>
      </c>
      <c r="Q137" s="504">
        <v>6.9999999999999993E-2</v>
      </c>
      <c r="R137" s="504">
        <v>6.0000000000000012E-2</v>
      </c>
      <c r="S137" s="504">
        <v>1.6E-2</v>
      </c>
      <c r="T137" s="2"/>
      <c r="U137" s="2"/>
      <c r="V137" s="2"/>
      <c r="W137" s="2"/>
    </row>
    <row r="138" spans="2:23" ht="22" hidden="1" customHeight="1" outlineLevel="1" x14ac:dyDescent="0.2">
      <c r="B138" s="81" t="s">
        <v>1698</v>
      </c>
      <c r="C138" s="81" t="s">
        <v>1442</v>
      </c>
      <c r="D138" s="516">
        <v>16000</v>
      </c>
      <c r="E138" s="511">
        <v>4.0400000000000005E-2</v>
      </c>
      <c r="F138" s="786">
        <f t="shared" si="8"/>
        <v>646.40000000000009</v>
      </c>
      <c r="G138" s="504" t="s">
        <v>1446</v>
      </c>
      <c r="H138" s="513">
        <v>639</v>
      </c>
      <c r="I138" s="504">
        <v>0.64333333333333331</v>
      </c>
      <c r="J138" s="504">
        <v>0.19666666666666666</v>
      </c>
      <c r="K138" s="504">
        <v>0.10000000000000002</v>
      </c>
      <c r="L138" s="504">
        <v>6.0000000000000005E-2</v>
      </c>
      <c r="M138" s="786">
        <f t="shared" si="9"/>
        <v>15353.6</v>
      </c>
      <c r="N138" s="76">
        <v>42</v>
      </c>
      <c r="O138" s="504">
        <v>0.76200000000000001</v>
      </c>
      <c r="P138" s="504">
        <v>0.09</v>
      </c>
      <c r="Q138" s="504">
        <v>6.9999999999999993E-2</v>
      </c>
      <c r="R138" s="504">
        <v>6.0000000000000012E-2</v>
      </c>
      <c r="S138" s="504">
        <v>1.6E-2</v>
      </c>
      <c r="T138" s="2"/>
      <c r="U138" s="2"/>
      <c r="V138" s="2"/>
      <c r="W138" s="2"/>
    </row>
    <row r="139" spans="2:23" ht="22" hidden="1" customHeight="1" outlineLevel="1" x14ac:dyDescent="0.2">
      <c r="B139" s="81" t="s">
        <v>1698</v>
      </c>
      <c r="C139" s="81" t="s">
        <v>1442</v>
      </c>
      <c r="D139" s="516">
        <v>16000</v>
      </c>
      <c r="E139" s="511">
        <v>4.0400000000000005E-2</v>
      </c>
      <c r="F139" s="786">
        <f t="shared" si="8"/>
        <v>646.40000000000009</v>
      </c>
      <c r="G139" s="504" t="s">
        <v>1446</v>
      </c>
      <c r="H139" s="513">
        <v>599</v>
      </c>
      <c r="I139" s="504">
        <v>0.64333333333333331</v>
      </c>
      <c r="J139" s="504">
        <v>0.19666666666666666</v>
      </c>
      <c r="K139" s="504">
        <v>0.10000000000000002</v>
      </c>
      <c r="L139" s="504">
        <v>6.0000000000000005E-2</v>
      </c>
      <c r="M139" s="786">
        <f t="shared" si="9"/>
        <v>15353.6</v>
      </c>
      <c r="N139" s="76">
        <v>42</v>
      </c>
      <c r="O139" s="504">
        <v>0.76200000000000001</v>
      </c>
      <c r="P139" s="504">
        <v>0.09</v>
      </c>
      <c r="Q139" s="504">
        <v>6.9999999999999993E-2</v>
      </c>
      <c r="R139" s="504">
        <v>6.0000000000000012E-2</v>
      </c>
      <c r="S139" s="504">
        <v>1.6E-2</v>
      </c>
      <c r="T139" s="2"/>
      <c r="U139" s="2"/>
      <c r="V139" s="2"/>
      <c r="W139" s="2"/>
    </row>
    <row r="140" spans="2:23" ht="22" hidden="1" customHeight="1" outlineLevel="1" x14ac:dyDescent="0.2">
      <c r="B140" s="81" t="s">
        <v>1698</v>
      </c>
      <c r="C140" s="81" t="s">
        <v>1442</v>
      </c>
      <c r="D140" s="516">
        <v>16000</v>
      </c>
      <c r="E140" s="511">
        <v>4.0400000000000005E-2</v>
      </c>
      <c r="F140" s="786">
        <f t="shared" si="8"/>
        <v>646.40000000000009</v>
      </c>
      <c r="G140" s="504" t="s">
        <v>1446</v>
      </c>
      <c r="H140" s="513">
        <v>536</v>
      </c>
      <c r="I140" s="504">
        <v>0.64333333333333331</v>
      </c>
      <c r="J140" s="504">
        <v>0.19666666666666666</v>
      </c>
      <c r="K140" s="504">
        <v>0.10000000000000002</v>
      </c>
      <c r="L140" s="504">
        <v>6.0000000000000005E-2</v>
      </c>
      <c r="M140" s="786">
        <f t="shared" si="9"/>
        <v>15353.6</v>
      </c>
      <c r="N140" s="76">
        <v>42</v>
      </c>
      <c r="O140" s="504">
        <v>0.76200000000000001</v>
      </c>
      <c r="P140" s="504">
        <v>0.09</v>
      </c>
      <c r="Q140" s="504">
        <v>6.9999999999999993E-2</v>
      </c>
      <c r="R140" s="504">
        <v>6.0000000000000012E-2</v>
      </c>
      <c r="S140" s="504">
        <v>1.6E-2</v>
      </c>
      <c r="T140" s="2"/>
      <c r="U140" s="2"/>
      <c r="V140" s="2"/>
      <c r="W140" s="2"/>
    </row>
    <row r="141" spans="2:23" ht="22" hidden="1" customHeight="1" outlineLevel="1" x14ac:dyDescent="0.2">
      <c r="B141" s="81" t="s">
        <v>1454</v>
      </c>
      <c r="C141" s="81" t="s">
        <v>1442</v>
      </c>
      <c r="D141" s="516">
        <v>11199</v>
      </c>
      <c r="E141" s="511">
        <v>4.0400000000000005E-2</v>
      </c>
      <c r="F141" s="786">
        <f t="shared" si="8"/>
        <v>452.43960000000004</v>
      </c>
      <c r="G141" s="504" t="s">
        <v>1446</v>
      </c>
      <c r="H141" s="513">
        <v>825</v>
      </c>
      <c r="I141" s="504">
        <v>0.64333333333333331</v>
      </c>
      <c r="J141" s="504">
        <v>0.19666666666666666</v>
      </c>
      <c r="K141" s="504">
        <v>0.10000000000000002</v>
      </c>
      <c r="L141" s="504">
        <v>6.0000000000000005E-2</v>
      </c>
      <c r="M141" s="786">
        <f t="shared" si="9"/>
        <v>10746.5604</v>
      </c>
      <c r="N141" s="76">
        <v>42</v>
      </c>
      <c r="O141" s="504">
        <v>0.54</v>
      </c>
      <c r="P141" s="504">
        <v>0.1</v>
      </c>
      <c r="Q141" s="504">
        <v>0.12</v>
      </c>
      <c r="R141" s="504">
        <v>0.12</v>
      </c>
      <c r="S141" s="504">
        <v>0.12</v>
      </c>
      <c r="T141" s="2"/>
      <c r="U141" s="2"/>
      <c r="V141" s="2"/>
      <c r="W141" s="2"/>
    </row>
    <row r="142" spans="2:23" ht="22" hidden="1" customHeight="1" outlineLevel="1" x14ac:dyDescent="0.2">
      <c r="B142" s="81" t="s">
        <v>1454</v>
      </c>
      <c r="C142" s="81" t="s">
        <v>1442</v>
      </c>
      <c r="D142" s="516">
        <v>12519</v>
      </c>
      <c r="E142" s="511">
        <v>4.0400000000000005E-2</v>
      </c>
      <c r="F142" s="786">
        <f t="shared" si="8"/>
        <v>505.76760000000007</v>
      </c>
      <c r="G142" s="504" t="s">
        <v>1446</v>
      </c>
      <c r="H142" s="513">
        <v>854</v>
      </c>
      <c r="I142" s="504">
        <v>0.64333333333333331</v>
      </c>
      <c r="J142" s="504">
        <v>0.19666666666666666</v>
      </c>
      <c r="K142" s="504">
        <v>0.10000000000000002</v>
      </c>
      <c r="L142" s="504">
        <v>6.0000000000000005E-2</v>
      </c>
      <c r="M142" s="786">
        <f t="shared" si="9"/>
        <v>12013.232400000001</v>
      </c>
      <c r="N142" s="76">
        <v>42</v>
      </c>
      <c r="O142" s="504">
        <v>0.76200000000000001</v>
      </c>
      <c r="P142" s="504">
        <v>0.09</v>
      </c>
      <c r="Q142" s="504">
        <v>6.9999999999999993E-2</v>
      </c>
      <c r="R142" s="504">
        <v>6.0000000000000012E-2</v>
      </c>
      <c r="S142" s="504">
        <v>1.6E-2</v>
      </c>
      <c r="T142" s="2"/>
      <c r="U142" s="2"/>
      <c r="V142" s="2"/>
      <c r="W142" s="2"/>
    </row>
    <row r="143" spans="2:23" ht="22" hidden="1" customHeight="1" outlineLevel="1" x14ac:dyDescent="0.2">
      <c r="B143" s="81" t="s">
        <v>1454</v>
      </c>
      <c r="C143" s="81" t="s">
        <v>1442</v>
      </c>
      <c r="D143" s="516">
        <v>10306</v>
      </c>
      <c r="E143" s="511">
        <v>4.0400000000000005E-2</v>
      </c>
      <c r="F143" s="786">
        <f t="shared" si="8"/>
        <v>416.36240000000004</v>
      </c>
      <c r="G143" s="504" t="s">
        <v>1445</v>
      </c>
      <c r="H143" s="513">
        <v>1183</v>
      </c>
      <c r="I143" s="504">
        <v>0.64333333333333331</v>
      </c>
      <c r="J143" s="504">
        <v>0.19666666666666666</v>
      </c>
      <c r="K143" s="504">
        <v>0.10000000000000002</v>
      </c>
      <c r="L143" s="504">
        <v>6.0000000000000005E-2</v>
      </c>
      <c r="M143" s="786">
        <f t="shared" si="9"/>
        <v>9889.6376</v>
      </c>
      <c r="N143" s="76">
        <v>42</v>
      </c>
      <c r="O143" s="504">
        <v>0.76200000000000001</v>
      </c>
      <c r="P143" s="504">
        <v>0.09</v>
      </c>
      <c r="Q143" s="504">
        <v>6.9999999999999993E-2</v>
      </c>
      <c r="R143" s="504">
        <v>6.0000000000000012E-2</v>
      </c>
      <c r="S143" s="504">
        <v>1.6E-2</v>
      </c>
      <c r="T143" s="2"/>
      <c r="U143" s="2"/>
      <c r="V143" s="2"/>
      <c r="W143" s="2"/>
    </row>
    <row r="144" spans="2:23" ht="22" hidden="1" customHeight="1" outlineLevel="1" x14ac:dyDescent="0.2">
      <c r="B144" s="81" t="s">
        <v>1454</v>
      </c>
      <c r="C144" s="81" t="s">
        <v>1442</v>
      </c>
      <c r="D144" s="516">
        <v>17870</v>
      </c>
      <c r="E144" s="511">
        <v>4.0400000000000005E-2</v>
      </c>
      <c r="F144" s="786">
        <f t="shared" si="8"/>
        <v>721.94800000000009</v>
      </c>
      <c r="G144" s="504" t="s">
        <v>1445</v>
      </c>
      <c r="H144" s="513">
        <v>1444</v>
      </c>
      <c r="I144" s="504">
        <v>0.64333333333333331</v>
      </c>
      <c r="J144" s="504">
        <v>0.19666666666666666</v>
      </c>
      <c r="K144" s="504">
        <v>0.10000000000000002</v>
      </c>
      <c r="L144" s="504">
        <v>6.0000000000000005E-2</v>
      </c>
      <c r="M144" s="786">
        <f t="shared" si="9"/>
        <v>17148.052</v>
      </c>
      <c r="N144" s="76">
        <v>42</v>
      </c>
      <c r="O144" s="504">
        <v>0.76200000000000001</v>
      </c>
      <c r="P144" s="504">
        <v>0.09</v>
      </c>
      <c r="Q144" s="504">
        <v>6.9999999999999993E-2</v>
      </c>
      <c r="R144" s="504">
        <v>6.0000000000000012E-2</v>
      </c>
      <c r="S144" s="504">
        <v>1.6E-2</v>
      </c>
      <c r="T144" s="2"/>
      <c r="U144" s="2"/>
      <c r="V144" s="2"/>
      <c r="W144" s="2"/>
    </row>
    <row r="145" spans="2:23" ht="22" hidden="1" customHeight="1" outlineLevel="1" x14ac:dyDescent="0.2">
      <c r="B145" s="81" t="s">
        <v>1454</v>
      </c>
      <c r="C145" s="81" t="s">
        <v>1442</v>
      </c>
      <c r="D145" s="516">
        <v>15211</v>
      </c>
      <c r="E145" s="511">
        <v>4.0400000000000005E-2</v>
      </c>
      <c r="F145" s="786">
        <f t="shared" si="8"/>
        <v>614.52440000000013</v>
      </c>
      <c r="G145" s="504" t="s">
        <v>1445</v>
      </c>
      <c r="H145" s="513">
        <v>1160</v>
      </c>
      <c r="I145" s="504">
        <v>0.64333333333333331</v>
      </c>
      <c r="J145" s="504">
        <v>0.19666666666666666</v>
      </c>
      <c r="K145" s="504">
        <v>0.10000000000000002</v>
      </c>
      <c r="L145" s="504">
        <v>6.0000000000000005E-2</v>
      </c>
      <c r="M145" s="786">
        <f t="shared" si="9"/>
        <v>14596.4756</v>
      </c>
      <c r="N145" s="76">
        <v>42</v>
      </c>
      <c r="O145" s="504">
        <v>0.76200000000000001</v>
      </c>
      <c r="P145" s="504">
        <v>0.09</v>
      </c>
      <c r="Q145" s="504">
        <v>6.9999999999999993E-2</v>
      </c>
      <c r="R145" s="504">
        <v>6.0000000000000012E-2</v>
      </c>
      <c r="S145" s="504">
        <v>1.6E-2</v>
      </c>
      <c r="T145" s="2"/>
      <c r="U145" s="2"/>
      <c r="V145" s="2"/>
      <c r="W145" s="2"/>
    </row>
    <row r="146" spans="2:23" ht="22" hidden="1" customHeight="1" outlineLevel="1" x14ac:dyDescent="0.2">
      <c r="B146" s="81" t="s">
        <v>1454</v>
      </c>
      <c r="C146" s="81" t="s">
        <v>1442</v>
      </c>
      <c r="D146" s="516">
        <v>12519</v>
      </c>
      <c r="E146" s="511">
        <v>4.0400000000000005E-2</v>
      </c>
      <c r="F146" s="786">
        <f t="shared" si="8"/>
        <v>505.76760000000007</v>
      </c>
      <c r="G146" s="504" t="s">
        <v>1445</v>
      </c>
      <c r="H146" s="513">
        <v>1551</v>
      </c>
      <c r="I146" s="504">
        <v>0.64333333333333331</v>
      </c>
      <c r="J146" s="504">
        <v>0.19666666666666666</v>
      </c>
      <c r="K146" s="504">
        <v>0.10000000000000002</v>
      </c>
      <c r="L146" s="504">
        <v>6.0000000000000005E-2</v>
      </c>
      <c r="M146" s="786">
        <f t="shared" si="9"/>
        <v>12013.232400000001</v>
      </c>
      <c r="N146" s="76">
        <v>42</v>
      </c>
      <c r="O146" s="504">
        <v>0.76200000000000001</v>
      </c>
      <c r="P146" s="504">
        <v>0.09</v>
      </c>
      <c r="Q146" s="504">
        <v>6.9999999999999993E-2</v>
      </c>
      <c r="R146" s="504">
        <v>6.0000000000000012E-2</v>
      </c>
      <c r="S146" s="504">
        <v>1.6E-2</v>
      </c>
      <c r="T146" s="2"/>
      <c r="U146" s="2"/>
      <c r="V146" s="2"/>
      <c r="W146" s="2"/>
    </row>
    <row r="147" spans="2:23" ht="22" hidden="1" customHeight="1" outlineLevel="1" x14ac:dyDescent="0.2">
      <c r="B147" s="81" t="s">
        <v>1454</v>
      </c>
      <c r="C147" s="81" t="s">
        <v>1442</v>
      </c>
      <c r="D147" s="516">
        <v>11218</v>
      </c>
      <c r="E147" s="511">
        <v>4.0400000000000005E-2</v>
      </c>
      <c r="F147" s="786">
        <f t="shared" si="8"/>
        <v>453.20720000000006</v>
      </c>
      <c r="G147" s="504" t="s">
        <v>1446</v>
      </c>
      <c r="H147" s="513">
        <v>941</v>
      </c>
      <c r="I147" s="504">
        <v>0.64333333333333331</v>
      </c>
      <c r="J147" s="504">
        <v>0.19666666666666666</v>
      </c>
      <c r="K147" s="504">
        <v>0.10000000000000002</v>
      </c>
      <c r="L147" s="504">
        <v>6.0000000000000005E-2</v>
      </c>
      <c r="M147" s="786">
        <f t="shared" si="9"/>
        <v>10764.792799999999</v>
      </c>
      <c r="N147" s="76">
        <v>42</v>
      </c>
      <c r="O147" s="504">
        <v>0.76200000000000001</v>
      </c>
      <c r="P147" s="504">
        <v>0.09</v>
      </c>
      <c r="Q147" s="504">
        <v>6.9999999999999993E-2</v>
      </c>
      <c r="R147" s="504">
        <v>6.0000000000000012E-2</v>
      </c>
      <c r="S147" s="504">
        <v>1.6E-2</v>
      </c>
      <c r="T147" s="2"/>
      <c r="U147" s="2"/>
      <c r="V147" s="2"/>
      <c r="W147" s="2"/>
    </row>
    <row r="148" spans="2:23" ht="22" hidden="1" customHeight="1" outlineLevel="1" x14ac:dyDescent="0.2">
      <c r="B148" s="81" t="s">
        <v>1454</v>
      </c>
      <c r="C148" s="81" t="s">
        <v>1442</v>
      </c>
      <c r="D148" s="516">
        <v>10306</v>
      </c>
      <c r="E148" s="511">
        <v>4.0400000000000005E-2</v>
      </c>
      <c r="F148" s="786">
        <f t="shared" ref="F148:F170" si="10">E148*D148</f>
        <v>416.36240000000004</v>
      </c>
      <c r="G148" s="504" t="s">
        <v>1446</v>
      </c>
      <c r="H148" s="513">
        <v>780</v>
      </c>
      <c r="I148" s="504">
        <v>0.64333333333333331</v>
      </c>
      <c r="J148" s="504">
        <v>0.19666666666666666</v>
      </c>
      <c r="K148" s="504">
        <v>0.10000000000000002</v>
      </c>
      <c r="L148" s="504">
        <v>6.0000000000000005E-2</v>
      </c>
      <c r="M148" s="786">
        <f t="shared" ref="M148:M170" si="11">D148*(1-E148)</f>
        <v>9889.6376</v>
      </c>
      <c r="N148" s="76">
        <v>42</v>
      </c>
      <c r="O148" s="504">
        <v>0.76200000000000001</v>
      </c>
      <c r="P148" s="504">
        <v>0.09</v>
      </c>
      <c r="Q148" s="504">
        <v>6.9999999999999993E-2</v>
      </c>
      <c r="R148" s="504">
        <v>6.0000000000000012E-2</v>
      </c>
      <c r="S148" s="504">
        <v>1.6E-2</v>
      </c>
      <c r="T148" s="2"/>
      <c r="U148" s="2"/>
      <c r="V148" s="2"/>
      <c r="W148" s="2"/>
    </row>
    <row r="149" spans="2:23" ht="22" hidden="1" customHeight="1" outlineLevel="1" x14ac:dyDescent="0.2">
      <c r="B149" s="81" t="s">
        <v>1454</v>
      </c>
      <c r="C149" s="81" t="s">
        <v>1442</v>
      </c>
      <c r="D149" s="516">
        <v>17870</v>
      </c>
      <c r="E149" s="511">
        <v>4.0400000000000005E-2</v>
      </c>
      <c r="F149" s="786">
        <f t="shared" si="10"/>
        <v>721.94800000000009</v>
      </c>
      <c r="G149" s="504" t="s">
        <v>1446</v>
      </c>
      <c r="H149" s="513">
        <v>402</v>
      </c>
      <c r="I149" s="504">
        <v>0.64333333333333331</v>
      </c>
      <c r="J149" s="504">
        <v>0.19666666666666666</v>
      </c>
      <c r="K149" s="504">
        <v>0.10000000000000002</v>
      </c>
      <c r="L149" s="504">
        <v>6.0000000000000005E-2</v>
      </c>
      <c r="M149" s="786">
        <f t="shared" si="11"/>
        <v>17148.052</v>
      </c>
      <c r="N149" s="76">
        <v>42</v>
      </c>
      <c r="O149" s="504">
        <v>0.76200000000000001</v>
      </c>
      <c r="P149" s="504">
        <v>0.09</v>
      </c>
      <c r="Q149" s="504">
        <v>6.9999999999999993E-2</v>
      </c>
      <c r="R149" s="504">
        <v>6.0000000000000012E-2</v>
      </c>
      <c r="S149" s="504">
        <v>1.6E-2</v>
      </c>
      <c r="T149" s="2"/>
      <c r="U149" s="2"/>
      <c r="V149" s="2"/>
      <c r="W149" s="2"/>
    </row>
    <row r="150" spans="2:23" ht="22" hidden="1" customHeight="1" outlineLevel="1" x14ac:dyDescent="0.2">
      <c r="B150" s="81" t="s">
        <v>1454</v>
      </c>
      <c r="C150" s="81" t="s">
        <v>1442</v>
      </c>
      <c r="D150" s="516">
        <v>15211</v>
      </c>
      <c r="E150" s="511">
        <v>4.0400000000000005E-2</v>
      </c>
      <c r="F150" s="786">
        <f t="shared" si="10"/>
        <v>614.52440000000013</v>
      </c>
      <c r="G150" s="504" t="s">
        <v>1445</v>
      </c>
      <c r="H150" s="513">
        <v>1076</v>
      </c>
      <c r="I150" s="504">
        <v>0.64333333333333331</v>
      </c>
      <c r="J150" s="504">
        <v>0.19666666666666666</v>
      </c>
      <c r="K150" s="504">
        <v>0.10000000000000002</v>
      </c>
      <c r="L150" s="504">
        <v>6.0000000000000005E-2</v>
      </c>
      <c r="M150" s="786">
        <f t="shared" si="11"/>
        <v>14596.4756</v>
      </c>
      <c r="N150" s="76">
        <v>42</v>
      </c>
      <c r="O150" s="504">
        <v>0.76200000000000001</v>
      </c>
      <c r="P150" s="504">
        <v>0.09</v>
      </c>
      <c r="Q150" s="504">
        <v>6.9999999999999993E-2</v>
      </c>
      <c r="R150" s="504">
        <v>6.0000000000000012E-2</v>
      </c>
      <c r="S150" s="504">
        <v>1.6E-2</v>
      </c>
      <c r="T150" s="2"/>
      <c r="U150" s="2"/>
      <c r="V150" s="2"/>
      <c r="W150" s="2"/>
    </row>
    <row r="151" spans="2:23" ht="22" hidden="1" customHeight="1" outlineLevel="1" x14ac:dyDescent="0.2">
      <c r="B151" s="81" t="s">
        <v>1454</v>
      </c>
      <c r="C151" s="81" t="s">
        <v>1442</v>
      </c>
      <c r="D151" s="516">
        <v>18200</v>
      </c>
      <c r="E151" s="511">
        <v>4.0400000000000005E-2</v>
      </c>
      <c r="F151" s="786">
        <f>E151*D151</f>
        <v>735.28000000000009</v>
      </c>
      <c r="G151" s="504" t="s">
        <v>1446</v>
      </c>
      <c r="H151" s="513">
        <v>575</v>
      </c>
      <c r="I151" s="504">
        <v>0.64333333333333331</v>
      </c>
      <c r="J151" s="504">
        <v>0.19666666666666666</v>
      </c>
      <c r="K151" s="504">
        <v>0.10000000000000002</v>
      </c>
      <c r="L151" s="504">
        <v>6.0000000000000005E-2</v>
      </c>
      <c r="M151" s="786">
        <f t="shared" si="11"/>
        <v>17464.72</v>
      </c>
      <c r="N151" s="76">
        <v>42</v>
      </c>
      <c r="O151" s="504">
        <v>0.76200000000000001</v>
      </c>
      <c r="P151" s="504">
        <v>0.09</v>
      </c>
      <c r="Q151" s="504">
        <v>6.9999999999999993E-2</v>
      </c>
      <c r="R151" s="504">
        <v>6.0000000000000012E-2</v>
      </c>
      <c r="S151" s="504">
        <v>1.6E-2</v>
      </c>
      <c r="T151" s="2"/>
      <c r="U151" s="2"/>
      <c r="V151" s="2"/>
      <c r="W151" s="2"/>
    </row>
    <row r="152" spans="2:23" ht="22" hidden="1" customHeight="1" outlineLevel="1" x14ac:dyDescent="0.2">
      <c r="B152" s="502" t="s">
        <v>1527</v>
      </c>
      <c r="C152" s="503" t="s">
        <v>1456</v>
      </c>
      <c r="D152" s="502">
        <v>9070</v>
      </c>
      <c r="E152" s="511">
        <v>0.01</v>
      </c>
      <c r="F152" s="786">
        <f>E152*D152</f>
        <v>90.7</v>
      </c>
      <c r="G152" s="502" t="s">
        <v>1457</v>
      </c>
      <c r="H152" s="503">
        <v>10700</v>
      </c>
      <c r="I152" s="504">
        <v>1</v>
      </c>
      <c r="J152" s="504">
        <v>0</v>
      </c>
      <c r="K152" s="504">
        <v>0</v>
      </c>
      <c r="L152" s="504">
        <v>0</v>
      </c>
      <c r="M152" s="786">
        <f t="shared" si="11"/>
        <v>8979.2999999999993</v>
      </c>
      <c r="N152" s="502">
        <v>197</v>
      </c>
      <c r="O152" s="504">
        <v>0.76200000000000001</v>
      </c>
      <c r="P152" s="504">
        <v>0.09</v>
      </c>
      <c r="Q152" s="504">
        <v>6.9999999999999993E-2</v>
      </c>
      <c r="R152" s="504">
        <v>6.0000000000000012E-2</v>
      </c>
      <c r="S152" s="504">
        <v>1.6E-2</v>
      </c>
      <c r="T152" s="2"/>
      <c r="U152" s="2"/>
      <c r="V152" s="2"/>
      <c r="W152" s="2"/>
    </row>
    <row r="153" spans="2:23" ht="22" hidden="1" customHeight="1" outlineLevel="1" x14ac:dyDescent="0.2">
      <c r="B153" s="502" t="s">
        <v>1527</v>
      </c>
      <c r="C153" s="503" t="s">
        <v>1456</v>
      </c>
      <c r="D153" s="502">
        <v>14000</v>
      </c>
      <c r="E153" s="511">
        <v>0.01</v>
      </c>
      <c r="F153" s="786">
        <f t="shared" si="10"/>
        <v>140</v>
      </c>
      <c r="G153" s="502" t="s">
        <v>1457</v>
      </c>
      <c r="H153" s="503">
        <v>5405</v>
      </c>
      <c r="I153" s="504">
        <v>1</v>
      </c>
      <c r="J153" s="504">
        <v>0</v>
      </c>
      <c r="K153" s="504">
        <v>0</v>
      </c>
      <c r="L153" s="504">
        <v>0</v>
      </c>
      <c r="M153" s="786">
        <f t="shared" si="11"/>
        <v>13860</v>
      </c>
      <c r="N153" s="502">
        <v>197</v>
      </c>
      <c r="O153" s="504">
        <v>0.76200000000000001</v>
      </c>
      <c r="P153" s="504">
        <v>0.09</v>
      </c>
      <c r="Q153" s="504">
        <v>6.9999999999999993E-2</v>
      </c>
      <c r="R153" s="504">
        <v>6.0000000000000012E-2</v>
      </c>
      <c r="S153" s="504">
        <v>1.6E-2</v>
      </c>
      <c r="T153" s="2"/>
      <c r="U153" s="2"/>
      <c r="V153" s="2"/>
      <c r="W153" s="2"/>
    </row>
    <row r="154" spans="2:23" ht="22" hidden="1" customHeight="1" outlineLevel="1" x14ac:dyDescent="0.2">
      <c r="B154" s="502" t="s">
        <v>1527</v>
      </c>
      <c r="C154" s="503" t="s">
        <v>1456</v>
      </c>
      <c r="D154" s="502">
        <v>11309</v>
      </c>
      <c r="E154" s="511">
        <v>0.01</v>
      </c>
      <c r="F154" s="786">
        <f t="shared" si="10"/>
        <v>113.09</v>
      </c>
      <c r="G154" s="502" t="s">
        <v>1457</v>
      </c>
      <c r="H154" s="503">
        <v>8642</v>
      </c>
      <c r="I154" s="504">
        <v>1</v>
      </c>
      <c r="J154" s="504">
        <v>0</v>
      </c>
      <c r="K154" s="504">
        <v>0</v>
      </c>
      <c r="L154" s="504">
        <v>0</v>
      </c>
      <c r="M154" s="786">
        <f t="shared" si="11"/>
        <v>11195.91</v>
      </c>
      <c r="N154" s="502">
        <v>197</v>
      </c>
      <c r="O154" s="504">
        <v>0.76200000000000001</v>
      </c>
      <c r="P154" s="504">
        <v>0.09</v>
      </c>
      <c r="Q154" s="504">
        <v>6.9999999999999993E-2</v>
      </c>
      <c r="R154" s="504">
        <v>6.0000000000000012E-2</v>
      </c>
      <c r="S154" s="504">
        <v>1.6E-2</v>
      </c>
      <c r="T154" s="2"/>
      <c r="U154" s="2"/>
      <c r="V154" s="2"/>
      <c r="W154" s="2"/>
    </row>
    <row r="155" spans="2:23" ht="22" hidden="1" customHeight="1" outlineLevel="1" x14ac:dyDescent="0.2">
      <c r="B155" s="502" t="s">
        <v>1447</v>
      </c>
      <c r="C155" s="503" t="s">
        <v>1456</v>
      </c>
      <c r="D155" s="502">
        <v>80000</v>
      </c>
      <c r="E155" s="511">
        <v>4.2500000000000003E-2</v>
      </c>
      <c r="F155" s="786">
        <f>E155*D155</f>
        <v>3400.0000000000005</v>
      </c>
      <c r="G155" s="502" t="s">
        <v>1457</v>
      </c>
      <c r="H155" s="503">
        <v>16960</v>
      </c>
      <c r="I155" s="504">
        <v>1</v>
      </c>
      <c r="J155" s="504">
        <v>0</v>
      </c>
      <c r="K155" s="504">
        <v>0</v>
      </c>
      <c r="L155" s="504">
        <v>0</v>
      </c>
      <c r="M155" s="786">
        <f t="shared" si="11"/>
        <v>76600</v>
      </c>
      <c r="N155" s="502">
        <v>259.5</v>
      </c>
      <c r="O155" s="504">
        <v>0.54</v>
      </c>
      <c r="P155" s="504">
        <v>0.1</v>
      </c>
      <c r="Q155" s="504">
        <v>0.12</v>
      </c>
      <c r="R155" s="504">
        <v>0.12</v>
      </c>
      <c r="S155" s="504">
        <v>0.12</v>
      </c>
      <c r="T155" s="2"/>
      <c r="U155" s="2"/>
      <c r="V155" s="2"/>
      <c r="W155" s="2"/>
    </row>
    <row r="156" spans="2:23" ht="22" hidden="1" customHeight="1" outlineLevel="1" x14ac:dyDescent="0.2">
      <c r="B156" s="502" t="s">
        <v>1447</v>
      </c>
      <c r="C156" s="503" t="s">
        <v>1456</v>
      </c>
      <c r="D156" s="502">
        <v>80000</v>
      </c>
      <c r="E156" s="511">
        <v>4.2500000000000003E-2</v>
      </c>
      <c r="F156" s="786">
        <f t="shared" si="10"/>
        <v>3400.0000000000005</v>
      </c>
      <c r="G156" s="502" t="s">
        <v>1457</v>
      </c>
      <c r="H156" s="503">
        <v>9342</v>
      </c>
      <c r="I156" s="504">
        <v>1</v>
      </c>
      <c r="J156" s="504">
        <v>0</v>
      </c>
      <c r="K156" s="504">
        <v>0</v>
      </c>
      <c r="L156" s="504">
        <v>0</v>
      </c>
      <c r="M156" s="786">
        <f t="shared" si="11"/>
        <v>76600</v>
      </c>
      <c r="N156" s="502">
        <v>259.5</v>
      </c>
      <c r="O156" s="504">
        <v>0.54</v>
      </c>
      <c r="P156" s="504">
        <v>0.1</v>
      </c>
      <c r="Q156" s="504">
        <v>0.12</v>
      </c>
      <c r="R156" s="504">
        <v>0.12</v>
      </c>
      <c r="S156" s="504">
        <v>0.12</v>
      </c>
      <c r="T156" s="2"/>
      <c r="U156" s="2"/>
      <c r="V156" s="2"/>
      <c r="W156" s="2"/>
    </row>
    <row r="157" spans="2:23" ht="22" hidden="1" customHeight="1" outlineLevel="1" x14ac:dyDescent="0.2">
      <c r="B157" s="502" t="s">
        <v>1447</v>
      </c>
      <c r="C157" s="503" t="s">
        <v>1456</v>
      </c>
      <c r="D157" s="502">
        <v>31500</v>
      </c>
      <c r="E157" s="511">
        <v>4.2500000000000003E-2</v>
      </c>
      <c r="F157" s="786">
        <f t="shared" si="10"/>
        <v>1338.75</v>
      </c>
      <c r="G157" s="502" t="s">
        <v>1457</v>
      </c>
      <c r="H157" s="503">
        <v>9700</v>
      </c>
      <c r="I157" s="504">
        <v>1</v>
      </c>
      <c r="J157" s="504">
        <v>0</v>
      </c>
      <c r="K157" s="504">
        <v>0</v>
      </c>
      <c r="L157" s="504">
        <v>0</v>
      </c>
      <c r="M157" s="786">
        <f t="shared" si="11"/>
        <v>30161.25</v>
      </c>
      <c r="N157" s="502">
        <v>259.5</v>
      </c>
      <c r="O157" s="504">
        <v>0.54</v>
      </c>
      <c r="P157" s="504">
        <v>0.1</v>
      </c>
      <c r="Q157" s="504">
        <v>0.12</v>
      </c>
      <c r="R157" s="504">
        <v>0.12</v>
      </c>
      <c r="S157" s="504">
        <v>0.12</v>
      </c>
      <c r="T157" s="2"/>
      <c r="U157" s="2"/>
      <c r="V157" s="2"/>
      <c r="W157" s="2"/>
    </row>
    <row r="158" spans="2:23" ht="22" hidden="1" customHeight="1" outlineLevel="1" x14ac:dyDescent="0.2">
      <c r="B158" s="502" t="s">
        <v>1449</v>
      </c>
      <c r="C158" s="503" t="s">
        <v>1456</v>
      </c>
      <c r="D158" s="502">
        <v>46151</v>
      </c>
      <c r="E158" s="511">
        <v>0.01</v>
      </c>
      <c r="F158" s="786">
        <f t="shared" si="10"/>
        <v>461.51</v>
      </c>
      <c r="G158" s="502" t="s">
        <v>1445</v>
      </c>
      <c r="H158" s="503">
        <v>3278</v>
      </c>
      <c r="I158" s="504">
        <v>1</v>
      </c>
      <c r="J158" s="504">
        <v>0</v>
      </c>
      <c r="K158" s="504">
        <v>0</v>
      </c>
      <c r="L158" s="504">
        <v>0</v>
      </c>
      <c r="M158" s="786">
        <f t="shared" si="11"/>
        <v>45689.49</v>
      </c>
      <c r="N158" s="502">
        <v>42</v>
      </c>
      <c r="O158" s="504">
        <v>0.54</v>
      </c>
      <c r="P158" s="504">
        <v>0.1</v>
      </c>
      <c r="Q158" s="504">
        <v>0.12</v>
      </c>
      <c r="R158" s="504">
        <v>0.12</v>
      </c>
      <c r="S158" s="504">
        <v>0.12</v>
      </c>
      <c r="T158" s="2"/>
      <c r="U158" s="2"/>
      <c r="V158" s="2"/>
      <c r="W158" s="2"/>
    </row>
    <row r="159" spans="2:23" ht="22" hidden="1" customHeight="1" outlineLevel="1" x14ac:dyDescent="0.2">
      <c r="B159" s="76" t="s">
        <v>1451</v>
      </c>
      <c r="C159" s="76" t="s">
        <v>1456</v>
      </c>
      <c r="D159" s="516">
        <v>26800.2</v>
      </c>
      <c r="E159" s="511">
        <v>0.01</v>
      </c>
      <c r="F159" s="786">
        <f t="shared" si="10"/>
        <v>268.00200000000001</v>
      </c>
      <c r="G159" s="504" t="s">
        <v>1445</v>
      </c>
      <c r="H159" s="513">
        <v>2541</v>
      </c>
      <c r="I159" s="504">
        <v>1</v>
      </c>
      <c r="J159" s="504">
        <v>0</v>
      </c>
      <c r="K159" s="504">
        <v>0</v>
      </c>
      <c r="L159" s="504">
        <v>0</v>
      </c>
      <c r="M159" s="786">
        <f t="shared" si="11"/>
        <v>26532.198</v>
      </c>
      <c r="N159" s="76">
        <v>42</v>
      </c>
      <c r="O159" s="504">
        <v>0.76200000000000001</v>
      </c>
      <c r="P159" s="504">
        <v>0.09</v>
      </c>
      <c r="Q159" s="504">
        <v>6.9999999999999993E-2</v>
      </c>
      <c r="R159" s="504">
        <v>6.0000000000000012E-2</v>
      </c>
      <c r="S159" s="504">
        <v>1.6E-2</v>
      </c>
      <c r="T159" s="2"/>
      <c r="U159" s="2"/>
      <c r="V159" s="2"/>
      <c r="W159" s="2"/>
    </row>
    <row r="160" spans="2:23" ht="22" hidden="1" customHeight="1" outlineLevel="1" x14ac:dyDescent="0.2">
      <c r="B160" s="76" t="s">
        <v>1451</v>
      </c>
      <c r="C160" s="76" t="s">
        <v>1456</v>
      </c>
      <c r="D160" s="516">
        <v>16670.7</v>
      </c>
      <c r="E160" s="511">
        <v>0.01</v>
      </c>
      <c r="F160" s="786">
        <f t="shared" si="10"/>
        <v>166.70700000000002</v>
      </c>
      <c r="G160" s="504" t="s">
        <v>1445</v>
      </c>
      <c r="H160" s="513">
        <v>2654</v>
      </c>
      <c r="I160" s="504">
        <v>1</v>
      </c>
      <c r="J160" s="504">
        <v>0</v>
      </c>
      <c r="K160" s="504">
        <v>0</v>
      </c>
      <c r="L160" s="504">
        <v>0</v>
      </c>
      <c r="M160" s="786">
        <f t="shared" si="11"/>
        <v>16503.993000000002</v>
      </c>
      <c r="N160" s="76">
        <v>42</v>
      </c>
      <c r="O160" s="504">
        <v>0.76200000000000001</v>
      </c>
      <c r="P160" s="504">
        <v>0.09</v>
      </c>
      <c r="Q160" s="504">
        <v>6.9999999999999993E-2</v>
      </c>
      <c r="R160" s="504">
        <v>6.0000000000000012E-2</v>
      </c>
      <c r="S160" s="504">
        <v>1.6E-2</v>
      </c>
      <c r="T160" s="2"/>
      <c r="U160" s="2"/>
      <c r="V160" s="2"/>
      <c r="W160" s="2"/>
    </row>
    <row r="161" spans="1:35" ht="22" hidden="1" customHeight="1" outlineLevel="1" x14ac:dyDescent="0.2">
      <c r="B161" s="76" t="s">
        <v>1451</v>
      </c>
      <c r="C161" s="76" t="s">
        <v>1456</v>
      </c>
      <c r="D161" s="516">
        <v>31788</v>
      </c>
      <c r="E161" s="511">
        <v>0.01</v>
      </c>
      <c r="F161" s="786">
        <f t="shared" si="10"/>
        <v>317.88</v>
      </c>
      <c r="G161" s="504" t="s">
        <v>1457</v>
      </c>
      <c r="H161" s="513">
        <v>3912</v>
      </c>
      <c r="I161" s="504">
        <v>1</v>
      </c>
      <c r="J161" s="504">
        <v>0</v>
      </c>
      <c r="K161" s="504">
        <v>0</v>
      </c>
      <c r="L161" s="504">
        <v>0</v>
      </c>
      <c r="M161" s="786">
        <f t="shared" si="11"/>
        <v>31470.12</v>
      </c>
      <c r="N161" s="76">
        <v>42</v>
      </c>
      <c r="O161" s="504">
        <v>0.76200000000000001</v>
      </c>
      <c r="P161" s="504">
        <v>0.09</v>
      </c>
      <c r="Q161" s="504">
        <v>6.9999999999999993E-2</v>
      </c>
      <c r="R161" s="504">
        <v>6.0000000000000012E-2</v>
      </c>
      <c r="S161" s="504">
        <v>1.6E-2</v>
      </c>
      <c r="T161" s="2"/>
      <c r="U161" s="2"/>
      <c r="V161" s="2"/>
      <c r="W161" s="2"/>
    </row>
    <row r="162" spans="1:35" ht="22" hidden="1" customHeight="1" outlineLevel="1" x14ac:dyDescent="0.2">
      <c r="B162" s="81" t="s">
        <v>1452</v>
      </c>
      <c r="C162" s="81" t="s">
        <v>1456</v>
      </c>
      <c r="D162" s="516">
        <v>22447</v>
      </c>
      <c r="E162" s="511">
        <v>0.01</v>
      </c>
      <c r="F162" s="786">
        <f t="shared" si="10"/>
        <v>224.47</v>
      </c>
      <c r="G162" s="504" t="s">
        <v>1445</v>
      </c>
      <c r="H162" s="513">
        <v>2720</v>
      </c>
      <c r="I162" s="504">
        <v>1</v>
      </c>
      <c r="J162" s="504">
        <v>0</v>
      </c>
      <c r="K162" s="504">
        <v>0</v>
      </c>
      <c r="L162" s="504">
        <v>0</v>
      </c>
      <c r="M162" s="786">
        <f t="shared" si="11"/>
        <v>22222.53</v>
      </c>
      <c r="N162" s="76">
        <v>42</v>
      </c>
      <c r="O162" s="504">
        <v>0.76200000000000001</v>
      </c>
      <c r="P162" s="504">
        <v>0.09</v>
      </c>
      <c r="Q162" s="504">
        <v>6.9999999999999993E-2</v>
      </c>
      <c r="R162" s="504">
        <v>6.0000000000000012E-2</v>
      </c>
      <c r="S162" s="504">
        <v>1.6E-2</v>
      </c>
      <c r="T162" s="2"/>
      <c r="U162" s="2"/>
      <c r="V162" s="2"/>
      <c r="W162" s="2"/>
    </row>
    <row r="163" spans="1:35" ht="22" hidden="1" customHeight="1" outlineLevel="1" x14ac:dyDescent="0.2">
      <c r="B163" s="81" t="s">
        <v>1698</v>
      </c>
      <c r="C163" s="81" t="s">
        <v>1456</v>
      </c>
      <c r="D163" s="516">
        <v>15983</v>
      </c>
      <c r="E163" s="511">
        <v>0.01</v>
      </c>
      <c r="F163" s="786">
        <f t="shared" si="10"/>
        <v>159.83000000000001</v>
      </c>
      <c r="G163" s="504" t="s">
        <v>1457</v>
      </c>
      <c r="H163" s="513">
        <v>8996</v>
      </c>
      <c r="I163" s="504">
        <v>1</v>
      </c>
      <c r="J163" s="504">
        <v>0</v>
      </c>
      <c r="K163" s="504">
        <v>0</v>
      </c>
      <c r="L163" s="504">
        <v>0</v>
      </c>
      <c r="M163" s="786">
        <f t="shared" si="11"/>
        <v>15823.17</v>
      </c>
      <c r="N163" s="76">
        <v>42</v>
      </c>
      <c r="O163" s="504">
        <v>0.76200000000000001</v>
      </c>
      <c r="P163" s="504">
        <v>0.09</v>
      </c>
      <c r="Q163" s="504">
        <v>6.9999999999999993E-2</v>
      </c>
      <c r="R163" s="504">
        <v>6.0000000000000012E-2</v>
      </c>
      <c r="S163" s="504">
        <v>1.6E-2</v>
      </c>
      <c r="T163" s="2"/>
      <c r="U163" s="2"/>
      <c r="V163" s="2"/>
      <c r="W163" s="2"/>
    </row>
    <row r="164" spans="1:35" ht="22" hidden="1" customHeight="1" outlineLevel="1" x14ac:dyDescent="0.2">
      <c r="B164" s="81" t="s">
        <v>1698</v>
      </c>
      <c r="C164" s="81" t="s">
        <v>1456</v>
      </c>
      <c r="D164" s="516">
        <v>28126</v>
      </c>
      <c r="E164" s="511">
        <v>0.01</v>
      </c>
      <c r="F164" s="786">
        <f t="shared" si="10"/>
        <v>281.26</v>
      </c>
      <c r="G164" s="504" t="s">
        <v>1457</v>
      </c>
      <c r="H164" s="513">
        <v>8900</v>
      </c>
      <c r="I164" s="504">
        <v>1</v>
      </c>
      <c r="J164" s="504">
        <v>0</v>
      </c>
      <c r="K164" s="504">
        <v>0</v>
      </c>
      <c r="L164" s="504">
        <v>0</v>
      </c>
      <c r="M164" s="786">
        <f t="shared" si="11"/>
        <v>27844.739999999998</v>
      </c>
      <c r="N164" s="76">
        <v>42</v>
      </c>
      <c r="O164" s="504">
        <v>0.76200000000000001</v>
      </c>
      <c r="P164" s="504">
        <v>0.09</v>
      </c>
      <c r="Q164" s="504">
        <v>6.9999999999999993E-2</v>
      </c>
      <c r="R164" s="504">
        <v>6.0000000000000012E-2</v>
      </c>
      <c r="S164" s="504">
        <v>1.6E-2</v>
      </c>
      <c r="T164" s="2"/>
      <c r="U164" s="2"/>
      <c r="V164" s="2"/>
      <c r="W164" s="2"/>
    </row>
    <row r="165" spans="1:35" ht="22" hidden="1" customHeight="1" outlineLevel="1" x14ac:dyDescent="0.2">
      <c r="B165" s="81" t="s">
        <v>1698</v>
      </c>
      <c r="C165" s="81" t="s">
        <v>1456</v>
      </c>
      <c r="D165" s="516">
        <v>16405</v>
      </c>
      <c r="E165" s="511">
        <v>0.01</v>
      </c>
      <c r="F165" s="786">
        <f t="shared" si="10"/>
        <v>164.05</v>
      </c>
      <c r="G165" s="504" t="s">
        <v>1457</v>
      </c>
      <c r="H165" s="513">
        <v>8298</v>
      </c>
      <c r="I165" s="504">
        <v>1</v>
      </c>
      <c r="J165" s="504">
        <v>0</v>
      </c>
      <c r="K165" s="504">
        <v>0</v>
      </c>
      <c r="L165" s="504">
        <v>0</v>
      </c>
      <c r="M165" s="786">
        <f t="shared" si="11"/>
        <v>16240.95</v>
      </c>
      <c r="N165" s="76">
        <v>42</v>
      </c>
      <c r="O165" s="504">
        <v>0.76200000000000001</v>
      </c>
      <c r="P165" s="504">
        <v>0.09</v>
      </c>
      <c r="Q165" s="504">
        <v>6.9999999999999993E-2</v>
      </c>
      <c r="R165" s="504">
        <v>6.0000000000000012E-2</v>
      </c>
      <c r="S165" s="504">
        <v>1.6E-2</v>
      </c>
      <c r="T165" s="2"/>
      <c r="U165" s="2"/>
      <c r="V165" s="2"/>
      <c r="W165" s="2"/>
    </row>
    <row r="166" spans="1:35" ht="22" hidden="1" customHeight="1" outlineLevel="1" x14ac:dyDescent="0.2">
      <c r="B166" s="81" t="s">
        <v>1698</v>
      </c>
      <c r="C166" s="81" t="s">
        <v>1456</v>
      </c>
      <c r="D166" s="516">
        <v>19073</v>
      </c>
      <c r="E166" s="511">
        <v>0.01</v>
      </c>
      <c r="F166" s="786">
        <f t="shared" si="10"/>
        <v>190.73</v>
      </c>
      <c r="G166" s="504" t="s">
        <v>1457</v>
      </c>
      <c r="H166" s="513">
        <v>8186</v>
      </c>
      <c r="I166" s="504">
        <v>1</v>
      </c>
      <c r="J166" s="504">
        <v>0</v>
      </c>
      <c r="K166" s="504">
        <v>0</v>
      </c>
      <c r="L166" s="504">
        <v>0</v>
      </c>
      <c r="M166" s="786">
        <f t="shared" si="11"/>
        <v>18882.27</v>
      </c>
      <c r="N166" s="76">
        <v>42</v>
      </c>
      <c r="O166" s="504">
        <v>0.76200000000000001</v>
      </c>
      <c r="P166" s="504">
        <v>0.09</v>
      </c>
      <c r="Q166" s="504">
        <v>6.9999999999999993E-2</v>
      </c>
      <c r="R166" s="504">
        <v>6.0000000000000012E-2</v>
      </c>
      <c r="S166" s="504">
        <v>1.6E-2</v>
      </c>
      <c r="T166" s="2"/>
      <c r="U166" s="2"/>
      <c r="V166" s="2"/>
      <c r="W166" s="2"/>
    </row>
    <row r="167" spans="1:35" ht="22" hidden="1" customHeight="1" outlineLevel="1" x14ac:dyDescent="0.2">
      <c r="B167" s="81" t="s">
        <v>1698</v>
      </c>
      <c r="C167" s="81" t="s">
        <v>1456</v>
      </c>
      <c r="D167" s="516">
        <v>19073</v>
      </c>
      <c r="E167" s="511">
        <v>0.01</v>
      </c>
      <c r="F167" s="786">
        <f t="shared" si="10"/>
        <v>190.73</v>
      </c>
      <c r="G167" s="504" t="s">
        <v>1457</v>
      </c>
      <c r="H167" s="513">
        <v>8700</v>
      </c>
      <c r="I167" s="504">
        <v>1</v>
      </c>
      <c r="J167" s="504">
        <v>0</v>
      </c>
      <c r="K167" s="504">
        <v>0</v>
      </c>
      <c r="L167" s="504">
        <v>0</v>
      </c>
      <c r="M167" s="786">
        <f t="shared" si="11"/>
        <v>18882.27</v>
      </c>
      <c r="N167" s="76">
        <v>42</v>
      </c>
      <c r="O167" s="504">
        <v>0.76200000000000001</v>
      </c>
      <c r="P167" s="504">
        <v>0.09</v>
      </c>
      <c r="Q167" s="504">
        <v>6.9999999999999993E-2</v>
      </c>
      <c r="R167" s="504">
        <v>6.0000000000000012E-2</v>
      </c>
      <c r="S167" s="504">
        <v>1.6E-2</v>
      </c>
      <c r="T167" s="2"/>
      <c r="U167" s="2"/>
      <c r="V167" s="2"/>
      <c r="W167" s="2"/>
    </row>
    <row r="168" spans="1:35" ht="22" hidden="1" customHeight="1" outlineLevel="1" x14ac:dyDescent="0.2">
      <c r="B168" s="81" t="s">
        <v>1454</v>
      </c>
      <c r="C168" s="81" t="s">
        <v>1456</v>
      </c>
      <c r="D168" s="516">
        <v>11218</v>
      </c>
      <c r="E168" s="511">
        <v>0.01</v>
      </c>
      <c r="F168" s="786">
        <f t="shared" si="10"/>
        <v>112.18</v>
      </c>
      <c r="G168" s="504" t="s">
        <v>1457</v>
      </c>
      <c r="H168" s="513">
        <v>8507</v>
      </c>
      <c r="I168" s="504">
        <v>1</v>
      </c>
      <c r="J168" s="504">
        <v>0</v>
      </c>
      <c r="K168" s="504">
        <v>0</v>
      </c>
      <c r="L168" s="504">
        <v>0</v>
      </c>
      <c r="M168" s="786">
        <f t="shared" si="11"/>
        <v>11105.82</v>
      </c>
      <c r="N168" s="76">
        <v>42</v>
      </c>
      <c r="O168" s="504">
        <v>0.76200000000000001</v>
      </c>
      <c r="P168" s="504">
        <v>0.09</v>
      </c>
      <c r="Q168" s="504">
        <v>6.9999999999999993E-2</v>
      </c>
      <c r="R168" s="504">
        <v>6.0000000000000012E-2</v>
      </c>
      <c r="S168" s="504">
        <v>1.6E-2</v>
      </c>
      <c r="T168" s="2"/>
      <c r="U168" s="2"/>
      <c r="V168" s="2"/>
      <c r="W168" s="2"/>
    </row>
    <row r="169" spans="1:35" ht="22" hidden="1" customHeight="1" outlineLevel="1" x14ac:dyDescent="0.2">
      <c r="B169" s="81" t="s">
        <v>1454</v>
      </c>
      <c r="C169" s="81" t="s">
        <v>1456</v>
      </c>
      <c r="D169" s="516">
        <v>11199</v>
      </c>
      <c r="E169" s="511">
        <v>0.01</v>
      </c>
      <c r="F169" s="786">
        <f t="shared" si="10"/>
        <v>111.99000000000001</v>
      </c>
      <c r="G169" s="504" t="s">
        <v>1457</v>
      </c>
      <c r="H169" s="513">
        <v>8728</v>
      </c>
      <c r="I169" s="504">
        <v>1</v>
      </c>
      <c r="J169" s="504">
        <v>0</v>
      </c>
      <c r="K169" s="504">
        <v>0</v>
      </c>
      <c r="L169" s="504">
        <v>0</v>
      </c>
      <c r="M169" s="786">
        <f t="shared" si="11"/>
        <v>11087.01</v>
      </c>
      <c r="N169" s="76">
        <v>42</v>
      </c>
      <c r="O169" s="504">
        <v>0.54</v>
      </c>
      <c r="P169" s="504">
        <v>0.1</v>
      </c>
      <c r="Q169" s="504">
        <v>0.12</v>
      </c>
      <c r="R169" s="504">
        <v>0.12</v>
      </c>
      <c r="S169" s="504">
        <v>0.12</v>
      </c>
      <c r="T169" s="2"/>
      <c r="U169" s="2"/>
      <c r="V169" s="2"/>
      <c r="W169" s="2"/>
    </row>
    <row r="170" spans="1:35" ht="22" hidden="1" customHeight="1" outlineLevel="1" x14ac:dyDescent="0.2">
      <c r="B170" s="81" t="s">
        <v>1454</v>
      </c>
      <c r="C170" s="81" t="s">
        <v>1456</v>
      </c>
      <c r="D170" s="516">
        <v>18200</v>
      </c>
      <c r="E170" s="511">
        <v>0.01</v>
      </c>
      <c r="F170" s="786">
        <f t="shared" si="10"/>
        <v>182</v>
      </c>
      <c r="G170" s="504" t="s">
        <v>1457</v>
      </c>
      <c r="H170" s="513">
        <v>8295</v>
      </c>
      <c r="I170" s="504">
        <v>1</v>
      </c>
      <c r="J170" s="504">
        <v>0</v>
      </c>
      <c r="K170" s="504">
        <v>0</v>
      </c>
      <c r="L170" s="504">
        <v>0</v>
      </c>
      <c r="M170" s="786">
        <f t="shared" si="11"/>
        <v>18018</v>
      </c>
      <c r="N170" s="76">
        <v>42</v>
      </c>
      <c r="O170" s="504">
        <v>0.76200000000000001</v>
      </c>
      <c r="P170" s="504">
        <v>0.09</v>
      </c>
      <c r="Q170" s="504">
        <v>6.9999999999999993E-2</v>
      </c>
      <c r="R170" s="504">
        <v>6.0000000000000012E-2</v>
      </c>
      <c r="S170" s="504">
        <v>1.6E-2</v>
      </c>
      <c r="T170" s="2"/>
      <c r="U170" s="2"/>
      <c r="V170" s="2"/>
      <c r="W170" s="2"/>
      <c r="AD170" s="328"/>
      <c r="AE170" s="350"/>
      <c r="AF170" s="350"/>
      <c r="AG170" s="2123"/>
      <c r="AH170" s="328"/>
      <c r="AI170" s="11"/>
    </row>
    <row r="171" spans="1:35" ht="22" hidden="1" customHeight="1" outlineLevel="1" x14ac:dyDescent="0.2">
      <c r="D171" s="774"/>
      <c r="E171" s="498"/>
      <c r="F171" s="1689"/>
      <c r="G171" s="776"/>
      <c r="H171" s="775"/>
      <c r="I171" s="776"/>
      <c r="J171" s="776"/>
      <c r="K171" s="776"/>
      <c r="L171" s="776"/>
      <c r="M171" s="1689"/>
      <c r="N171" s="112"/>
      <c r="O171" s="776"/>
      <c r="P171" s="776"/>
      <c r="Q171" s="776"/>
      <c r="R171" s="776"/>
      <c r="S171" s="776"/>
      <c r="T171" s="2"/>
      <c r="U171" s="2"/>
      <c r="V171" s="2"/>
      <c r="W171" s="2"/>
      <c r="AD171" s="328"/>
      <c r="AE171" s="350"/>
      <c r="AF171" s="350"/>
      <c r="AG171" s="2123"/>
      <c r="AH171" s="328"/>
      <c r="AI171" s="11"/>
    </row>
    <row r="172" spans="1:35" ht="22" hidden="1" customHeight="1" outlineLevel="1" x14ac:dyDescent="0.2">
      <c r="B172" s="75" t="s">
        <v>1989</v>
      </c>
      <c r="D172" s="774"/>
      <c r="E172" s="498"/>
      <c r="F172" s="1689"/>
      <c r="G172" s="776"/>
      <c r="H172" s="775"/>
      <c r="I172" s="776"/>
      <c r="J172" s="776"/>
      <c r="K172" s="776"/>
      <c r="L172" s="776"/>
      <c r="M172" s="1689"/>
      <c r="N172" s="112"/>
      <c r="O172" s="776"/>
      <c r="P172" s="776"/>
      <c r="Q172" s="776"/>
      <c r="R172" s="776"/>
      <c r="S172" s="776"/>
      <c r="T172" s="2"/>
      <c r="U172" s="2"/>
      <c r="V172" s="2"/>
      <c r="W172" s="2"/>
      <c r="AD172" s="328"/>
      <c r="AE172" s="350"/>
      <c r="AF172" s="350"/>
      <c r="AG172" s="2123"/>
      <c r="AH172" s="328"/>
      <c r="AI172" s="11"/>
    </row>
    <row r="173" spans="1:35" ht="31" hidden="1" customHeight="1" outlineLevel="1" x14ac:dyDescent="0.2">
      <c r="A173" s="328"/>
      <c r="B173" s="430" t="s">
        <v>1895</v>
      </c>
      <c r="D173" s="774"/>
      <c r="E173" s="775"/>
      <c r="F173" s="776"/>
      <c r="G173" s="776"/>
      <c r="H173" s="776"/>
      <c r="I173" s="776"/>
      <c r="J173" s="776"/>
      <c r="K173" s="776"/>
      <c r="L173" s="776"/>
      <c r="M173" s="1689"/>
      <c r="N173" s="112"/>
      <c r="O173" s="776"/>
      <c r="P173" s="776"/>
      <c r="Q173" s="776"/>
      <c r="R173" s="776"/>
      <c r="S173" s="776"/>
      <c r="T173" s="2"/>
      <c r="U173" s="2"/>
      <c r="V173" s="2"/>
      <c r="W173" s="2"/>
      <c r="AD173" s="328"/>
      <c r="AE173" s="350"/>
      <c r="AF173" s="350"/>
      <c r="AG173" s="2123"/>
      <c r="AH173" s="328"/>
      <c r="AI173" s="11"/>
    </row>
    <row r="174" spans="1:35" ht="34" hidden="1" customHeight="1" outlineLevel="1" x14ac:dyDescent="0.2">
      <c r="A174" s="328"/>
      <c r="B174" s="2685" t="s">
        <v>2109</v>
      </c>
      <c r="C174" s="2685"/>
      <c r="D174" s="2685"/>
      <c r="E174" s="2685"/>
      <c r="F174" s="2685"/>
      <c r="G174" s="2685"/>
      <c r="H174" s="2685"/>
      <c r="I174" s="776"/>
      <c r="J174" s="776"/>
      <c r="K174" s="776"/>
      <c r="L174" s="776"/>
      <c r="M174" s="1689"/>
      <c r="N174" s="112"/>
      <c r="O174" s="776"/>
      <c r="P174" s="776"/>
      <c r="Q174" s="776"/>
      <c r="R174" s="776"/>
      <c r="S174" s="776"/>
      <c r="T174" s="2"/>
      <c r="U174" s="2"/>
      <c r="V174" s="2"/>
      <c r="W174" s="2"/>
      <c r="AD174" s="328"/>
      <c r="AE174" s="350"/>
      <c r="AF174" s="350"/>
      <c r="AG174" s="2123"/>
      <c r="AH174" s="328"/>
      <c r="AI174" s="11"/>
    </row>
    <row r="175" spans="1:35" ht="34" hidden="1" customHeight="1" outlineLevel="1" x14ac:dyDescent="0.2">
      <c r="A175" s="328"/>
      <c r="B175" s="2685"/>
      <c r="C175" s="2685"/>
      <c r="D175" s="2685"/>
      <c r="E175" s="2685"/>
      <c r="F175" s="2685"/>
      <c r="G175" s="2685"/>
      <c r="H175" s="2685"/>
      <c r="I175" s="776"/>
      <c r="J175" s="776"/>
      <c r="K175" s="776"/>
      <c r="L175" s="776"/>
      <c r="M175" s="1689"/>
      <c r="N175" s="112"/>
      <c r="O175" s="776"/>
      <c r="P175" s="776"/>
      <c r="Q175" s="776"/>
      <c r="R175" s="776"/>
      <c r="S175" s="776"/>
      <c r="T175" s="2"/>
      <c r="U175" s="2"/>
      <c r="V175" s="2"/>
      <c r="W175" s="2"/>
      <c r="AD175" s="328"/>
      <c r="AE175" s="350"/>
      <c r="AF175" s="350"/>
      <c r="AG175" s="2123"/>
      <c r="AH175" s="328"/>
      <c r="AI175" s="11"/>
    </row>
    <row r="176" spans="1:35" ht="37" hidden="1" customHeight="1" outlineLevel="1" x14ac:dyDescent="0.2">
      <c r="A176" s="328"/>
      <c r="B176" s="2797" t="s">
        <v>1993</v>
      </c>
      <c r="C176" s="2797"/>
      <c r="D176" s="2797"/>
      <c r="E176" s="2797"/>
      <c r="F176" s="2797"/>
      <c r="G176" s="2797"/>
      <c r="H176" s="2797"/>
      <c r="I176" s="776"/>
      <c r="J176" s="776"/>
      <c r="K176" s="776"/>
      <c r="L176" s="776"/>
      <c r="M176" s="1689"/>
      <c r="N176" s="112"/>
      <c r="O176" s="776"/>
      <c r="P176" s="776"/>
      <c r="Q176" s="776"/>
      <c r="R176" s="776"/>
      <c r="S176" s="776"/>
      <c r="T176" s="2"/>
      <c r="U176" s="2"/>
      <c r="V176" s="2"/>
      <c r="W176" s="2"/>
      <c r="AD176" s="328"/>
      <c r="AE176" s="350"/>
      <c r="AF176" s="350"/>
      <c r="AG176" s="2123"/>
      <c r="AH176" s="328"/>
      <c r="AI176" s="11"/>
    </row>
    <row r="177" spans="1:38" ht="34" hidden="1" customHeight="1" outlineLevel="1" x14ac:dyDescent="0.2">
      <c r="A177" s="328"/>
      <c r="B177" s="2685" t="s">
        <v>1976</v>
      </c>
      <c r="C177" s="2685"/>
      <c r="D177" s="2685"/>
      <c r="E177" s="2685"/>
      <c r="F177" s="2685"/>
      <c r="G177" s="2685"/>
      <c r="H177" s="2685"/>
      <c r="I177" s="776"/>
      <c r="J177" s="776"/>
      <c r="K177" s="776"/>
      <c r="L177" s="776"/>
      <c r="M177" s="1689"/>
      <c r="N177" s="112"/>
      <c r="O177" s="776"/>
      <c r="P177" s="776"/>
      <c r="Q177" s="776"/>
      <c r="R177" s="776"/>
      <c r="S177" s="776"/>
      <c r="T177" s="2"/>
      <c r="U177" s="2"/>
      <c r="V177" s="2"/>
      <c r="W177" s="2"/>
      <c r="AD177" s="328"/>
      <c r="AE177" s="350"/>
      <c r="AF177" s="350"/>
      <c r="AG177" s="2123"/>
      <c r="AH177" s="328"/>
      <c r="AI177" s="11"/>
    </row>
    <row r="178" spans="1:38" ht="31" hidden="1" customHeight="1" outlineLevel="1" x14ac:dyDescent="0.2">
      <c r="A178" s="328"/>
      <c r="B178" s="81" t="s">
        <v>1978</v>
      </c>
      <c r="C178" s="81">
        <f>COUNTIF('13'!$C$97:$C$183,"EU")</f>
        <v>68</v>
      </c>
      <c r="D178" s="774"/>
      <c r="E178" s="775"/>
      <c r="F178" s="776"/>
      <c r="G178" s="776"/>
      <c r="H178" s="776"/>
      <c r="I178" s="776"/>
      <c r="J178" s="776"/>
      <c r="K178" s="776"/>
      <c r="L178" s="776"/>
      <c r="M178" s="1689"/>
      <c r="N178" s="112"/>
      <c r="O178" s="776"/>
      <c r="P178" s="776"/>
      <c r="Q178" s="776"/>
      <c r="R178" s="776"/>
      <c r="S178" s="776"/>
      <c r="T178" s="2"/>
      <c r="U178" s="2"/>
      <c r="V178" s="2"/>
      <c r="W178" s="2"/>
      <c r="AD178" s="328"/>
      <c r="AE178" s="350"/>
      <c r="AF178" s="350"/>
      <c r="AG178" s="2123"/>
      <c r="AH178" s="328"/>
      <c r="AI178" s="11"/>
    </row>
    <row r="179" spans="1:38" ht="31" hidden="1" customHeight="1" outlineLevel="1" x14ac:dyDescent="0.2">
      <c r="A179" s="328"/>
      <c r="B179" s="81" t="s">
        <v>1979</v>
      </c>
      <c r="C179" s="81">
        <f>COUNTIF('13'!$C$97:$C$183,"NEU")</f>
        <v>19</v>
      </c>
      <c r="D179" s="774"/>
      <c r="E179" s="775"/>
      <c r="F179" s="776"/>
      <c r="G179" s="776"/>
      <c r="H179" s="776"/>
      <c r="I179" s="776"/>
      <c r="J179" s="776"/>
      <c r="K179" s="776"/>
      <c r="L179" s="776"/>
      <c r="M179" s="1689"/>
      <c r="N179" s="112"/>
      <c r="O179" s="776"/>
      <c r="P179" s="776"/>
      <c r="Q179" s="776"/>
      <c r="R179" s="776"/>
      <c r="S179" s="776"/>
      <c r="T179" s="2"/>
      <c r="U179" s="2"/>
      <c r="V179" s="2"/>
      <c r="W179" s="2"/>
      <c r="AD179" s="328"/>
      <c r="AE179" s="350"/>
      <c r="AF179" s="350"/>
      <c r="AG179" s="2123"/>
      <c r="AH179" s="328"/>
      <c r="AI179" s="11"/>
    </row>
    <row r="180" spans="1:38" ht="31" hidden="1" customHeight="1" outlineLevel="1" x14ac:dyDescent="0.2">
      <c r="A180" s="328"/>
      <c r="B180" s="55" t="s">
        <v>1977</v>
      </c>
      <c r="D180" s="774"/>
      <c r="E180" s="775"/>
      <c r="F180" s="776"/>
      <c r="G180" s="776"/>
      <c r="H180" s="776"/>
      <c r="I180" s="776"/>
      <c r="J180" s="776"/>
      <c r="K180" s="776"/>
      <c r="L180" s="776"/>
      <c r="M180" s="1689"/>
      <c r="N180" s="112"/>
      <c r="O180" s="776"/>
      <c r="P180" s="776"/>
      <c r="Q180" s="776"/>
      <c r="R180" s="776"/>
      <c r="S180" s="776"/>
      <c r="T180" s="2"/>
      <c r="U180" s="2"/>
      <c r="V180" s="2"/>
      <c r="W180" s="2"/>
      <c r="AD180" s="328"/>
      <c r="AE180" s="350"/>
      <c r="AF180" s="350"/>
      <c r="AG180" s="2123"/>
      <c r="AH180" s="328"/>
      <c r="AI180" s="11"/>
    </row>
    <row r="181" spans="1:38" ht="31" hidden="1" customHeight="1" outlineLevel="1" x14ac:dyDescent="0.2">
      <c r="A181" s="328"/>
      <c r="B181" s="81" t="s">
        <v>1980</v>
      </c>
      <c r="C181" s="81">
        <f>C178*2</f>
        <v>136</v>
      </c>
      <c r="D181" s="774"/>
      <c r="E181" s="775"/>
      <c r="F181" s="776"/>
      <c r="G181" s="776"/>
      <c r="H181" s="776"/>
      <c r="I181" s="776"/>
      <c r="J181" s="776"/>
      <c r="K181" s="776"/>
      <c r="L181" s="776"/>
      <c r="M181" s="1689"/>
      <c r="N181" s="112"/>
      <c r="O181" s="776"/>
      <c r="P181" s="776"/>
      <c r="Q181" s="776"/>
      <c r="R181" s="776"/>
      <c r="S181" s="776"/>
      <c r="T181" s="2"/>
      <c r="U181" s="2"/>
      <c r="V181" s="2"/>
      <c r="W181" s="2"/>
      <c r="AD181" s="328"/>
      <c r="AE181" s="350"/>
      <c r="AF181" s="350"/>
      <c r="AG181" s="2123"/>
      <c r="AH181" s="328"/>
      <c r="AI181" s="11"/>
    </row>
    <row r="182" spans="1:38" ht="31" hidden="1" customHeight="1" outlineLevel="1" x14ac:dyDescent="0.2">
      <c r="A182" s="328"/>
      <c r="B182" s="81" t="s">
        <v>1981</v>
      </c>
      <c r="C182" s="81">
        <f>C179*2</f>
        <v>38</v>
      </c>
      <c r="D182" s="774"/>
      <c r="E182" s="775"/>
      <c r="F182" s="776"/>
      <c r="G182" s="776"/>
      <c r="H182" s="776"/>
      <c r="I182" s="776"/>
      <c r="J182" s="776"/>
      <c r="K182" s="776"/>
      <c r="L182" s="776"/>
      <c r="M182" s="1689"/>
      <c r="N182" s="112"/>
      <c r="O182" s="776"/>
      <c r="P182" s="776"/>
      <c r="Q182" s="776"/>
      <c r="R182" s="776"/>
      <c r="S182" s="776"/>
      <c r="T182" s="2"/>
      <c r="U182" s="2"/>
      <c r="V182" s="2"/>
      <c r="W182" s="2"/>
      <c r="AD182" s="328"/>
      <c r="AE182" s="350"/>
      <c r="AF182" s="350"/>
      <c r="AG182" s="2123"/>
      <c r="AH182" s="328"/>
      <c r="AI182" s="11"/>
    </row>
    <row r="183" spans="1:38" ht="36" customHeight="1" collapsed="1" x14ac:dyDescent="0.2">
      <c r="B183" s="2"/>
      <c r="C183" s="2"/>
      <c r="D183" s="2"/>
      <c r="E183" s="2"/>
      <c r="F183" s="2"/>
      <c r="G183" s="2"/>
      <c r="H183" s="2"/>
      <c r="I183" s="2"/>
      <c r="N183" s="2"/>
      <c r="AG183" s="328"/>
      <c r="AH183" s="350"/>
      <c r="AI183" s="350"/>
      <c r="AJ183" s="2123"/>
      <c r="AK183" s="328"/>
      <c r="AL183" s="11"/>
    </row>
    <row r="184" spans="1:38" ht="26" customHeight="1" x14ac:dyDescent="0.2">
      <c r="B184" s="325" t="s">
        <v>1987</v>
      </c>
      <c r="I184" s="483"/>
      <c r="M184" s="346"/>
    </row>
    <row r="185" spans="1:38" ht="29" customHeight="1" x14ac:dyDescent="0.2">
      <c r="B185" s="1654" t="s">
        <v>1357</v>
      </c>
    </row>
    <row r="186" spans="1:38" ht="26" customHeight="1" x14ac:dyDescent="0.2">
      <c r="B186" s="55" t="s">
        <v>1574</v>
      </c>
      <c r="J186" s="2"/>
      <c r="K186" s="2"/>
      <c r="L186" s="2"/>
      <c r="M186" s="2"/>
      <c r="N186" s="2"/>
      <c r="O186" s="2"/>
      <c r="P186" s="2"/>
      <c r="Q186" s="2"/>
      <c r="R186" s="2"/>
      <c r="S186" s="2"/>
    </row>
    <row r="187" spans="1:38" ht="26" customHeight="1" thickBot="1" x14ac:dyDescent="0.25">
      <c r="B187" s="1502"/>
      <c r="J187" s="2"/>
      <c r="K187" s="2"/>
      <c r="L187" s="2"/>
      <c r="M187" s="2"/>
      <c r="N187" s="2"/>
      <c r="O187" s="2"/>
      <c r="P187" s="2"/>
      <c r="Q187" s="2"/>
      <c r="R187" s="2"/>
      <c r="S187" s="2"/>
    </row>
    <row r="188" spans="1:38" ht="38" customHeight="1" thickBot="1" x14ac:dyDescent="0.25">
      <c r="C188" s="780"/>
      <c r="D188" s="2974" t="s">
        <v>1639</v>
      </c>
      <c r="E188" s="2975"/>
      <c r="F188" s="2974" t="s">
        <v>1573</v>
      </c>
      <c r="G188" s="2975"/>
      <c r="H188" s="2976" t="s">
        <v>1991</v>
      </c>
      <c r="I188" s="2977"/>
      <c r="K188" s="2"/>
      <c r="L188" s="2"/>
      <c r="M188" s="2"/>
      <c r="N188" s="2"/>
      <c r="O188" s="2"/>
      <c r="P188" s="2"/>
      <c r="Q188" s="2"/>
      <c r="R188" s="2"/>
      <c r="S188" s="2"/>
    </row>
    <row r="189" spans="1:38" ht="30" customHeight="1" thickBot="1" x14ac:dyDescent="0.25">
      <c r="C189" s="2124"/>
      <c r="D189" s="2124" t="s">
        <v>923</v>
      </c>
      <c r="E189" s="2125" t="s">
        <v>1313</v>
      </c>
      <c r="F189" s="2124" t="s">
        <v>923</v>
      </c>
      <c r="G189" s="2125" t="s">
        <v>1313</v>
      </c>
      <c r="H189" s="2124" t="s">
        <v>923</v>
      </c>
      <c r="I189" s="2126" t="s">
        <v>1313</v>
      </c>
      <c r="J189" s="2127" t="s">
        <v>37</v>
      </c>
      <c r="K189" s="2"/>
      <c r="L189" s="2"/>
      <c r="M189" s="2"/>
      <c r="N189" s="2"/>
      <c r="O189" s="2"/>
      <c r="P189" s="2"/>
      <c r="Q189" s="2"/>
      <c r="R189" s="2"/>
      <c r="S189" s="2"/>
    </row>
    <row r="190" spans="1:38" ht="44" customHeight="1" thickBot="1" x14ac:dyDescent="0.25">
      <c r="B190" s="1082" t="s">
        <v>1546</v>
      </c>
      <c r="C190" s="1695" t="s">
        <v>1589</v>
      </c>
      <c r="D190" s="1649">
        <f>$E$58</f>
        <v>12350</v>
      </c>
      <c r="E190" s="1650">
        <f>$E$37</f>
        <v>650</v>
      </c>
      <c r="F190" s="2128">
        <f>AVERAGEIF($C$84:$C$170,"EU",M84:M170)</f>
        <v>23369.658849411771</v>
      </c>
      <c r="G190" s="2129">
        <f>AVERAGEIF(C84:C170,"EU",F84:F170)</f>
        <v>1208.0779152941177</v>
      </c>
      <c r="H190" s="2128">
        <f>AVERAGEIF($C$84:$C$170,"NEU",M84:M170)</f>
        <v>26194.685315789473</v>
      </c>
      <c r="I190" s="2130">
        <f>AVERAGEIF($C$84:$C$170,"NEU",F84:F170)</f>
        <v>595.46731578947367</v>
      </c>
      <c r="J190" s="2131"/>
      <c r="K190" s="2"/>
      <c r="L190" s="2"/>
      <c r="M190" s="2"/>
      <c r="N190" s="2"/>
      <c r="O190" s="2"/>
      <c r="P190" s="2"/>
      <c r="Q190" s="2"/>
      <c r="R190" s="2"/>
      <c r="S190" s="2"/>
    </row>
    <row r="191" spans="1:38" ht="30" customHeight="1" x14ac:dyDescent="0.2">
      <c r="B191" s="2979" t="s">
        <v>773</v>
      </c>
      <c r="C191" s="1676" t="s">
        <v>1587</v>
      </c>
      <c r="D191" s="1083">
        <f>'ANNEXE A'!$J$232</f>
        <v>1369</v>
      </c>
      <c r="E191" s="1084">
        <f>'ANNEXE A'!$J$232</f>
        <v>1369</v>
      </c>
      <c r="F191" s="2132">
        <f>COUNTIF($C$84:$C$170,"EU")</f>
        <v>68</v>
      </c>
      <c r="G191" s="2133">
        <f>$C$181</f>
        <v>136</v>
      </c>
      <c r="H191" s="2132">
        <f>COUNTIF($C$84:$C$170,"NEU")</f>
        <v>19</v>
      </c>
      <c r="I191" s="2134">
        <f>$C$182</f>
        <v>38</v>
      </c>
      <c r="J191" s="2135" t="s">
        <v>1992</v>
      </c>
      <c r="K191" s="2"/>
      <c r="L191" s="2"/>
      <c r="M191" s="2"/>
      <c r="N191" s="2"/>
      <c r="O191" s="2"/>
      <c r="P191" s="2"/>
      <c r="Q191" s="2"/>
      <c r="R191" s="2"/>
      <c r="S191" s="2"/>
    </row>
    <row r="192" spans="1:38" ht="30" customHeight="1" thickBot="1" x14ac:dyDescent="0.25">
      <c r="B192" s="2980"/>
      <c r="C192" s="1696" t="s">
        <v>1588</v>
      </c>
      <c r="D192" s="1085">
        <f>$C$56</f>
        <v>41.595245732871298</v>
      </c>
      <c r="E192" s="1086">
        <f>$C$35</f>
        <v>1120</v>
      </c>
      <c r="F192" s="2136">
        <f>SUMPRODUCT($N$84:$N$151,$E$84:$E$151,$D$84:$D$151)/SUMPRODUCT($E$84:$E$151,$D$84:$D$151)</f>
        <v>131.05097635925958</v>
      </c>
      <c r="G192" s="2137">
        <f>SUMPRODUCT($H$84:$H$151,$D$84:$D$151,$E$84:$E$151)/SUMPRODUCT($D$84:$D$151,$E$84:$E$151)*2</f>
        <v>2116.2091180682978</v>
      </c>
      <c r="H192" s="2136">
        <f>SUMPRODUCT($M$152:$M$170,$N$152:$N$170)/SUM($M$152:$M$170)</f>
        <v>132.73059724784952</v>
      </c>
      <c r="I192" s="2138">
        <f>SUMPRODUCT($F$152:$F$170,$H$152:$H$170)/SUM($F$152:$F$170)*2</f>
        <v>21490.774175682815</v>
      </c>
      <c r="J192" s="2139" t="s">
        <v>1995</v>
      </c>
      <c r="K192" s="2"/>
      <c r="L192" s="2"/>
      <c r="M192" s="2"/>
      <c r="N192" s="2"/>
      <c r="O192" s="2"/>
      <c r="P192" s="2"/>
      <c r="Q192" s="2"/>
      <c r="R192" s="2"/>
      <c r="S192" s="2"/>
    </row>
    <row r="193" spans="2:19" ht="30" customHeight="1" x14ac:dyDescent="0.2">
      <c r="B193" s="2979" t="s">
        <v>722</v>
      </c>
      <c r="C193" s="1677" t="s">
        <v>927</v>
      </c>
      <c r="D193" s="1087">
        <f>$C$61</f>
        <v>0.76200000000000001</v>
      </c>
      <c r="E193" s="1088">
        <f>$C$40</f>
        <v>0.745</v>
      </c>
      <c r="F193" s="2140">
        <f>SUMPRODUCT($M$84:$M$151,$O$84:$O$151)/SUMPRODUCT($M$84:$M$151)</f>
        <v>0.67695167982497462</v>
      </c>
      <c r="G193" s="2141">
        <f>K265</f>
        <v>0.19666666666666666</v>
      </c>
      <c r="H193" s="2140">
        <f>SUMPRODUCT($M$152:$M$170,$O$152:$O$170)/SUM($M$152:$M$170)</f>
        <v>0.65488590443098338</v>
      </c>
      <c r="I193" s="2142"/>
      <c r="J193" s="2143"/>
      <c r="K193" s="286"/>
      <c r="L193" s="2"/>
      <c r="M193" s="2"/>
      <c r="N193" s="2"/>
      <c r="O193" s="2"/>
      <c r="P193" s="2"/>
      <c r="Q193" s="2"/>
      <c r="R193" s="2"/>
      <c r="S193" s="2"/>
    </row>
    <row r="194" spans="2:19" ht="30" customHeight="1" x14ac:dyDescent="0.2">
      <c r="B194" s="2981"/>
      <c r="C194" s="1678" t="s">
        <v>928</v>
      </c>
      <c r="D194" s="1089">
        <f>$C$62</f>
        <v>9.1999999999999998E-2</v>
      </c>
      <c r="E194" s="1090"/>
      <c r="F194" s="2144">
        <f>SUMPRODUCT($M$84:$M$151,$P$84:$P$151)/SUMPRODUCT($M$84:$M$151)</f>
        <v>9.383100541328937E-2</v>
      </c>
      <c r="G194" s="2145"/>
      <c r="H194" s="2144">
        <f>SUMPRODUCT($M$152:$M$170,$P$152:$P$170)/SUM($M$152:$M$170)</f>
        <v>9.4824959259865615E-2</v>
      </c>
      <c r="I194" s="2146"/>
      <c r="J194" s="2147"/>
      <c r="K194" s="2"/>
      <c r="L194" s="2"/>
      <c r="M194" s="2"/>
      <c r="N194" s="2"/>
      <c r="O194" s="2"/>
      <c r="P194" s="2"/>
      <c r="Q194" s="2"/>
      <c r="R194" s="2"/>
      <c r="S194" s="2"/>
    </row>
    <row r="195" spans="2:19" ht="30" customHeight="1" x14ac:dyDescent="0.2">
      <c r="B195" s="2981"/>
      <c r="C195" s="1678" t="s">
        <v>929</v>
      </c>
      <c r="D195" s="1089">
        <f>$C$63</f>
        <v>6.9999999999999993E-2</v>
      </c>
      <c r="E195" s="1090"/>
      <c r="F195" s="2144">
        <f>SUMPRODUCT($M$84:$M$151,$Q$84:$Q$151)/SUMPRODUCT($M$84:$M$151)</f>
        <v>8.9155027066447082E-2</v>
      </c>
      <c r="G195" s="2148"/>
      <c r="H195" s="2144">
        <f>SUMPRODUCT($M$152:$M$170,$Q$152:$Q$170)/SUM($M$152:$M$170)</f>
        <v>9.4124796299328059E-2</v>
      </c>
      <c r="I195" s="2146"/>
      <c r="J195" s="2147"/>
      <c r="K195" s="2"/>
      <c r="L195" s="2"/>
      <c r="M195" s="2"/>
      <c r="N195" s="2"/>
      <c r="O195" s="2"/>
      <c r="P195" s="2"/>
      <c r="Q195" s="2"/>
      <c r="R195" s="2"/>
      <c r="S195" s="2"/>
    </row>
    <row r="196" spans="2:19" ht="30" customHeight="1" x14ac:dyDescent="0.2">
      <c r="B196" s="2981"/>
      <c r="C196" s="1678" t="s">
        <v>930</v>
      </c>
      <c r="D196" s="1089">
        <f>$C$64</f>
        <v>6.0000000000000012E-2</v>
      </c>
      <c r="E196" s="1090"/>
      <c r="F196" s="2144">
        <f>SUMPRODUCT($M$84:$M$151,$R$84:$R$151)/SUMPRODUCT($M$84:$M$151)</f>
        <v>8.298603247973653E-2</v>
      </c>
      <c r="G196" s="2148"/>
      <c r="H196" s="2144">
        <f>SUMPRODUCT($M$152:$M$170,$R$152:$R$170)/SUM($M$152:$M$170)</f>
        <v>8.8949755559193683E-2</v>
      </c>
      <c r="I196" s="2146"/>
      <c r="J196" s="2147"/>
      <c r="K196" s="2"/>
      <c r="L196" s="2"/>
      <c r="M196" s="2"/>
      <c r="N196" s="2"/>
      <c r="O196" s="2"/>
      <c r="P196" s="2"/>
      <c r="Q196" s="2"/>
      <c r="R196" s="2"/>
      <c r="S196" s="2"/>
    </row>
    <row r="197" spans="2:19" ht="30" customHeight="1" x14ac:dyDescent="0.2">
      <c r="B197" s="2981"/>
      <c r="C197" s="1678" t="s">
        <v>931</v>
      </c>
      <c r="D197" s="1089">
        <f>$C$65</f>
        <v>1.6E-2</v>
      </c>
      <c r="E197" s="1091">
        <f>$C$41</f>
        <v>0.14000000000000001</v>
      </c>
      <c r="F197" s="2144">
        <f>SUMPRODUCT($M$84:$M$151,$S$84:$S$151)/SUMPRODUCT($M$84:$M$151)</f>
        <v>5.584245629820999E-2</v>
      </c>
      <c r="G197" s="2149">
        <f>K266</f>
        <v>0.10000000000000002</v>
      </c>
      <c r="H197" s="2144">
        <f>SUMPRODUCT($M$152:$M$170,$S$152:$S$170)/SUM($M$152:$M$170)</f>
        <v>6.6179576302602364E-2</v>
      </c>
      <c r="I197" s="2146"/>
      <c r="J197" s="2147"/>
      <c r="K197" s="2"/>
      <c r="L197" s="2"/>
      <c r="M197" s="2"/>
      <c r="N197" s="2"/>
      <c r="O197" s="2"/>
      <c r="P197" s="2"/>
      <c r="Q197" s="2"/>
      <c r="R197" s="2"/>
      <c r="S197" s="2"/>
    </row>
    <row r="198" spans="2:19" ht="30" customHeight="1" x14ac:dyDescent="0.2">
      <c r="B198" s="2981"/>
      <c r="C198" s="1678" t="s">
        <v>932</v>
      </c>
      <c r="D198" s="1089"/>
      <c r="E198" s="1091">
        <f>$C$42</f>
        <v>0.09</v>
      </c>
      <c r="F198" s="2144"/>
      <c r="G198" s="2149">
        <f>K267</f>
        <v>6.0000000000000005E-2</v>
      </c>
      <c r="H198" s="2150"/>
      <c r="I198" s="2151"/>
      <c r="J198" s="2147"/>
      <c r="K198" s="2"/>
      <c r="L198" s="2"/>
      <c r="M198" s="2"/>
      <c r="N198" s="2"/>
      <c r="O198" s="2"/>
      <c r="P198" s="2"/>
      <c r="Q198" s="2"/>
      <c r="R198" s="2"/>
      <c r="S198" s="2"/>
    </row>
    <row r="199" spans="2:19" ht="30" customHeight="1" thickBot="1" x14ac:dyDescent="0.25">
      <c r="B199" s="2980"/>
      <c r="C199" s="1679" t="s">
        <v>933</v>
      </c>
      <c r="D199" s="1092"/>
      <c r="E199" s="1093">
        <f>$C$43</f>
        <v>2.5000000000000001E-2</v>
      </c>
      <c r="F199" s="2152"/>
      <c r="G199" s="2153">
        <f>K264</f>
        <v>0.64333333333333331</v>
      </c>
      <c r="H199" s="2154"/>
      <c r="I199" s="2155">
        <v>1</v>
      </c>
      <c r="J199" s="2156"/>
      <c r="K199" s="2"/>
      <c r="L199" s="2"/>
      <c r="M199" s="2"/>
      <c r="N199" s="2"/>
      <c r="O199" s="2"/>
      <c r="P199" s="2"/>
      <c r="Q199" s="2"/>
      <c r="R199" s="2"/>
      <c r="S199" s="2"/>
    </row>
    <row r="200" spans="2:19" ht="30" customHeight="1" x14ac:dyDescent="0.2">
      <c r="B200" s="2979" t="s">
        <v>775</v>
      </c>
      <c r="C200" s="1079" t="s">
        <v>934</v>
      </c>
      <c r="D200" s="1094">
        <f>$F$200</f>
        <v>0.11368421052631579</v>
      </c>
      <c r="E200" s="1095"/>
      <c r="F200" s="2157">
        <f>$H$225</f>
        <v>0.11368421052631579</v>
      </c>
      <c r="G200" s="1095"/>
      <c r="H200" s="2157">
        <f>F200</f>
        <v>0.11368421052631579</v>
      </c>
      <c r="I200" s="2158"/>
      <c r="J200" s="2143"/>
      <c r="K200" s="2"/>
      <c r="L200" s="2"/>
      <c r="M200" s="2"/>
      <c r="N200" s="2"/>
      <c r="O200" s="2"/>
      <c r="P200" s="2"/>
      <c r="Q200" s="2"/>
      <c r="R200" s="2"/>
      <c r="S200" s="2"/>
    </row>
    <row r="201" spans="2:19" ht="30" customHeight="1" x14ac:dyDescent="0.2">
      <c r="B201" s="2981"/>
      <c r="C201" s="1080" t="s">
        <v>935</v>
      </c>
      <c r="D201" s="1096"/>
      <c r="E201" s="1097">
        <f>$G$201</f>
        <v>8.2129277566539927E-2</v>
      </c>
      <c r="F201" s="2159"/>
      <c r="G201" s="1097">
        <f>$H$231</f>
        <v>8.2129277566539927E-2</v>
      </c>
      <c r="H201" s="2159"/>
      <c r="I201" s="2160"/>
      <c r="J201" s="2147"/>
      <c r="K201" s="2"/>
      <c r="L201" s="2"/>
      <c r="M201" s="2"/>
      <c r="N201" s="2"/>
      <c r="O201" s="2"/>
      <c r="P201" s="2"/>
      <c r="Q201" s="2"/>
      <c r="R201" s="2"/>
      <c r="S201" s="2"/>
    </row>
    <row r="202" spans="2:19" ht="30" customHeight="1" x14ac:dyDescent="0.2">
      <c r="B202" s="2981"/>
      <c r="C202" s="1080" t="s">
        <v>936</v>
      </c>
      <c r="D202" s="1096"/>
      <c r="E202" s="1098"/>
      <c r="F202" s="2159">
        <v>0</v>
      </c>
      <c r="G202" s="1098"/>
      <c r="H202" s="2159">
        <v>0</v>
      </c>
      <c r="I202" s="2160"/>
      <c r="J202" s="2147"/>
      <c r="K202" s="2"/>
      <c r="L202" s="2"/>
      <c r="M202" s="2"/>
      <c r="N202" s="2"/>
      <c r="O202" s="2"/>
      <c r="P202" s="2"/>
      <c r="Q202" s="2"/>
      <c r="R202" s="2"/>
      <c r="S202" s="2"/>
    </row>
    <row r="203" spans="2:19" ht="30" customHeight="1" x14ac:dyDescent="0.2">
      <c r="B203" s="2981"/>
      <c r="C203" s="1080" t="s">
        <v>937</v>
      </c>
      <c r="D203" s="1096">
        <f>$F$203</f>
        <v>0.129</v>
      </c>
      <c r="E203" s="1098"/>
      <c r="F203" s="2159">
        <f>$C$224</f>
        <v>0.129</v>
      </c>
      <c r="G203" s="1098"/>
      <c r="H203" s="2159">
        <f t="shared" ref="H203:H205" si="12">F203</f>
        <v>0.129</v>
      </c>
      <c r="I203" s="2160"/>
      <c r="J203" s="2147"/>
      <c r="K203" s="2"/>
      <c r="L203" s="2"/>
      <c r="M203" s="2"/>
      <c r="N203" s="2"/>
      <c r="O203" s="2"/>
      <c r="P203" s="2"/>
      <c r="Q203" s="2"/>
      <c r="R203" s="2"/>
      <c r="S203" s="2"/>
    </row>
    <row r="204" spans="2:19" ht="30" customHeight="1" x14ac:dyDescent="0.2">
      <c r="B204" s="2981"/>
      <c r="C204" s="1080" t="s">
        <v>938</v>
      </c>
      <c r="D204" s="1096">
        <f>$F$204</f>
        <v>3.29E-3</v>
      </c>
      <c r="E204" s="1097"/>
      <c r="F204" s="2161">
        <f>$C$231</f>
        <v>3.29E-3</v>
      </c>
      <c r="G204" s="1097"/>
      <c r="H204" s="2159">
        <f t="shared" si="12"/>
        <v>3.29E-3</v>
      </c>
      <c r="I204" s="2160"/>
      <c r="J204" s="2147"/>
      <c r="K204" s="2"/>
      <c r="L204" s="2"/>
      <c r="M204" s="2"/>
      <c r="N204" s="2"/>
      <c r="O204" s="2"/>
      <c r="P204" s="2"/>
      <c r="Q204" s="2"/>
      <c r="R204" s="2"/>
      <c r="S204" s="2"/>
    </row>
    <row r="205" spans="2:19" ht="30" customHeight="1" x14ac:dyDescent="0.2">
      <c r="B205" s="2981"/>
      <c r="C205" s="1080" t="s">
        <v>939</v>
      </c>
      <c r="D205" s="1096">
        <f>$F$205</f>
        <v>3.1699999999999999E-2</v>
      </c>
      <c r="E205" s="1099">
        <f>$G$205</f>
        <v>3.3400000000000001E-3</v>
      </c>
      <c r="F205" s="2161">
        <f>$C$229</f>
        <v>3.1699999999999999E-2</v>
      </c>
      <c r="G205" s="2162">
        <f>$C$230</f>
        <v>3.3400000000000001E-3</v>
      </c>
      <c r="H205" s="2159">
        <f t="shared" si="12"/>
        <v>3.1699999999999999E-2</v>
      </c>
      <c r="I205" s="2160"/>
      <c r="J205" s="2147"/>
      <c r="K205" s="2"/>
      <c r="N205" s="2"/>
      <c r="O205" s="2"/>
      <c r="P205" s="2"/>
      <c r="Q205" s="2"/>
      <c r="R205" s="2"/>
      <c r="S205" s="2"/>
    </row>
    <row r="206" spans="2:19" ht="30" customHeight="1" x14ac:dyDescent="0.2">
      <c r="B206" s="2981"/>
      <c r="C206" s="1080" t="s">
        <v>759</v>
      </c>
      <c r="D206" s="1096"/>
      <c r="E206" s="1097">
        <f>$G$206</f>
        <v>2.9499999999999998E-2</v>
      </c>
      <c r="F206" s="2161"/>
      <c r="G206" s="1097">
        <f>$C$225</f>
        <v>2.9499999999999998E-2</v>
      </c>
      <c r="H206" s="2159"/>
      <c r="I206" s="2160"/>
      <c r="J206" s="2147"/>
      <c r="K206" s="2"/>
      <c r="N206" s="2"/>
      <c r="O206" s="2"/>
      <c r="P206" s="2"/>
      <c r="Q206" s="2"/>
      <c r="R206" s="2"/>
      <c r="S206" s="2"/>
    </row>
    <row r="207" spans="2:19" ht="30" customHeight="1" thickBot="1" x14ac:dyDescent="0.25">
      <c r="B207" s="2980"/>
      <c r="C207" s="1081" t="s">
        <v>940</v>
      </c>
      <c r="D207" s="1651"/>
      <c r="E207" s="1652">
        <f>$G$207</f>
        <v>0.25800000000000001</v>
      </c>
      <c r="F207" s="2163"/>
      <c r="G207" s="1652">
        <f>$C$226</f>
        <v>0.25800000000000001</v>
      </c>
      <c r="H207" s="2164"/>
      <c r="I207" s="2165">
        <f>C228</f>
        <v>0.152</v>
      </c>
      <c r="J207" s="2166"/>
      <c r="K207" s="2"/>
      <c r="L207" s="2"/>
      <c r="M207" s="2"/>
      <c r="N207" s="2"/>
      <c r="O207" s="2"/>
      <c r="P207" s="2"/>
      <c r="Q207" s="2"/>
      <c r="R207" s="2"/>
      <c r="S207" s="2"/>
    </row>
    <row r="208" spans="2:19" ht="30" customHeight="1" thickBot="1" x14ac:dyDescent="0.25">
      <c r="C208" s="2167" t="s">
        <v>764</v>
      </c>
      <c r="D208" s="2168">
        <f>D190*D191*D192*(D193*D200+SUMPRODUCT(D194:D197,D202:D205))/10^3</f>
        <v>67767.234500882885</v>
      </c>
      <c r="E208" s="2169">
        <f>(E190*E191*E192*E193*E201)/1000+(E190*E191*E192*SUMPRODUCT(E197:E199,E205:E207))/10^3</f>
        <v>70520.595772173387</v>
      </c>
      <c r="F208" s="2168">
        <f>F190*F191*F192*(F193*F200+SUMPRODUCT(F194:F197,F202:F205))/10^3</f>
        <v>18847.956077213785</v>
      </c>
      <c r="G208" s="2169">
        <f>G190*G191*G192*(G193*G201+SUMPRODUCT(G197:G199,G205:G207))/10^3</f>
        <v>64057.081196791165</v>
      </c>
      <c r="H208" s="2170">
        <f>H190*H191*H192*(H193*H200+SUMPRODUCT(H194:H197,H202:H205))/10^3</f>
        <v>5878.1953497607001</v>
      </c>
      <c r="I208" s="2171">
        <f>I190*I191*I192*(I193*I201+SUMPRODUCT(I197:I199,I205:I207))/10^3</f>
        <v>73915.781666560026</v>
      </c>
      <c r="J208" s="2172"/>
      <c r="K208" s="2"/>
      <c r="L208" s="286"/>
      <c r="M208" s="286"/>
      <c r="N208" s="2"/>
      <c r="O208" s="2"/>
      <c r="P208" s="2"/>
      <c r="Q208" s="2"/>
      <c r="R208" s="2"/>
      <c r="S208" s="2"/>
    </row>
    <row r="209" spans="2:19" ht="30" customHeight="1" thickBot="1" x14ac:dyDescent="0.25">
      <c r="C209" s="1693" t="s">
        <v>1990</v>
      </c>
      <c r="D209" s="1694">
        <f>SUM(D208:I208)</f>
        <v>300986.84456338198</v>
      </c>
      <c r="E209" s="1697"/>
      <c r="J209" s="2"/>
      <c r="K209" s="2"/>
      <c r="L209" s="2"/>
      <c r="M209" s="2"/>
      <c r="N209" s="2"/>
      <c r="O209" s="2"/>
      <c r="P209" s="2"/>
      <c r="Q209" s="2"/>
      <c r="R209" s="2"/>
      <c r="S209" s="2"/>
    </row>
    <row r="210" spans="2:19" ht="22" customHeight="1" x14ac:dyDescent="0.2">
      <c r="E210" s="346"/>
      <c r="F210" s="346"/>
      <c r="G210" s="346"/>
      <c r="J210" s="2"/>
      <c r="K210" s="2"/>
      <c r="L210" s="2"/>
      <c r="M210" s="2"/>
      <c r="N210" s="2"/>
      <c r="O210" s="2"/>
      <c r="P210" s="2"/>
      <c r="Q210" s="2"/>
      <c r="R210" s="2"/>
      <c r="S210" s="2"/>
    </row>
    <row r="211" spans="2:19" ht="22" customHeight="1" x14ac:dyDescent="0.2">
      <c r="B211" s="2"/>
      <c r="C211" s="2"/>
      <c r="D211" s="2"/>
      <c r="E211" s="443"/>
    </row>
    <row r="212" spans="2:19" ht="22" customHeight="1" thickBot="1" x14ac:dyDescent="0.25">
      <c r="B212" s="2121"/>
      <c r="C212" s="525"/>
      <c r="D212" s="2"/>
    </row>
    <row r="213" spans="2:19" ht="56" customHeight="1" thickBot="1" x14ac:dyDescent="0.25">
      <c r="B213" s="2173" t="s">
        <v>765</v>
      </c>
      <c r="C213" s="2174">
        <f>D209</f>
        <v>300986.84456338198</v>
      </c>
      <c r="D213" s="2175" t="s">
        <v>71</v>
      </c>
    </row>
    <row r="214" spans="2:19" ht="22" customHeight="1" x14ac:dyDescent="0.2">
      <c r="B214" s="790"/>
    </row>
    <row r="215" spans="2:19" ht="22" customHeight="1" x14ac:dyDescent="0.2">
      <c r="B215" s="790"/>
    </row>
    <row r="216" spans="2:19" ht="22" customHeight="1" x14ac:dyDescent="0.2">
      <c r="B216" s="790"/>
    </row>
    <row r="217" spans="2:19" ht="22" customHeight="1" x14ac:dyDescent="0.2">
      <c r="B217" s="433" t="s">
        <v>1352</v>
      </c>
    </row>
    <row r="218" spans="2:19" ht="22" hidden="1" customHeight="1" outlineLevel="1" x14ac:dyDescent="0.2">
      <c r="K218" s="2"/>
      <c r="L218" s="2"/>
      <c r="M218" s="2"/>
    </row>
    <row r="219" spans="2:19" ht="22" hidden="1" customHeight="1" outlineLevel="1" x14ac:dyDescent="0.2">
      <c r="B219" s="2176" t="s">
        <v>316</v>
      </c>
      <c r="L219" s="2426"/>
      <c r="M219" s="2"/>
    </row>
    <row r="220" spans="2:19" ht="22" hidden="1" customHeight="1" outlineLevel="1" x14ac:dyDescent="0.2">
      <c r="B220" s="75"/>
      <c r="K220" s="2"/>
      <c r="L220" s="2"/>
      <c r="M220" s="2"/>
    </row>
    <row r="221" spans="2:19" ht="22" hidden="1" customHeight="1" outlineLevel="1" x14ac:dyDescent="0.2">
      <c r="B221" s="60" t="s">
        <v>124</v>
      </c>
      <c r="C221" s="60" t="s">
        <v>36</v>
      </c>
      <c r="D221" s="60" t="s">
        <v>59</v>
      </c>
      <c r="E221" s="60" t="s">
        <v>125</v>
      </c>
      <c r="G221" s="328" t="s">
        <v>693</v>
      </c>
      <c r="K221" s="2"/>
      <c r="L221" s="2426"/>
      <c r="M221" s="2"/>
    </row>
    <row r="222" spans="2:19" ht="22" hidden="1" customHeight="1" outlineLevel="1" x14ac:dyDescent="0.2">
      <c r="B222" s="76" t="s">
        <v>695</v>
      </c>
      <c r="C222" s="217">
        <f>H225</f>
        <v>0.11368421052631579</v>
      </c>
      <c r="D222" s="81" t="s">
        <v>696</v>
      </c>
      <c r="E222" s="218" t="s">
        <v>697</v>
      </c>
      <c r="F222" s="86"/>
      <c r="G222" s="409"/>
      <c r="H222" s="60" t="s">
        <v>713</v>
      </c>
      <c r="I222" s="60" t="s">
        <v>866</v>
      </c>
      <c r="J222" s="475" t="s">
        <v>37</v>
      </c>
      <c r="K222" s="2"/>
      <c r="L222" s="2"/>
      <c r="M222" s="2"/>
    </row>
    <row r="223" spans="2:19" ht="22" hidden="1" customHeight="1" outlineLevel="1" x14ac:dyDescent="0.2">
      <c r="B223" s="76" t="s">
        <v>698</v>
      </c>
      <c r="C223" s="267">
        <f>H231</f>
        <v>8.2129277566539927E-2</v>
      </c>
      <c r="D223" s="81" t="s">
        <v>696</v>
      </c>
      <c r="E223" s="218" t="s">
        <v>699</v>
      </c>
      <c r="G223" s="89" t="s">
        <v>867</v>
      </c>
      <c r="H223" s="216">
        <v>0.216</v>
      </c>
      <c r="I223" s="2177" t="s">
        <v>702</v>
      </c>
      <c r="J223" s="2178"/>
    </row>
    <row r="224" spans="2:19" ht="22" hidden="1" customHeight="1" outlineLevel="1" x14ac:dyDescent="0.2">
      <c r="B224" s="76" t="s">
        <v>708</v>
      </c>
      <c r="C224" s="216">
        <v>0.129</v>
      </c>
      <c r="D224" s="81" t="s">
        <v>696</v>
      </c>
      <c r="E224" s="81" t="s">
        <v>127</v>
      </c>
      <c r="G224" s="89" t="s">
        <v>868</v>
      </c>
      <c r="H224" s="2179">
        <v>1.9</v>
      </c>
      <c r="I224" s="2177" t="s">
        <v>869</v>
      </c>
      <c r="J224" s="2178" t="s">
        <v>870</v>
      </c>
    </row>
    <row r="225" spans="2:22" ht="22" hidden="1" customHeight="1" outlineLevel="1" x14ac:dyDescent="0.2">
      <c r="B225" s="76" t="s">
        <v>709</v>
      </c>
      <c r="C225" s="216">
        <v>2.9499999999999998E-2</v>
      </c>
      <c r="D225" s="81" t="s">
        <v>696</v>
      </c>
      <c r="E225" s="81" t="s">
        <v>127</v>
      </c>
      <c r="G225" s="89" t="s">
        <v>707</v>
      </c>
      <c r="H225" s="216">
        <f>H223/H224</f>
        <v>0.11368421052631579</v>
      </c>
      <c r="I225" s="58"/>
      <c r="J225" s="298"/>
      <c r="L225" s="1508"/>
      <c r="M225" s="1508"/>
      <c r="N225" s="1508"/>
      <c r="O225" s="1508"/>
    </row>
    <row r="226" spans="2:22" ht="22" hidden="1" customHeight="1" outlineLevel="1" x14ac:dyDescent="0.2">
      <c r="B226" s="76" t="s">
        <v>715</v>
      </c>
      <c r="C226" s="216">
        <v>0.25800000000000001</v>
      </c>
      <c r="D226" s="81" t="s">
        <v>696</v>
      </c>
      <c r="E226" s="81" t="s">
        <v>127</v>
      </c>
      <c r="L226" s="1165"/>
      <c r="M226" s="1165"/>
      <c r="N226" s="1165"/>
      <c r="O226" s="1165"/>
    </row>
    <row r="227" spans="2:22" ht="22" hidden="1" customHeight="1" outlineLevel="1" x14ac:dyDescent="0.2">
      <c r="B227" s="76" t="s">
        <v>718</v>
      </c>
      <c r="C227" s="216">
        <v>0.187</v>
      </c>
      <c r="D227" s="81" t="s">
        <v>696</v>
      </c>
      <c r="E227" s="81" t="s">
        <v>127</v>
      </c>
      <c r="G227" s="328" t="s">
        <v>710</v>
      </c>
      <c r="L227" s="2180"/>
      <c r="M227" s="2180"/>
      <c r="N227" s="2180"/>
      <c r="O227" s="2180"/>
    </row>
    <row r="228" spans="2:22" ht="22" hidden="1" customHeight="1" outlineLevel="1" x14ac:dyDescent="0.2">
      <c r="B228" s="76" t="s">
        <v>719</v>
      </c>
      <c r="C228" s="216">
        <v>0.152</v>
      </c>
      <c r="D228" s="81" t="s">
        <v>696</v>
      </c>
      <c r="E228" s="81" t="s">
        <v>127</v>
      </c>
      <c r="H228" s="60" t="s">
        <v>713</v>
      </c>
      <c r="I228" s="60" t="s">
        <v>866</v>
      </c>
      <c r="J228" s="475" t="s">
        <v>37</v>
      </c>
      <c r="L228" s="1165"/>
      <c r="M228" s="1165"/>
      <c r="N228" s="1165"/>
      <c r="O228" s="1165"/>
    </row>
    <row r="229" spans="2:22" ht="22" hidden="1" customHeight="1" outlineLevel="1" x14ac:dyDescent="0.2">
      <c r="B229" s="76" t="s">
        <v>720</v>
      </c>
      <c r="C229" s="216">
        <v>3.1699999999999999E-2</v>
      </c>
      <c r="D229" s="81" t="s">
        <v>696</v>
      </c>
      <c r="E229" s="81" t="s">
        <v>127</v>
      </c>
      <c r="G229" s="89" t="s">
        <v>867</v>
      </c>
      <c r="H229" s="216">
        <v>0.216</v>
      </c>
      <c r="I229" s="2177" t="s">
        <v>702</v>
      </c>
      <c r="J229" s="2178"/>
    </row>
    <row r="230" spans="2:22" ht="22" hidden="1" customHeight="1" outlineLevel="1" x14ac:dyDescent="0.2">
      <c r="B230" s="76" t="s">
        <v>725</v>
      </c>
      <c r="C230" s="268">
        <f>3.34*10^-3</f>
        <v>3.3400000000000001E-3</v>
      </c>
      <c r="D230" s="81" t="s">
        <v>696</v>
      </c>
      <c r="E230" s="81" t="s">
        <v>127</v>
      </c>
      <c r="G230" s="89" t="s">
        <v>868</v>
      </c>
      <c r="H230" s="2179">
        <v>2.63</v>
      </c>
      <c r="I230" s="2177" t="s">
        <v>869</v>
      </c>
      <c r="J230" s="2178" t="s">
        <v>873</v>
      </c>
    </row>
    <row r="231" spans="2:22" ht="22" hidden="1" customHeight="1" outlineLevel="1" x14ac:dyDescent="0.2">
      <c r="B231" s="1320" t="s">
        <v>876</v>
      </c>
      <c r="C231" s="458">
        <f>3.29*10^-3</f>
        <v>3.29E-3</v>
      </c>
      <c r="D231" s="87" t="s">
        <v>696</v>
      </c>
      <c r="E231" s="87" t="s">
        <v>127</v>
      </c>
      <c r="G231" s="89" t="s">
        <v>707</v>
      </c>
      <c r="H231" s="216">
        <f>H229/H230</f>
        <v>8.2129277566539927E-2</v>
      </c>
      <c r="I231" s="58"/>
      <c r="J231" s="298"/>
    </row>
    <row r="232" spans="2:22" ht="22" hidden="1" customHeight="1" outlineLevel="1" x14ac:dyDescent="0.2">
      <c r="B232" s="76" t="s">
        <v>729</v>
      </c>
      <c r="C232" s="217">
        <v>0.153</v>
      </c>
      <c r="D232" s="81" t="s">
        <v>696</v>
      </c>
      <c r="E232" s="87" t="s">
        <v>127</v>
      </c>
    </row>
    <row r="233" spans="2:22" ht="22" hidden="1" customHeight="1" outlineLevel="1" x14ac:dyDescent="0.2">
      <c r="B233" s="76" t="s">
        <v>732</v>
      </c>
      <c r="C233" s="216">
        <v>0.13500000000000001</v>
      </c>
      <c r="D233" s="81" t="s">
        <v>696</v>
      </c>
      <c r="E233" s="81" t="s">
        <v>127</v>
      </c>
    </row>
    <row r="234" spans="2:22" ht="22" hidden="1" customHeight="1" outlineLevel="1" x14ac:dyDescent="0.2">
      <c r="B234" s="58" t="s">
        <v>878</v>
      </c>
      <c r="C234" s="216">
        <v>7.6300000000000007E-2</v>
      </c>
      <c r="D234" s="81" t="s">
        <v>696</v>
      </c>
      <c r="E234" s="81" t="s">
        <v>127</v>
      </c>
    </row>
    <row r="235" spans="2:22" ht="22" hidden="1" customHeight="1" outlineLevel="1" x14ac:dyDescent="0.2"/>
    <row r="236" spans="2:22" ht="22" hidden="1" customHeight="1" outlineLevel="1" x14ac:dyDescent="0.2">
      <c r="B236" s="219"/>
      <c r="C236" s="2181"/>
      <c r="D236" s="219"/>
      <c r="E236" s="219"/>
    </row>
    <row r="237" spans="2:22" ht="20" hidden="1" outlineLevel="1" x14ac:dyDescent="0.2">
      <c r="B237" s="2182" t="s">
        <v>879</v>
      </c>
      <c r="C237" s="650"/>
      <c r="D237" s="650"/>
      <c r="E237" s="650"/>
      <c r="F237" s="650"/>
      <c r="G237" s="650"/>
      <c r="H237" s="650"/>
      <c r="I237" s="650"/>
      <c r="J237" s="650"/>
      <c r="K237" s="650"/>
      <c r="L237" s="650"/>
      <c r="M237" s="650"/>
      <c r="N237" s="650"/>
      <c r="O237" s="650"/>
      <c r="P237" s="650"/>
      <c r="Q237" s="650"/>
      <c r="R237" s="650"/>
      <c r="S237" s="650"/>
      <c r="T237" s="650"/>
      <c r="U237" s="650"/>
      <c r="V237" s="650"/>
    </row>
    <row r="238" spans="2:22" hidden="1" outlineLevel="1" x14ac:dyDescent="0.2">
      <c r="B238" s="650"/>
      <c r="C238" s="650"/>
      <c r="D238" s="650"/>
      <c r="E238" s="650"/>
      <c r="F238" s="650"/>
      <c r="G238" s="650"/>
      <c r="H238" s="650"/>
      <c r="I238" s="650"/>
      <c r="J238" s="650"/>
      <c r="K238" s="650"/>
      <c r="L238" s="650"/>
      <c r="M238" s="650"/>
      <c r="N238" s="650"/>
      <c r="O238" s="650"/>
      <c r="P238" s="650"/>
      <c r="Q238" s="650"/>
      <c r="R238" s="650"/>
      <c r="S238" s="650"/>
      <c r="T238" s="650"/>
      <c r="U238" s="650"/>
      <c r="V238" s="650"/>
    </row>
    <row r="239" spans="2:22" ht="20" hidden="1" customHeight="1" outlineLevel="1" x14ac:dyDescent="0.2">
      <c r="B239" s="649" t="s">
        <v>880</v>
      </c>
      <c r="C239" s="650"/>
      <c r="D239" s="650"/>
      <c r="E239" s="650"/>
      <c r="F239" s="650"/>
      <c r="G239" s="649" t="s">
        <v>881</v>
      </c>
      <c r="H239" s="650"/>
      <c r="I239" s="650"/>
      <c r="J239" s="649"/>
      <c r="K239" s="650"/>
      <c r="L239" s="650"/>
      <c r="M239" s="650"/>
      <c r="N239" s="650"/>
      <c r="O239" s="650"/>
      <c r="P239" s="649" t="s">
        <v>882</v>
      </c>
      <c r="Q239" s="650"/>
      <c r="R239" s="650"/>
      <c r="S239" s="650"/>
      <c r="T239" s="650"/>
      <c r="U239" s="2183" t="s">
        <v>883</v>
      </c>
      <c r="V239" s="650"/>
    </row>
    <row r="240" spans="2:22" ht="20" hidden="1" customHeight="1" outlineLevel="1" x14ac:dyDescent="0.2">
      <c r="B240" s="650" t="s">
        <v>884</v>
      </c>
      <c r="C240" s="650" t="s">
        <v>885</v>
      </c>
      <c r="D240" s="650" t="s">
        <v>886</v>
      </c>
      <c r="E240" s="650"/>
      <c r="F240" s="650"/>
      <c r="G240" s="650" t="s">
        <v>884</v>
      </c>
      <c r="H240" s="650" t="s">
        <v>430</v>
      </c>
      <c r="I240" s="650" t="s">
        <v>372</v>
      </c>
      <c r="J240" s="650" t="s">
        <v>373</v>
      </c>
      <c r="K240" s="650" t="s">
        <v>887</v>
      </c>
      <c r="L240" s="650" t="s">
        <v>888</v>
      </c>
      <c r="M240" s="650"/>
      <c r="N240" s="650"/>
      <c r="O240" s="650"/>
      <c r="P240" s="650" t="s">
        <v>889</v>
      </c>
      <c r="Q240" s="650" t="s">
        <v>890</v>
      </c>
      <c r="R240" s="650" t="s">
        <v>891</v>
      </c>
      <c r="S240" s="650"/>
      <c r="T240" s="650"/>
      <c r="U240" s="649" t="s">
        <v>892</v>
      </c>
      <c r="V240" s="650" t="s">
        <v>893</v>
      </c>
    </row>
    <row r="241" spans="2:22" ht="20" hidden="1" customHeight="1" outlineLevel="1" x14ac:dyDescent="0.2">
      <c r="B241" s="650" t="s">
        <v>894</v>
      </c>
      <c r="C241" s="650" t="s">
        <v>895</v>
      </c>
      <c r="D241" s="650" t="s">
        <v>895</v>
      </c>
      <c r="E241" s="650"/>
      <c r="F241" s="650"/>
      <c r="G241" s="650" t="s">
        <v>894</v>
      </c>
      <c r="H241" s="650" t="s">
        <v>896</v>
      </c>
      <c r="I241" s="650" t="s">
        <v>896</v>
      </c>
      <c r="J241" s="650" t="s">
        <v>896</v>
      </c>
      <c r="K241" s="650" t="s">
        <v>896</v>
      </c>
      <c r="L241" s="650" t="s">
        <v>896</v>
      </c>
      <c r="M241" s="650"/>
      <c r="N241" s="650"/>
      <c r="O241" s="650"/>
      <c r="P241" s="650" t="s">
        <v>894</v>
      </c>
      <c r="Q241" s="650" t="s">
        <v>897</v>
      </c>
      <c r="R241" s="650" t="s">
        <v>897</v>
      </c>
      <c r="S241" s="650"/>
      <c r="T241" s="650"/>
      <c r="U241" s="649" t="s">
        <v>898</v>
      </c>
      <c r="V241" s="650" t="s">
        <v>899</v>
      </c>
    </row>
    <row r="242" spans="2:22" ht="20" hidden="1" customHeight="1" outlineLevel="1" x14ac:dyDescent="0.2">
      <c r="B242" s="650" t="s">
        <v>900</v>
      </c>
      <c r="C242" s="650" t="s">
        <v>901</v>
      </c>
      <c r="D242" s="650" t="s">
        <v>901</v>
      </c>
      <c r="E242" s="650"/>
      <c r="F242" s="650"/>
      <c r="G242" s="650" t="s">
        <v>900</v>
      </c>
      <c r="H242" s="650" t="s">
        <v>378</v>
      </c>
      <c r="I242" s="650" t="s">
        <v>378</v>
      </c>
      <c r="J242" s="650" t="s">
        <v>378</v>
      </c>
      <c r="K242" s="650" t="s">
        <v>901</v>
      </c>
      <c r="L242" s="650" t="s">
        <v>901</v>
      </c>
      <c r="M242" s="650"/>
      <c r="N242" s="650"/>
      <c r="O242" s="650"/>
      <c r="P242" s="650" t="s">
        <v>902</v>
      </c>
      <c r="Q242" s="650" t="s">
        <v>378</v>
      </c>
      <c r="R242" s="650" t="s">
        <v>378</v>
      </c>
      <c r="S242" s="650"/>
      <c r="T242" s="650"/>
      <c r="U242" s="650" t="s">
        <v>903</v>
      </c>
      <c r="V242" s="650"/>
    </row>
    <row r="243" spans="2:22" ht="20" hidden="1" customHeight="1" outlineLevel="1" x14ac:dyDescent="0.2">
      <c r="B243" s="650" t="s">
        <v>904</v>
      </c>
      <c r="C243" s="650" t="s">
        <v>905</v>
      </c>
      <c r="D243" s="650" t="s">
        <v>906</v>
      </c>
      <c r="E243" s="650"/>
      <c r="F243" s="650"/>
      <c r="G243" s="650" t="s">
        <v>904</v>
      </c>
      <c r="H243" s="650" t="s">
        <v>905</v>
      </c>
      <c r="I243" s="650" t="s">
        <v>905</v>
      </c>
      <c r="J243" s="650" t="s">
        <v>905</v>
      </c>
      <c r="K243" s="650" t="s">
        <v>905</v>
      </c>
      <c r="L243" s="650" t="s">
        <v>905</v>
      </c>
      <c r="M243" s="650"/>
      <c r="N243" s="650"/>
      <c r="O243" s="650"/>
      <c r="P243" s="650" t="s">
        <v>904</v>
      </c>
      <c r="Q243" s="650" t="s">
        <v>907</v>
      </c>
      <c r="R243" s="650" t="s">
        <v>905</v>
      </c>
      <c r="S243" s="650"/>
      <c r="T243" s="650"/>
      <c r="U243" s="649" t="s">
        <v>908</v>
      </c>
      <c r="V243" s="650" t="s">
        <v>909</v>
      </c>
    </row>
    <row r="244" spans="2:22" hidden="1" outlineLevel="1" x14ac:dyDescent="0.2">
      <c r="B244" s="650"/>
      <c r="C244" s="650"/>
      <c r="D244" s="650"/>
      <c r="E244" s="650"/>
      <c r="F244" s="650"/>
      <c r="G244" s="650"/>
      <c r="H244" s="650"/>
      <c r="I244" s="650"/>
      <c r="J244" s="650"/>
      <c r="K244" s="650"/>
      <c r="L244" s="650"/>
      <c r="M244" s="650"/>
      <c r="N244" s="650"/>
      <c r="O244" s="650"/>
      <c r="P244" s="650"/>
      <c r="Q244" s="650"/>
      <c r="R244" s="650"/>
      <c r="S244" s="650"/>
      <c r="T244" s="650"/>
      <c r="U244" s="650"/>
      <c r="V244" s="650"/>
    </row>
    <row r="245" spans="2:22" ht="24" hidden="1" customHeight="1" outlineLevel="1" x14ac:dyDescent="0.2">
      <c r="B245" s="50" t="s">
        <v>911</v>
      </c>
      <c r="C245" s="50" t="s">
        <v>7</v>
      </c>
      <c r="D245" s="50" t="s">
        <v>7</v>
      </c>
      <c r="E245" s="50" t="s">
        <v>90</v>
      </c>
      <c r="F245" s="650"/>
      <c r="G245" s="50" t="s">
        <v>911</v>
      </c>
      <c r="H245" s="50" t="s">
        <v>7</v>
      </c>
      <c r="I245" s="50" t="s">
        <v>7</v>
      </c>
      <c r="J245" s="50" t="s">
        <v>7</v>
      </c>
      <c r="K245" s="50" t="s">
        <v>7</v>
      </c>
      <c r="L245" s="50" t="s">
        <v>7</v>
      </c>
      <c r="M245" s="50" t="s">
        <v>90</v>
      </c>
      <c r="N245" s="650"/>
      <c r="O245" s="650"/>
      <c r="P245" s="50" t="s">
        <v>911</v>
      </c>
      <c r="Q245" s="50" t="s">
        <v>7</v>
      </c>
      <c r="R245" s="50" t="s">
        <v>7</v>
      </c>
      <c r="S245" s="650"/>
      <c r="T245" s="649"/>
      <c r="U245" s="650"/>
      <c r="V245" s="650"/>
    </row>
    <row r="246" spans="2:22" ht="24" hidden="1" customHeight="1" outlineLevel="1" x14ac:dyDescent="0.2">
      <c r="B246" s="87" t="s">
        <v>748</v>
      </c>
      <c r="C246" s="2184">
        <v>0.92</v>
      </c>
      <c r="D246" s="2184">
        <v>0.9</v>
      </c>
      <c r="E246" s="2184">
        <f t="shared" ref="E246:E267" si="13">AVERAGE(C246:D246)</f>
        <v>0.91</v>
      </c>
      <c r="F246" s="650"/>
      <c r="G246" s="87" t="s">
        <v>748</v>
      </c>
      <c r="H246" s="2184">
        <v>0.84</v>
      </c>
      <c r="I246" s="2184">
        <v>0.73</v>
      </c>
      <c r="J246" s="2184">
        <v>0.64</v>
      </c>
      <c r="K246" s="2184">
        <v>0.8</v>
      </c>
      <c r="L246" s="2184">
        <v>0.73</v>
      </c>
      <c r="M246" s="2184">
        <f t="shared" ref="M246:M252" si="14">AVERAGE(H246:L246)</f>
        <v>0.748</v>
      </c>
      <c r="N246" s="650"/>
      <c r="O246" s="650"/>
      <c r="P246" s="87" t="s">
        <v>748</v>
      </c>
      <c r="Q246" s="2184">
        <v>0.3</v>
      </c>
      <c r="R246" s="2184">
        <v>0.41</v>
      </c>
      <c r="S246" s="650"/>
      <c r="T246" s="650"/>
      <c r="U246" s="650"/>
      <c r="V246" s="650"/>
    </row>
    <row r="247" spans="2:22" ht="24" hidden="1" customHeight="1" outlineLevel="1" x14ac:dyDescent="0.2">
      <c r="B247" s="87" t="s">
        <v>749</v>
      </c>
      <c r="C247" s="2184">
        <v>0.01</v>
      </c>
      <c r="D247" s="2184">
        <v>0</v>
      </c>
      <c r="E247" s="2184">
        <f t="shared" si="13"/>
        <v>5.0000000000000001E-3</v>
      </c>
      <c r="F247" s="650"/>
      <c r="G247" s="87" t="s">
        <v>749</v>
      </c>
      <c r="H247" s="2184">
        <v>0.04</v>
      </c>
      <c r="I247" s="2184">
        <v>0.08</v>
      </c>
      <c r="J247" s="2184">
        <v>0.04</v>
      </c>
      <c r="K247" s="2184">
        <v>0.06</v>
      </c>
      <c r="L247" s="2184">
        <v>0.13</v>
      </c>
      <c r="M247" s="2184">
        <f t="shared" si="14"/>
        <v>6.9999999999999993E-2</v>
      </c>
      <c r="N247" s="650"/>
      <c r="O247" s="650"/>
      <c r="P247" s="87" t="s">
        <v>749</v>
      </c>
      <c r="Q247" s="2184">
        <v>0.1</v>
      </c>
      <c r="R247" s="2978">
        <v>0.36</v>
      </c>
      <c r="S247" s="650"/>
      <c r="T247" s="650"/>
      <c r="U247" s="650"/>
      <c r="V247" s="650"/>
    </row>
    <row r="248" spans="2:22" ht="24" hidden="1" customHeight="1" outlineLevel="1" x14ac:dyDescent="0.2">
      <c r="B248" s="87" t="s">
        <v>726</v>
      </c>
      <c r="C248" s="2184">
        <v>0.01</v>
      </c>
      <c r="D248" s="2184">
        <v>0</v>
      </c>
      <c r="E248" s="2184">
        <f t="shared" si="13"/>
        <v>5.0000000000000001E-3</v>
      </c>
      <c r="F248" s="650"/>
      <c r="G248" s="87" t="s">
        <v>913</v>
      </c>
      <c r="H248" s="2184">
        <v>7.0000000000000007E-2</v>
      </c>
      <c r="I248" s="2184">
        <v>0</v>
      </c>
      <c r="J248" s="2184">
        <v>0.17</v>
      </c>
      <c r="K248" s="2184">
        <v>0.06</v>
      </c>
      <c r="L248" s="2184">
        <v>0</v>
      </c>
      <c r="M248" s="2184">
        <f t="shared" si="14"/>
        <v>6.0000000000000012E-2</v>
      </c>
      <c r="N248" s="650"/>
      <c r="O248" s="650"/>
      <c r="P248" s="87" t="s">
        <v>913</v>
      </c>
      <c r="Q248" s="2184">
        <v>0.4</v>
      </c>
      <c r="R248" s="2978"/>
      <c r="S248" s="650"/>
      <c r="T248" s="650"/>
      <c r="U248" s="650"/>
      <c r="V248" s="650"/>
    </row>
    <row r="249" spans="2:22" ht="24" hidden="1" customHeight="1" outlineLevel="1" x14ac:dyDescent="0.2">
      <c r="B249" s="87" t="s">
        <v>750</v>
      </c>
      <c r="C249" s="2184">
        <v>0.06</v>
      </c>
      <c r="D249" s="2184">
        <v>0.1</v>
      </c>
      <c r="E249" s="2184">
        <f t="shared" si="13"/>
        <v>0.08</v>
      </c>
      <c r="F249" s="650"/>
      <c r="G249" s="87" t="s">
        <v>726</v>
      </c>
      <c r="H249" s="2184">
        <v>0.02</v>
      </c>
      <c r="I249" s="2184">
        <v>0</v>
      </c>
      <c r="J249" s="2184">
        <v>0</v>
      </c>
      <c r="K249" s="2184">
        <v>0.06</v>
      </c>
      <c r="L249" s="2184">
        <v>0</v>
      </c>
      <c r="M249" s="2184">
        <f t="shared" si="14"/>
        <v>1.6E-2</v>
      </c>
      <c r="N249" s="650"/>
      <c r="O249" s="650"/>
      <c r="P249" s="87" t="s">
        <v>726</v>
      </c>
      <c r="Q249" s="2184">
        <v>0.05</v>
      </c>
      <c r="R249" s="2978"/>
      <c r="S249" s="650"/>
      <c r="T249" s="650"/>
      <c r="U249" s="650"/>
      <c r="V249" s="650"/>
    </row>
    <row r="250" spans="2:22" ht="24" hidden="1" customHeight="1" outlineLevel="1" x14ac:dyDescent="0.2">
      <c r="B250" s="87" t="s">
        <v>198</v>
      </c>
      <c r="C250" s="2184">
        <v>1</v>
      </c>
      <c r="D250" s="2184">
        <v>1</v>
      </c>
      <c r="E250" s="2184">
        <f t="shared" si="13"/>
        <v>1</v>
      </c>
      <c r="F250" s="650"/>
      <c r="G250" s="87" t="s">
        <v>914</v>
      </c>
      <c r="H250" s="2184">
        <v>0.03</v>
      </c>
      <c r="I250" s="2184">
        <v>0</v>
      </c>
      <c r="J250" s="2184">
        <v>0</v>
      </c>
      <c r="K250" s="2184">
        <v>0.01</v>
      </c>
      <c r="L250" s="2184">
        <v>0.03</v>
      </c>
      <c r="M250" s="2184">
        <f t="shared" si="14"/>
        <v>1.4000000000000002E-2</v>
      </c>
      <c r="N250" s="650"/>
      <c r="O250" s="650"/>
      <c r="P250" s="87" t="s">
        <v>914</v>
      </c>
      <c r="Q250" s="88" t="s">
        <v>250</v>
      </c>
      <c r="R250" s="2184">
        <v>0.12</v>
      </c>
      <c r="S250" s="650"/>
      <c r="T250" s="650"/>
      <c r="U250" s="650"/>
      <c r="V250" s="650"/>
    </row>
    <row r="251" spans="2:22" ht="24" hidden="1" customHeight="1" outlineLevel="1" x14ac:dyDescent="0.2">
      <c r="B251" s="650"/>
      <c r="C251" s="650"/>
      <c r="D251" s="650"/>
      <c r="E251" s="650"/>
      <c r="F251" s="650"/>
      <c r="G251" s="87" t="s">
        <v>750</v>
      </c>
      <c r="H251" s="2184">
        <v>0</v>
      </c>
      <c r="I251" s="2184">
        <v>0.19</v>
      </c>
      <c r="J251" s="2184">
        <v>0.15</v>
      </c>
      <c r="K251" s="2184">
        <v>0.01</v>
      </c>
      <c r="L251" s="2184">
        <v>0.11</v>
      </c>
      <c r="M251" s="2184">
        <f t="shared" si="14"/>
        <v>9.1999999999999998E-2</v>
      </c>
      <c r="N251" s="650"/>
      <c r="O251" s="650"/>
      <c r="P251" s="87" t="s">
        <v>750</v>
      </c>
      <c r="Q251" s="2185">
        <v>0.15</v>
      </c>
      <c r="R251" s="2184">
        <v>0.1</v>
      </c>
      <c r="S251" s="650"/>
      <c r="T251" s="650"/>
      <c r="U251" s="650"/>
      <c r="V251" s="650"/>
    </row>
    <row r="252" spans="2:22" ht="24" hidden="1" customHeight="1" outlineLevel="1" x14ac:dyDescent="0.2">
      <c r="B252" s="650"/>
      <c r="C252" s="650"/>
      <c r="D252" s="650"/>
      <c r="E252" s="650"/>
      <c r="F252" s="650"/>
      <c r="G252" s="87" t="s">
        <v>198</v>
      </c>
      <c r="H252" s="2184">
        <v>1</v>
      </c>
      <c r="I252" s="2184">
        <v>1</v>
      </c>
      <c r="J252" s="2184">
        <v>1</v>
      </c>
      <c r="K252" s="2184">
        <v>1</v>
      </c>
      <c r="L252" s="2184">
        <v>1</v>
      </c>
      <c r="M252" s="2184">
        <f t="shared" si="14"/>
        <v>1</v>
      </c>
      <c r="N252" s="650"/>
      <c r="O252" s="650"/>
      <c r="P252" s="87" t="s">
        <v>198</v>
      </c>
      <c r="Q252" s="2184">
        <v>1</v>
      </c>
      <c r="R252" s="2184">
        <v>1</v>
      </c>
      <c r="S252" s="650"/>
      <c r="T252" s="650"/>
      <c r="U252" s="650"/>
      <c r="V252" s="650"/>
    </row>
    <row r="253" spans="2:22" hidden="1" outlineLevel="1" x14ac:dyDescent="0.2">
      <c r="D253" s="483"/>
    </row>
    <row r="254" spans="2:22" hidden="1" outlineLevel="1" x14ac:dyDescent="0.2"/>
    <row r="255" spans="2:22" hidden="1" outlineLevel="1" x14ac:dyDescent="0.2"/>
    <row r="256" spans="2:22" ht="20" hidden="1" outlineLevel="1" x14ac:dyDescent="0.2">
      <c r="B256" s="2176" t="s">
        <v>1791</v>
      </c>
    </row>
    <row r="257" spans="2:15" hidden="1" outlineLevel="1" x14ac:dyDescent="0.2"/>
    <row r="258" spans="2:15" hidden="1" outlineLevel="1" x14ac:dyDescent="0.2">
      <c r="B258" s="430" t="s">
        <v>1793</v>
      </c>
    </row>
    <row r="259" spans="2:15" hidden="1" outlineLevel="1" x14ac:dyDescent="0.2"/>
    <row r="260" spans="2:15" hidden="1" outlineLevel="1" x14ac:dyDescent="0.2">
      <c r="B260" s="102" t="s">
        <v>1795</v>
      </c>
      <c r="G260" s="644" t="s">
        <v>1794</v>
      </c>
      <c r="H260" s="2"/>
      <c r="I260" s="2"/>
      <c r="J260" s="2"/>
      <c r="K260" s="558"/>
      <c r="L260" s="2"/>
      <c r="M260" s="644" t="s">
        <v>1796</v>
      </c>
      <c r="N260" s="2"/>
      <c r="O260" s="2"/>
    </row>
    <row r="261" spans="2:15" hidden="1" outlineLevel="1" x14ac:dyDescent="0.2">
      <c r="G261" s="2"/>
      <c r="H261" s="2"/>
      <c r="I261" s="2"/>
      <c r="J261" s="2"/>
      <c r="K261" s="2"/>
      <c r="L261" s="2"/>
      <c r="M261" s="2"/>
      <c r="N261" s="2"/>
      <c r="O261" s="2"/>
    </row>
    <row r="262" spans="2:15" ht="24" hidden="1" customHeight="1" outlineLevel="1" x14ac:dyDescent="0.2">
      <c r="C262" s="60" t="s">
        <v>919</v>
      </c>
      <c r="D262" s="60" t="s">
        <v>741</v>
      </c>
      <c r="H262" s="60" t="s">
        <v>741</v>
      </c>
      <c r="I262" s="60" t="s">
        <v>920</v>
      </c>
      <c r="J262" s="60" t="s">
        <v>1528</v>
      </c>
    </row>
    <row r="263" spans="2:15" ht="34" hidden="1" outlineLevel="1" x14ac:dyDescent="0.2">
      <c r="B263" s="60" t="s">
        <v>721</v>
      </c>
      <c r="C263" s="60" t="s">
        <v>7</v>
      </c>
      <c r="D263" s="60" t="s">
        <v>7</v>
      </c>
      <c r="E263" s="60" t="s">
        <v>90</v>
      </c>
      <c r="G263" s="60" t="s">
        <v>721</v>
      </c>
      <c r="H263" s="74" t="s">
        <v>1529</v>
      </c>
      <c r="I263" s="60" t="s">
        <v>7</v>
      </c>
      <c r="J263" s="60" t="s">
        <v>7</v>
      </c>
      <c r="K263" s="60" t="s">
        <v>90</v>
      </c>
      <c r="L263" s="2"/>
      <c r="M263" s="60" t="s">
        <v>721</v>
      </c>
      <c r="N263" s="60" t="s">
        <v>7</v>
      </c>
      <c r="O263" s="2"/>
    </row>
    <row r="264" spans="2:15" hidden="1" outlineLevel="1" x14ac:dyDescent="0.2">
      <c r="B264" s="81" t="s">
        <v>748</v>
      </c>
      <c r="C264" s="369">
        <v>0.7</v>
      </c>
      <c r="D264" s="369">
        <v>0.79</v>
      </c>
      <c r="E264" s="479">
        <f t="shared" si="13"/>
        <v>0.745</v>
      </c>
      <c r="G264" s="645" t="s">
        <v>742</v>
      </c>
      <c r="H264" s="1942">
        <v>0.45</v>
      </c>
      <c r="I264" s="1942">
        <v>0.73</v>
      </c>
      <c r="J264" s="1942">
        <v>0.75</v>
      </c>
      <c r="K264" s="1942">
        <f t="shared" ref="K264:K267" si="15">AVERAGE(H264:J264)</f>
        <v>0.64333333333333331</v>
      </c>
      <c r="L264" s="2"/>
      <c r="M264" s="77" t="s">
        <v>742</v>
      </c>
      <c r="N264" s="369">
        <v>1</v>
      </c>
      <c r="O264" s="2"/>
    </row>
    <row r="265" spans="2:15" hidden="1" outlineLevel="1" x14ac:dyDescent="0.2">
      <c r="B265" s="87" t="s">
        <v>749</v>
      </c>
      <c r="C265" s="369">
        <v>0.17</v>
      </c>
      <c r="D265" s="369">
        <v>0.11</v>
      </c>
      <c r="E265" s="479">
        <f t="shared" si="13"/>
        <v>0.14000000000000001</v>
      </c>
      <c r="G265" s="645" t="s">
        <v>748</v>
      </c>
      <c r="H265" s="1942">
        <v>0.41</v>
      </c>
      <c r="I265" s="1942">
        <v>0.09</v>
      </c>
      <c r="J265" s="1942">
        <v>0.09</v>
      </c>
      <c r="K265" s="1942">
        <f t="shared" si="15"/>
        <v>0.19666666666666666</v>
      </c>
      <c r="L265" s="2"/>
      <c r="M265" s="77" t="s">
        <v>748</v>
      </c>
      <c r="N265" s="369">
        <v>0</v>
      </c>
      <c r="O265" s="2"/>
    </row>
    <row r="266" spans="2:15" hidden="1" outlineLevel="1" x14ac:dyDescent="0.2">
      <c r="B266" s="81" t="s">
        <v>728</v>
      </c>
      <c r="C266" s="369">
        <v>0.12</v>
      </c>
      <c r="D266" s="369">
        <v>0.06</v>
      </c>
      <c r="E266" s="479">
        <f t="shared" si="13"/>
        <v>0.09</v>
      </c>
      <c r="G266" s="645" t="s">
        <v>726</v>
      </c>
      <c r="H266" s="1942">
        <v>0.1</v>
      </c>
      <c r="I266" s="1942">
        <v>0.11</v>
      </c>
      <c r="J266" s="1942">
        <v>0.09</v>
      </c>
      <c r="K266" s="1942">
        <f t="shared" si="15"/>
        <v>0.10000000000000002</v>
      </c>
      <c r="L266" s="2"/>
      <c r="M266" s="77" t="s">
        <v>726</v>
      </c>
      <c r="N266" s="369">
        <v>0</v>
      </c>
      <c r="O266" s="2"/>
    </row>
    <row r="267" spans="2:15" hidden="1" outlineLevel="1" x14ac:dyDescent="0.2">
      <c r="B267" s="81" t="s">
        <v>742</v>
      </c>
      <c r="C267" s="369">
        <v>0.01</v>
      </c>
      <c r="D267" s="369">
        <v>0.04</v>
      </c>
      <c r="E267" s="479">
        <f t="shared" si="13"/>
        <v>2.5000000000000001E-2</v>
      </c>
      <c r="G267" s="645" t="s">
        <v>728</v>
      </c>
      <c r="H267" s="1942">
        <v>0.04</v>
      </c>
      <c r="I267" s="1942">
        <v>7.0000000000000007E-2</v>
      </c>
      <c r="J267" s="1942">
        <v>7.0000000000000007E-2</v>
      </c>
      <c r="K267" s="1942">
        <f t="shared" si="15"/>
        <v>6.0000000000000005E-2</v>
      </c>
      <c r="L267" s="2"/>
      <c r="M267" s="77" t="s">
        <v>728</v>
      </c>
      <c r="N267" s="369">
        <v>0</v>
      </c>
      <c r="O267" s="2"/>
    </row>
    <row r="268" spans="2:15" hidden="1" outlineLevel="1" x14ac:dyDescent="0.2">
      <c r="B268" s="60" t="s">
        <v>13</v>
      </c>
      <c r="C268" s="479">
        <f>SUM(C264:C267)</f>
        <v>1</v>
      </c>
      <c r="D268" s="479">
        <f>SUM(D264:D267)</f>
        <v>1</v>
      </c>
      <c r="E268" s="479">
        <f>SUM(E264:E267)</f>
        <v>1</v>
      </c>
      <c r="G268" s="381" t="s">
        <v>13</v>
      </c>
      <c r="H268" s="479">
        <f t="shared" ref="H268:I268" si="16">SUM(H264:H267)</f>
        <v>1</v>
      </c>
      <c r="I268" s="479">
        <f t="shared" si="16"/>
        <v>1</v>
      </c>
      <c r="J268" s="479">
        <f>SUM(J264:J267)</f>
        <v>1</v>
      </c>
      <c r="K268" s="479">
        <f>SUM(K264:K267)</f>
        <v>1</v>
      </c>
      <c r="L268" s="2"/>
      <c r="M268" s="60" t="s">
        <v>13</v>
      </c>
      <c r="N268" s="479">
        <f>SUM(N264:N267)</f>
        <v>1</v>
      </c>
      <c r="O268" s="2"/>
    </row>
    <row r="269" spans="2:15" hidden="1" outlineLevel="1" x14ac:dyDescent="0.2">
      <c r="G269" s="2"/>
      <c r="H269" s="2"/>
      <c r="I269" s="2"/>
      <c r="J269" s="2"/>
      <c r="K269" s="2"/>
      <c r="L269" s="2"/>
      <c r="M269" s="2"/>
      <c r="N269" s="2"/>
      <c r="O269" s="2"/>
    </row>
    <row r="270" spans="2:15" hidden="1" outlineLevel="1" x14ac:dyDescent="0.2">
      <c r="B270" s="55" t="s">
        <v>917</v>
      </c>
      <c r="G270" s="2" t="s">
        <v>1530</v>
      </c>
      <c r="H270" s="2"/>
      <c r="I270" s="2"/>
      <c r="J270" s="2"/>
      <c r="K270" s="2"/>
      <c r="L270" s="2"/>
      <c r="M270" s="2645" t="s">
        <v>2333</v>
      </c>
      <c r="N270" s="2645"/>
      <c r="O270" s="2645"/>
    </row>
    <row r="271" spans="2:15" hidden="1" outlineLevel="1" x14ac:dyDescent="0.2">
      <c r="B271" s="55" t="s">
        <v>918</v>
      </c>
      <c r="G271" s="646" t="s">
        <v>1531</v>
      </c>
      <c r="H271" s="646"/>
      <c r="I271" s="646"/>
      <c r="J271" s="2"/>
      <c r="K271" s="2"/>
      <c r="L271" s="2"/>
      <c r="M271" s="2645"/>
      <c r="N271" s="2645"/>
      <c r="O271" s="2645"/>
    </row>
    <row r="272" spans="2:15" hidden="1" outlineLevel="1" x14ac:dyDescent="0.2">
      <c r="G272" s="648" t="s">
        <v>1532</v>
      </c>
      <c r="H272" s="646"/>
      <c r="I272" s="646"/>
      <c r="J272" s="646"/>
      <c r="K272" s="2"/>
      <c r="L272" s="2"/>
      <c r="M272" s="2645"/>
      <c r="N272" s="2645"/>
      <c r="O272" s="2645"/>
    </row>
    <row r="273" spans="2:16" hidden="1" outlineLevel="1" x14ac:dyDescent="0.2">
      <c r="G273" s="646" t="s">
        <v>1533</v>
      </c>
      <c r="H273" s="2"/>
      <c r="I273" s="2"/>
      <c r="J273" s="2"/>
      <c r="K273" s="2"/>
      <c r="L273" s="2"/>
    </row>
    <row r="274" spans="2:16" hidden="1" outlineLevel="1" x14ac:dyDescent="0.2">
      <c r="G274" s="2" t="s">
        <v>2033</v>
      </c>
      <c r="H274" s="2"/>
      <c r="I274" s="2"/>
      <c r="J274" s="2"/>
      <c r="K274" s="2"/>
      <c r="L274" s="2"/>
    </row>
    <row r="275" spans="2:16" hidden="1" outlineLevel="1" x14ac:dyDescent="0.2">
      <c r="B275" s="643" t="s">
        <v>1792</v>
      </c>
      <c r="C275" s="2"/>
      <c r="D275" s="2"/>
      <c r="E275" s="2"/>
      <c r="F275" s="2"/>
      <c r="M275" s="2"/>
      <c r="N275" s="2"/>
      <c r="O275" s="2"/>
      <c r="P275" s="2"/>
    </row>
    <row r="276" spans="2:16" hidden="1" outlineLevel="1" x14ac:dyDescent="0.2">
      <c r="B276" s="2"/>
      <c r="C276" s="2"/>
      <c r="D276" s="2"/>
      <c r="E276" s="650"/>
      <c r="F276" s="650"/>
      <c r="G276" s="650"/>
      <c r="H276" s="2"/>
      <c r="I276" s="2"/>
      <c r="J276" s="2"/>
      <c r="K276" s="2"/>
      <c r="L276" s="2"/>
      <c r="M276" s="2"/>
      <c r="N276" s="2"/>
      <c r="O276" s="2"/>
      <c r="P276" s="2"/>
    </row>
    <row r="277" spans="2:16" hidden="1" outlineLevel="1" x14ac:dyDescent="0.2">
      <c r="B277" s="644" t="s">
        <v>1797</v>
      </c>
      <c r="C277" s="2"/>
      <c r="D277" s="2"/>
      <c r="E277" s="650"/>
      <c r="G277" s="644" t="s">
        <v>1798</v>
      </c>
      <c r="H277" s="650"/>
      <c r="I277" s="2"/>
      <c r="J277" s="2"/>
      <c r="K277" s="2"/>
      <c r="L277" s="2"/>
      <c r="M277" s="2"/>
      <c r="N277" s="2"/>
      <c r="O277" s="2"/>
      <c r="P277" s="2"/>
    </row>
    <row r="278" spans="2:16" hidden="1" outlineLevel="1" x14ac:dyDescent="0.2">
      <c r="B278" s="2"/>
      <c r="C278" s="2"/>
      <c r="D278" s="2"/>
      <c r="E278" s="650"/>
      <c r="G278" s="650"/>
      <c r="H278" s="650"/>
      <c r="I278" s="2"/>
      <c r="J278" s="2"/>
      <c r="K278" s="2"/>
      <c r="L278" s="2"/>
      <c r="M278" s="2"/>
      <c r="N278" s="2"/>
      <c r="O278" s="2"/>
      <c r="P278" s="2"/>
    </row>
    <row r="279" spans="2:16" hidden="1" outlineLevel="1" x14ac:dyDescent="0.2">
      <c r="B279" s="60" t="s">
        <v>721</v>
      </c>
      <c r="C279" s="60" t="s">
        <v>7</v>
      </c>
      <c r="D279" s="2"/>
      <c r="E279" s="650"/>
      <c r="G279" s="110" t="s">
        <v>911</v>
      </c>
      <c r="H279" s="110" t="s">
        <v>7</v>
      </c>
      <c r="I279" s="2"/>
      <c r="J279" s="2"/>
      <c r="K279" s="2"/>
      <c r="L279" s="2"/>
      <c r="M279" s="2"/>
      <c r="N279" s="2"/>
      <c r="O279" s="2"/>
      <c r="P279" s="2"/>
    </row>
    <row r="280" spans="2:16" ht="17" hidden="1" outlineLevel="1" x14ac:dyDescent="0.2">
      <c r="B280" s="58" t="s">
        <v>748</v>
      </c>
      <c r="C280" s="369">
        <v>0.76200000000000001</v>
      </c>
      <c r="D280" s="2"/>
      <c r="E280" s="650"/>
      <c r="G280" s="651" t="s">
        <v>748</v>
      </c>
      <c r="H280" s="652">
        <f>42%+12%</f>
        <v>0.54</v>
      </c>
      <c r="I280" s="2"/>
      <c r="J280" s="2"/>
      <c r="K280" s="2"/>
      <c r="L280" s="2"/>
      <c r="M280" s="2"/>
      <c r="N280" s="2"/>
      <c r="O280" s="2"/>
      <c r="P280" s="2"/>
    </row>
    <row r="281" spans="2:16" ht="17" hidden="1" outlineLevel="1" x14ac:dyDescent="0.2">
      <c r="B281" s="58" t="s">
        <v>750</v>
      </c>
      <c r="C281" s="369">
        <v>0.09</v>
      </c>
      <c r="D281" s="2"/>
      <c r="E281" s="2"/>
      <c r="G281" s="651" t="s">
        <v>750</v>
      </c>
      <c r="H281" s="652">
        <v>0.1</v>
      </c>
      <c r="I281" s="2"/>
      <c r="J281" s="2"/>
      <c r="K281" s="2"/>
      <c r="L281" s="2"/>
      <c r="M281" s="2"/>
      <c r="N281" s="2"/>
      <c r="O281" s="2"/>
      <c r="P281" s="2"/>
    </row>
    <row r="282" spans="2:16" ht="17" hidden="1" outlineLevel="1" x14ac:dyDescent="0.2">
      <c r="B282" s="58" t="s">
        <v>749</v>
      </c>
      <c r="C282" s="369">
        <v>6.9999999999999993E-2</v>
      </c>
      <c r="D282" s="2"/>
      <c r="E282" s="2"/>
      <c r="G282" s="651" t="s">
        <v>749</v>
      </c>
      <c r="H282" s="83">
        <f t="shared" ref="H282:H284" si="17">36%/3</f>
        <v>0.12</v>
      </c>
      <c r="I282" s="2"/>
      <c r="J282" s="2"/>
      <c r="K282" s="2"/>
      <c r="L282" s="2"/>
      <c r="M282" s="2"/>
      <c r="N282" s="2"/>
      <c r="O282" s="2"/>
      <c r="P282" s="2"/>
    </row>
    <row r="283" spans="2:16" ht="17" hidden="1" outlineLevel="1" x14ac:dyDescent="0.2">
      <c r="B283" s="58" t="s">
        <v>913</v>
      </c>
      <c r="C283" s="369">
        <v>6.0000000000000012E-2</v>
      </c>
      <c r="D283" s="2"/>
      <c r="E283" s="2"/>
      <c r="G283" s="651" t="s">
        <v>913</v>
      </c>
      <c r="H283" s="83">
        <f t="shared" si="17"/>
        <v>0.12</v>
      </c>
      <c r="I283" s="2"/>
      <c r="J283" s="2"/>
      <c r="K283" s="2"/>
      <c r="L283" s="2"/>
      <c r="M283" s="2"/>
      <c r="N283" s="2"/>
      <c r="O283" s="2"/>
      <c r="P283" s="2"/>
    </row>
    <row r="284" spans="2:16" ht="17" hidden="1" outlineLevel="1" x14ac:dyDescent="0.2">
      <c r="B284" s="58" t="s">
        <v>726</v>
      </c>
      <c r="C284" s="369">
        <v>1.6E-2</v>
      </c>
      <c r="D284" s="2"/>
      <c r="E284" s="2"/>
      <c r="G284" s="651" t="s">
        <v>726</v>
      </c>
      <c r="H284" s="83">
        <f t="shared" si="17"/>
        <v>0.12</v>
      </c>
      <c r="I284" s="2"/>
      <c r="J284" s="2"/>
      <c r="K284" s="2"/>
      <c r="L284" s="2"/>
      <c r="M284" s="2"/>
      <c r="N284" s="2"/>
      <c r="O284" s="2"/>
      <c r="P284" s="2"/>
    </row>
    <row r="285" spans="2:16" ht="17" hidden="1" outlineLevel="1" x14ac:dyDescent="0.2">
      <c r="B285" s="74" t="s">
        <v>13</v>
      </c>
      <c r="C285" s="385">
        <f>SUM(C280:C284)</f>
        <v>0.998</v>
      </c>
      <c r="D285" s="2"/>
      <c r="E285" s="2"/>
      <c r="G285" s="653" t="s">
        <v>13</v>
      </c>
      <c r="H285" s="654">
        <f>SUM(H280:H284)</f>
        <v>1</v>
      </c>
      <c r="I285" s="2"/>
      <c r="J285" s="2"/>
      <c r="K285" s="2"/>
      <c r="L285" s="2"/>
      <c r="M285" s="2"/>
      <c r="N285" s="2"/>
      <c r="O285" s="2"/>
      <c r="P285" s="2"/>
    </row>
    <row r="286" spans="2:16" hidden="1" outlineLevel="1" x14ac:dyDescent="0.2">
      <c r="B286" s="2"/>
      <c r="C286" s="655"/>
      <c r="D286" s="2"/>
      <c r="E286" s="2"/>
      <c r="G286" s="2"/>
      <c r="H286" s="2"/>
      <c r="I286" s="2"/>
      <c r="J286" s="2"/>
      <c r="K286" s="2"/>
      <c r="L286" s="2"/>
      <c r="M286" s="2"/>
      <c r="N286" s="2"/>
      <c r="O286" s="2"/>
      <c r="P286" s="2"/>
    </row>
    <row r="287" spans="2:16" hidden="1" outlineLevel="1" x14ac:dyDescent="0.2">
      <c r="B287" s="409" t="s">
        <v>1534</v>
      </c>
      <c r="C287" s="655"/>
      <c r="D287" s="2"/>
      <c r="E287" s="2"/>
      <c r="G287" s="650" t="s">
        <v>1535</v>
      </c>
      <c r="H287" s="2"/>
      <c r="I287" s="2"/>
      <c r="J287" s="2"/>
      <c r="K287" s="2"/>
      <c r="L287" s="2"/>
      <c r="M287" s="2"/>
      <c r="N287" s="2"/>
      <c r="O287" s="2"/>
      <c r="P287" s="2"/>
    </row>
    <row r="288" spans="2:16" hidden="1" outlineLevel="1" x14ac:dyDescent="0.2">
      <c r="B288" s="480"/>
      <c r="C288" s="655"/>
      <c r="D288" s="2"/>
      <c r="E288" s="2"/>
      <c r="G288" s="656" t="s">
        <v>1536</v>
      </c>
      <c r="H288" s="2"/>
      <c r="I288" s="2"/>
      <c r="J288" s="2"/>
      <c r="K288" s="2"/>
      <c r="L288" s="2"/>
      <c r="M288" s="2"/>
      <c r="N288" s="2"/>
      <c r="O288" s="2"/>
      <c r="P288" s="2"/>
    </row>
    <row r="289" spans="1:16" hidden="1" outlineLevel="1" x14ac:dyDescent="0.2">
      <c r="B289" s="480"/>
      <c r="C289" s="655"/>
      <c r="D289" s="558"/>
      <c r="E289" s="2"/>
      <c r="G289" s="2" t="s">
        <v>1537</v>
      </c>
      <c r="H289" s="2"/>
      <c r="I289" s="2"/>
      <c r="J289" s="2"/>
      <c r="K289" s="2"/>
      <c r="L289" s="2"/>
      <c r="M289" s="2"/>
      <c r="N289" s="2"/>
      <c r="O289" s="2"/>
      <c r="P289" s="2"/>
    </row>
    <row r="290" spans="1:16" hidden="1" outlineLevel="1" x14ac:dyDescent="0.2">
      <c r="B290" s="480"/>
      <c r="C290" s="655"/>
      <c r="D290" s="2"/>
      <c r="E290" s="2"/>
      <c r="F290" s="2"/>
      <c r="G290" s="2"/>
      <c r="H290" s="2"/>
      <c r="I290" s="2"/>
      <c r="J290" s="2"/>
      <c r="K290" s="2"/>
      <c r="L290" s="2"/>
      <c r="M290" s="2"/>
      <c r="N290" s="2"/>
      <c r="O290" s="2"/>
      <c r="P290" s="2"/>
    </row>
    <row r="291" spans="1:16" hidden="1" outlineLevel="1" x14ac:dyDescent="0.2">
      <c r="A291" s="2"/>
      <c r="B291" s="2"/>
      <c r="C291" s="2"/>
      <c r="D291" s="2"/>
      <c r="E291" s="2"/>
      <c r="F291" s="2"/>
      <c r="G291" s="2"/>
      <c r="H291" s="2"/>
      <c r="I291" s="2"/>
      <c r="J291" s="2"/>
      <c r="K291" s="2"/>
      <c r="L291" s="2"/>
      <c r="M291" s="2"/>
      <c r="N291" s="2"/>
      <c r="O291" s="2"/>
      <c r="P291" s="2"/>
    </row>
    <row r="292" spans="1:16" ht="20" hidden="1" outlineLevel="1" x14ac:dyDescent="0.2">
      <c r="A292" s="2"/>
      <c r="B292" s="1940" t="s">
        <v>1799</v>
      </c>
      <c r="C292" s="2"/>
      <c r="D292" s="2"/>
      <c r="E292" s="2"/>
      <c r="F292" s="2"/>
      <c r="G292" s="2"/>
      <c r="H292" s="2"/>
      <c r="I292" s="2"/>
      <c r="J292" s="2"/>
      <c r="K292" s="2"/>
      <c r="L292" s="2"/>
      <c r="M292" s="2"/>
      <c r="N292" s="2"/>
      <c r="O292" s="2"/>
      <c r="P292" s="2"/>
    </row>
    <row r="293" spans="1:16" hidden="1" outlineLevel="1" x14ac:dyDescent="0.2">
      <c r="A293" s="2"/>
      <c r="B293" s="2"/>
      <c r="C293" s="2"/>
      <c r="D293" s="2"/>
      <c r="E293" s="2"/>
      <c r="F293" s="2"/>
      <c r="G293" s="2"/>
      <c r="H293" s="2"/>
      <c r="I293" s="2"/>
      <c r="J293" s="2"/>
      <c r="K293" s="2"/>
      <c r="L293" s="2"/>
      <c r="M293" s="2"/>
      <c r="N293" s="2"/>
      <c r="O293" s="2"/>
      <c r="P293" s="2"/>
    </row>
    <row r="294" spans="1:16" hidden="1" outlineLevel="1" x14ac:dyDescent="0.2">
      <c r="A294" s="2"/>
      <c r="B294" s="2"/>
      <c r="C294" s="2"/>
      <c r="D294" s="2"/>
      <c r="E294" s="2"/>
      <c r="F294" s="2"/>
      <c r="G294" s="2"/>
      <c r="H294" s="2"/>
      <c r="I294" s="2"/>
      <c r="J294" s="2"/>
      <c r="K294" s="2"/>
      <c r="L294" s="2"/>
      <c r="M294" s="2"/>
      <c r="N294" s="2"/>
      <c r="O294" s="2"/>
      <c r="P294" s="2"/>
    </row>
    <row r="295" spans="1:16" hidden="1" outlineLevel="1" x14ac:dyDescent="0.2">
      <c r="A295" s="2"/>
      <c r="B295" s="409" t="s">
        <v>1767</v>
      </c>
      <c r="C295" s="2"/>
      <c r="D295" s="2"/>
      <c r="E295" s="2"/>
      <c r="F295" s="2"/>
      <c r="G295" s="2"/>
      <c r="H295" s="2"/>
      <c r="I295" s="2"/>
      <c r="J295" s="2"/>
      <c r="K295" s="2"/>
      <c r="L295" s="2"/>
      <c r="M295" s="2"/>
      <c r="N295" s="2"/>
      <c r="O295" s="2"/>
      <c r="P295" s="2"/>
    </row>
    <row r="296" spans="1:16" hidden="1" outlineLevel="1" x14ac:dyDescent="0.2">
      <c r="A296" s="2"/>
      <c r="B296" s="2"/>
      <c r="C296" s="2"/>
      <c r="D296" s="2"/>
      <c r="E296" s="2"/>
      <c r="F296" s="2"/>
      <c r="G296" s="2"/>
      <c r="H296" s="2"/>
      <c r="I296" s="2"/>
      <c r="J296" s="2"/>
      <c r="K296" s="2"/>
      <c r="L296" s="2"/>
      <c r="M296" s="2"/>
      <c r="N296" s="2"/>
      <c r="O296" s="2"/>
      <c r="P296" s="2"/>
    </row>
    <row r="297" spans="1:16" ht="34" hidden="1" outlineLevel="1" x14ac:dyDescent="0.2">
      <c r="A297" s="2"/>
      <c r="B297" s="392"/>
      <c r="C297" s="218" t="s">
        <v>1768</v>
      </c>
      <c r="D297" s="218" t="s">
        <v>1769</v>
      </c>
      <c r="E297" s="2"/>
      <c r="F297" s="2"/>
      <c r="G297" s="2"/>
      <c r="H297" s="2"/>
      <c r="I297" s="2"/>
      <c r="J297" s="2"/>
      <c r="K297" s="2"/>
      <c r="L297" s="2"/>
      <c r="M297" s="2"/>
      <c r="N297" s="2"/>
      <c r="O297" s="2"/>
      <c r="P297" s="2"/>
    </row>
    <row r="298" spans="1:16" ht="27" hidden="1" customHeight="1" outlineLevel="1" x14ac:dyDescent="0.2">
      <c r="A298" s="2"/>
      <c r="B298" s="76" t="s">
        <v>1770</v>
      </c>
      <c r="C298" s="416">
        <v>0.96499999999999997</v>
      </c>
      <c r="D298" s="416">
        <v>3.5000000000000003E-2</v>
      </c>
      <c r="E298" s="2"/>
      <c r="F298" s="2"/>
      <c r="G298" s="2"/>
      <c r="H298" s="2"/>
      <c r="I298" s="2"/>
      <c r="J298" s="2"/>
      <c r="K298" s="2"/>
      <c r="L298" s="2"/>
      <c r="M298" s="2"/>
      <c r="N298" s="2"/>
      <c r="O298" s="2"/>
      <c r="P298" s="2"/>
    </row>
    <row r="299" spans="1:16" ht="27" hidden="1" customHeight="1" outlineLevel="1" x14ac:dyDescent="0.2">
      <c r="A299" s="2"/>
      <c r="B299" s="76" t="s">
        <v>1771</v>
      </c>
      <c r="C299" s="416">
        <v>0.92600000000000005</v>
      </c>
      <c r="D299" s="416">
        <v>7.3999999999999996E-2</v>
      </c>
      <c r="E299" s="2"/>
      <c r="F299" s="2"/>
      <c r="G299" s="2"/>
      <c r="H299" s="2"/>
      <c r="I299" s="2"/>
      <c r="J299" s="2"/>
      <c r="K299" s="2"/>
      <c r="L299" s="2"/>
      <c r="M299" s="2"/>
      <c r="N299" s="2"/>
      <c r="O299" s="2"/>
      <c r="P299" s="2"/>
    </row>
    <row r="300" spans="1:16" ht="27" hidden="1" customHeight="1" outlineLevel="1" x14ac:dyDescent="0.2">
      <c r="A300" s="2"/>
      <c r="B300" s="76" t="s">
        <v>1586</v>
      </c>
      <c r="C300" s="416">
        <v>0.98399999999999999</v>
      </c>
      <c r="D300" s="416">
        <v>1.6E-2</v>
      </c>
      <c r="E300" s="2"/>
      <c r="F300" s="2"/>
      <c r="G300" s="2"/>
      <c r="H300" s="2"/>
      <c r="I300" s="2"/>
      <c r="J300" s="2"/>
      <c r="K300" s="2"/>
      <c r="L300" s="2"/>
      <c r="M300" s="2"/>
      <c r="N300" s="2"/>
      <c r="O300" s="2"/>
      <c r="P300" s="2"/>
    </row>
    <row r="301" spans="1:16" hidden="1" outlineLevel="1" x14ac:dyDescent="0.2">
      <c r="A301" s="2"/>
      <c r="B301" s="2968" t="s">
        <v>1772</v>
      </c>
      <c r="C301" s="2968"/>
      <c r="D301" s="2968"/>
      <c r="E301" s="2"/>
      <c r="F301" s="2"/>
      <c r="G301" s="2"/>
      <c r="H301" s="2"/>
      <c r="I301" s="2"/>
      <c r="J301" s="2"/>
      <c r="K301" s="2"/>
      <c r="L301" s="2"/>
      <c r="M301" s="2"/>
      <c r="N301" s="2"/>
      <c r="O301" s="2"/>
      <c r="P301" s="2"/>
    </row>
    <row r="302" spans="1:16" hidden="1" outlineLevel="1" x14ac:dyDescent="0.2">
      <c r="A302" s="2"/>
      <c r="B302" s="2969"/>
      <c r="C302" s="2969"/>
      <c r="D302" s="2969"/>
      <c r="E302" s="2"/>
      <c r="F302" s="2"/>
      <c r="G302" s="2"/>
      <c r="H302" s="2"/>
      <c r="I302" s="2"/>
      <c r="J302" s="2"/>
      <c r="K302" s="2"/>
      <c r="L302" s="2"/>
      <c r="M302" s="2"/>
      <c r="N302" s="2"/>
      <c r="O302" s="2"/>
      <c r="P302" s="2"/>
    </row>
    <row r="303" spans="1:16" hidden="1" outlineLevel="1" x14ac:dyDescent="0.2">
      <c r="A303" s="2"/>
      <c r="B303" s="2186"/>
      <c r="C303" s="2186"/>
      <c r="D303" s="2186"/>
      <c r="E303" s="2"/>
      <c r="F303" s="2"/>
      <c r="G303" s="2"/>
      <c r="H303" s="2"/>
      <c r="I303" s="2"/>
      <c r="J303" s="2"/>
      <c r="K303" s="2"/>
    </row>
    <row r="304" spans="1:16" hidden="1" outlineLevel="1" x14ac:dyDescent="0.2">
      <c r="A304" s="2"/>
      <c r="B304" s="409" t="s">
        <v>1773</v>
      </c>
      <c r="C304" s="2"/>
      <c r="D304" s="2"/>
      <c r="E304" s="2"/>
      <c r="F304" s="2"/>
      <c r="G304" s="2"/>
      <c r="H304" s="2"/>
      <c r="I304" s="2"/>
      <c r="J304" s="2"/>
      <c r="K304" s="2"/>
    </row>
    <row r="305" spans="2:7" hidden="1" outlineLevel="1" x14ac:dyDescent="0.2">
      <c r="B305" s="2"/>
      <c r="C305" s="2"/>
      <c r="D305" s="2"/>
      <c r="E305" s="2"/>
      <c r="F305" s="2"/>
      <c r="G305" s="2"/>
    </row>
    <row r="306" spans="2:7" ht="29" hidden="1" customHeight="1" outlineLevel="1" x14ac:dyDescent="0.2">
      <c r="B306" s="392"/>
      <c r="C306" s="218" t="s">
        <v>1768</v>
      </c>
      <c r="D306" s="218" t="s">
        <v>1769</v>
      </c>
      <c r="E306" s="389" t="s">
        <v>1365</v>
      </c>
      <c r="F306" s="2"/>
      <c r="G306" s="2"/>
    </row>
    <row r="307" spans="2:7" ht="29" hidden="1" customHeight="1" outlineLevel="1" x14ac:dyDescent="0.2">
      <c r="B307" s="76" t="s">
        <v>1774</v>
      </c>
      <c r="C307" s="504">
        <v>0.9194</v>
      </c>
      <c r="D307" s="504">
        <v>8.0600000000000005E-2</v>
      </c>
      <c r="E307" s="58"/>
      <c r="F307" s="2"/>
      <c r="G307" s="2"/>
    </row>
    <row r="308" spans="2:7" ht="29" hidden="1" customHeight="1" outlineLevel="1" x14ac:dyDescent="0.2">
      <c r="B308" s="76" t="s">
        <v>1775</v>
      </c>
      <c r="C308" s="504">
        <v>0.95</v>
      </c>
      <c r="D308" s="504">
        <v>0.05</v>
      </c>
      <c r="E308" s="1326" t="s">
        <v>1776</v>
      </c>
      <c r="F308" s="2"/>
      <c r="G308" s="2"/>
    </row>
    <row r="309" spans="2:7" ht="29" hidden="1" customHeight="1" outlineLevel="1" x14ac:dyDescent="0.2">
      <c r="B309" s="76" t="s">
        <v>1777</v>
      </c>
      <c r="C309" s="504">
        <v>0.94950000000000001</v>
      </c>
      <c r="D309" s="504">
        <v>5.0500000000000003E-2</v>
      </c>
      <c r="E309" s="89"/>
      <c r="F309" s="2"/>
      <c r="G309" s="2"/>
    </row>
    <row r="310" spans="2:7" ht="29" hidden="1" customHeight="1" outlineLevel="1" x14ac:dyDescent="0.2">
      <c r="B310" s="76" t="s">
        <v>1778</v>
      </c>
      <c r="C310" s="504">
        <v>0.96970000000000001</v>
      </c>
      <c r="D310" s="504">
        <v>3.0300000000000001E-2</v>
      </c>
      <c r="E310" s="89"/>
      <c r="F310" s="2"/>
      <c r="G310" s="2"/>
    </row>
    <row r="311" spans="2:7" hidden="1" outlineLevel="1" x14ac:dyDescent="0.2">
      <c r="B311" s="2"/>
      <c r="C311" s="1457"/>
      <c r="D311" s="1457"/>
      <c r="E311" s="2"/>
      <c r="F311" s="2"/>
      <c r="G311" s="2"/>
    </row>
    <row r="312" spans="2:7" hidden="1" outlineLevel="1" x14ac:dyDescent="0.2">
      <c r="B312" s="2970" t="s">
        <v>1779</v>
      </c>
      <c r="C312" s="2970"/>
      <c r="D312" s="2970"/>
      <c r="E312" s="2"/>
      <c r="F312" s="2"/>
      <c r="G312" s="2"/>
    </row>
    <row r="313" spans="2:7" hidden="1" outlineLevel="1" x14ac:dyDescent="0.2">
      <c r="B313" s="2970"/>
      <c r="C313" s="2970"/>
      <c r="D313" s="2970"/>
      <c r="E313" s="2"/>
      <c r="F313" s="2"/>
      <c r="G313" s="2"/>
    </row>
    <row r="314" spans="2:7" hidden="1" outlineLevel="1" x14ac:dyDescent="0.2">
      <c r="B314" s="2"/>
      <c r="C314" s="2"/>
      <c r="D314" s="2"/>
      <c r="E314" s="2"/>
      <c r="F314" s="2"/>
      <c r="G314" s="2"/>
    </row>
    <row r="315" spans="2:7" ht="31" hidden="1" customHeight="1" outlineLevel="1" x14ac:dyDescent="0.2">
      <c r="B315" s="2108"/>
      <c r="C315" s="2971" t="s">
        <v>1780</v>
      </c>
      <c r="D315" s="2972"/>
      <c r="E315" s="2106" t="s">
        <v>1781</v>
      </c>
      <c r="F315" s="2107"/>
      <c r="G315" s="328"/>
    </row>
    <row r="316" spans="2:7" ht="31" hidden="1" customHeight="1" outlineLevel="1" x14ac:dyDescent="0.2">
      <c r="B316" s="2187" t="s">
        <v>1782</v>
      </c>
      <c r="C316" s="74" t="s">
        <v>1783</v>
      </c>
      <c r="D316" s="74" t="s">
        <v>1784</v>
      </c>
      <c r="E316" s="74" t="s">
        <v>1783</v>
      </c>
      <c r="F316" s="74" t="s">
        <v>1784</v>
      </c>
      <c r="G316" s="60" t="s">
        <v>125</v>
      </c>
    </row>
    <row r="317" spans="2:7" ht="31" hidden="1" customHeight="1" outlineLevel="1" x14ac:dyDescent="0.2">
      <c r="B317" s="76" t="s">
        <v>1785</v>
      </c>
      <c r="C317" s="456">
        <f>AVERAGE(C299,C307)</f>
        <v>0.92270000000000008</v>
      </c>
      <c r="D317" s="456">
        <f>AVERAGE(D299,D307)</f>
        <v>7.7300000000000008E-2</v>
      </c>
      <c r="E317" s="456">
        <f>AVERAGE(C298,C308)</f>
        <v>0.95750000000000002</v>
      </c>
      <c r="F317" s="456">
        <f>AVERAGE(D298,D308)</f>
        <v>4.2500000000000003E-2</v>
      </c>
      <c r="G317" s="81" t="s">
        <v>1786</v>
      </c>
    </row>
    <row r="318" spans="2:7" ht="31" hidden="1" customHeight="1" outlineLevel="1" x14ac:dyDescent="0.2">
      <c r="B318" s="76" t="s">
        <v>1787</v>
      </c>
      <c r="C318" s="456">
        <v>0.97499999999999998</v>
      </c>
      <c r="D318" s="2188">
        <v>2.5000000000000001E-2</v>
      </c>
      <c r="E318" s="2189">
        <v>0.99</v>
      </c>
      <c r="F318" s="2189">
        <v>0.01</v>
      </c>
      <c r="G318" s="1063" t="s">
        <v>1788</v>
      </c>
    </row>
    <row r="319" spans="2:7" ht="31" hidden="1" customHeight="1" outlineLevel="1" x14ac:dyDescent="0.2">
      <c r="B319" s="76" t="s">
        <v>1789</v>
      </c>
      <c r="C319" s="2189">
        <f>AVERAGE(C309:C310)</f>
        <v>0.95960000000000001</v>
      </c>
      <c r="D319" s="2189">
        <f>AVERAGE(D309:D310)</f>
        <v>4.0400000000000005E-2</v>
      </c>
      <c r="E319" s="2189">
        <v>0.99</v>
      </c>
      <c r="F319" s="2189">
        <v>0.01</v>
      </c>
      <c r="G319" s="1063" t="s">
        <v>1790</v>
      </c>
    </row>
    <row r="320" spans="2:7" hidden="1" outlineLevel="1" x14ac:dyDescent="0.2"/>
    <row r="321" spans="2:9" hidden="1" outlineLevel="1" x14ac:dyDescent="0.2"/>
    <row r="322" spans="2:9" hidden="1" outlineLevel="1" x14ac:dyDescent="0.2"/>
    <row r="323" spans="2:9" ht="20" hidden="1" outlineLevel="1" x14ac:dyDescent="0.2">
      <c r="B323" s="1940" t="s">
        <v>2000</v>
      </c>
    </row>
    <row r="324" spans="2:9" ht="18" hidden="1" outlineLevel="1" x14ac:dyDescent="0.2">
      <c r="B324" s="2190"/>
    </row>
    <row r="325" spans="2:9" hidden="1" outlineLevel="1" x14ac:dyDescent="0.2">
      <c r="B325" s="328" t="s">
        <v>2406</v>
      </c>
    </row>
    <row r="326" spans="2:9" hidden="1" outlineLevel="1" x14ac:dyDescent="0.2">
      <c r="C326" s="2971" t="s">
        <v>2407</v>
      </c>
      <c r="D326" s="2972"/>
      <c r="G326" s="2971" t="s">
        <v>2408</v>
      </c>
      <c r="H326" s="2972"/>
    </row>
    <row r="327" spans="2:9" hidden="1" outlineLevel="1" x14ac:dyDescent="0.2">
      <c r="B327" s="2106" t="s">
        <v>721</v>
      </c>
      <c r="C327" s="60" t="s">
        <v>71</v>
      </c>
      <c r="D327" s="60" t="s">
        <v>722</v>
      </c>
      <c r="F327" s="2106" t="s">
        <v>721</v>
      </c>
      <c r="G327" s="60" t="s">
        <v>71</v>
      </c>
      <c r="H327" s="60" t="s">
        <v>722</v>
      </c>
    </row>
    <row r="328" spans="2:9" hidden="1" outlineLevel="1" x14ac:dyDescent="0.2">
      <c r="B328" s="2320" t="s">
        <v>748</v>
      </c>
      <c r="C328" s="91">
        <f>$E$190*$E$191*$E$192*E193*E201/1000</f>
        <v>60980.236288973385</v>
      </c>
      <c r="D328" s="673">
        <f>E193</f>
        <v>0.745</v>
      </c>
      <c r="F328" s="89" t="s">
        <v>748</v>
      </c>
      <c r="G328" s="502">
        <f>$D$190*$D$191*$D$192*D193*D200/1000</f>
        <v>60921.308335387796</v>
      </c>
      <c r="H328" s="673">
        <f>D193</f>
        <v>0.76200000000000001</v>
      </c>
    </row>
    <row r="329" spans="2:9" hidden="1" outlineLevel="1" x14ac:dyDescent="0.2">
      <c r="B329" s="2320" t="s">
        <v>726</v>
      </c>
      <c r="C329" s="91">
        <f>$E$190*$E$191*$E$192*E197*E205/1000</f>
        <v>466.02512320000005</v>
      </c>
      <c r="D329" s="673">
        <f>E197</f>
        <v>0.14000000000000001</v>
      </c>
      <c r="F329" s="89" t="s">
        <v>2409</v>
      </c>
      <c r="G329" s="81"/>
      <c r="H329" s="673">
        <f>D194</f>
        <v>9.1999999999999998E-2</v>
      </c>
    </row>
    <row r="330" spans="2:9" hidden="1" outlineLevel="1" x14ac:dyDescent="0.2">
      <c r="B330" s="2320" t="s">
        <v>728</v>
      </c>
      <c r="C330" s="91">
        <f>$E$190*$E$191*$E$192*E198*E206/1000</f>
        <v>2646.0579600000001</v>
      </c>
      <c r="D330" s="673">
        <f t="shared" ref="D330:D331" si="18">E198</f>
        <v>0.09</v>
      </c>
      <c r="F330" s="89" t="s">
        <v>921</v>
      </c>
      <c r="G330" s="502">
        <f>D190*D191*D192*SUMPRODUCT(D195:D197,D203:D205)/1000</f>
        <v>6845.9261654950751</v>
      </c>
      <c r="H330" s="673">
        <f>D195+D196+D197</f>
        <v>0.14600000000000002</v>
      </c>
    </row>
    <row r="331" spans="2:9" hidden="1" outlineLevel="1" x14ac:dyDescent="0.2">
      <c r="B331" s="672" t="s">
        <v>742</v>
      </c>
      <c r="C331" s="91">
        <f>$E$190*$E$191*$E$192*E199*E207/1000</f>
        <v>6428.2764000000006</v>
      </c>
      <c r="D331" s="673">
        <f t="shared" si="18"/>
        <v>2.5000000000000001E-2</v>
      </c>
      <c r="F331" s="7" t="s">
        <v>198</v>
      </c>
      <c r="G331" s="352">
        <f>SUM(G328:G330)</f>
        <v>67767.234500882871</v>
      </c>
      <c r="H331" s="352"/>
      <c r="I331"/>
    </row>
    <row r="332" spans="2:9" hidden="1" outlineLevel="1" x14ac:dyDescent="0.2">
      <c r="B332" s="1594" t="s">
        <v>198</v>
      </c>
      <c r="C332" s="352">
        <f>SUM(C328:C331)</f>
        <v>70520.595772173387</v>
      </c>
      <c r="D332" s="2321">
        <f>SUM(D328:D331)</f>
        <v>1</v>
      </c>
    </row>
    <row r="333" spans="2:9" hidden="1" outlineLevel="1" x14ac:dyDescent="0.2"/>
    <row r="334" spans="2:9" hidden="1" outlineLevel="1" x14ac:dyDescent="0.2">
      <c r="B334" s="328" t="s">
        <v>2383</v>
      </c>
    </row>
    <row r="335" spans="2:9" hidden="1" outlineLevel="1" x14ac:dyDescent="0.2">
      <c r="B335" s="328"/>
    </row>
    <row r="336" spans="2:9" hidden="1" outlineLevel="1" x14ac:dyDescent="0.2">
      <c r="B336" s="232" t="s">
        <v>1357</v>
      </c>
    </row>
    <row r="337" spans="2:5" hidden="1" outlineLevel="1" x14ac:dyDescent="0.2">
      <c r="B337" s="55" t="s">
        <v>2380</v>
      </c>
      <c r="E337" s="102"/>
    </row>
    <row r="338" spans="2:5" hidden="1" outlineLevel="1" x14ac:dyDescent="0.2">
      <c r="E338" s="102"/>
    </row>
    <row r="339" spans="2:5" hidden="1" outlineLevel="1" x14ac:dyDescent="0.2">
      <c r="B339" s="102" t="s">
        <v>2381</v>
      </c>
    </row>
    <row r="340" spans="2:5" ht="20" hidden="1" customHeight="1" outlineLevel="1" x14ac:dyDescent="0.2">
      <c r="B340" s="2771" t="s">
        <v>378</v>
      </c>
      <c r="C340" s="2771"/>
      <c r="D340" s="2771" t="s">
        <v>377</v>
      </c>
      <c r="E340" s="2771"/>
    </row>
    <row r="341" spans="2:5" ht="20" hidden="1" customHeight="1" outlineLevel="1" x14ac:dyDescent="0.2">
      <c r="B341" s="89" t="str">
        <f>'13'!B336</f>
        <v>Nombre rencontres nationales</v>
      </c>
      <c r="C341" s="89">
        <f>'13'!C336</f>
        <v>937</v>
      </c>
      <c r="D341" s="89" t="str">
        <f>'13'!D336</f>
        <v>Nombre rencontres nationales</v>
      </c>
      <c r="E341" s="89">
        <f>'13'!E336</f>
        <v>432</v>
      </c>
    </row>
    <row r="342" spans="2:5" ht="20" hidden="1" customHeight="1" outlineLevel="1" x14ac:dyDescent="0.2">
      <c r="B342" s="89" t="str">
        <f>'13'!B337</f>
        <v>Nombre rencontres européennes</v>
      </c>
      <c r="C342" s="89">
        <f>'13'!C337</f>
        <v>36</v>
      </c>
      <c r="D342" s="89" t="str">
        <f>'13'!D337</f>
        <v>Nombre rencontres européennes</v>
      </c>
      <c r="E342" s="89">
        <f>'13'!E337</f>
        <v>32</v>
      </c>
    </row>
    <row r="343" spans="2:5" ht="20" hidden="1" customHeight="1" outlineLevel="1" x14ac:dyDescent="0.2">
      <c r="B343" s="89" t="str">
        <f>'13'!B338</f>
        <v>Nombre rencontres extra-européennes</v>
      </c>
      <c r="C343" s="89">
        <f>'13'!C338</f>
        <v>8</v>
      </c>
      <c r="D343" s="89" t="str">
        <f>'13'!D338</f>
        <v>Nombre rencontres extra-européennes</v>
      </c>
      <c r="E343" s="89">
        <f>'13'!E338</f>
        <v>11</v>
      </c>
    </row>
    <row r="344" spans="2:5" ht="20" hidden="1" customHeight="1" outlineLevel="1" x14ac:dyDescent="0.2">
      <c r="B344" s="2290" t="str">
        <f>'13'!B339</f>
        <v>Total</v>
      </c>
      <c r="C344" s="2290">
        <f>'13'!C339</f>
        <v>981</v>
      </c>
      <c r="D344" s="2290" t="str">
        <f>'13'!D339</f>
        <v>Total</v>
      </c>
      <c r="E344" s="2290">
        <f>'13'!E339</f>
        <v>475</v>
      </c>
    </row>
    <row r="345" spans="2:5" ht="20" hidden="1" customHeight="1" outlineLevel="1" x14ac:dyDescent="0.2">
      <c r="B345" s="2290" t="s">
        <v>922</v>
      </c>
      <c r="C345" s="2291">
        <f>'13'!C340</f>
        <v>0.67376373626373631</v>
      </c>
      <c r="D345" s="2290" t="str">
        <f>'13'!D340</f>
        <v>%</v>
      </c>
      <c r="E345" s="2291">
        <f>'13'!E340</f>
        <v>0.32623626373626374</v>
      </c>
    </row>
    <row r="346" spans="2:5" ht="20" hidden="1" customHeight="1" outlineLevel="1" x14ac:dyDescent="0.2">
      <c r="B346" s="2301"/>
      <c r="C346" s="2302"/>
      <c r="D346" s="2301"/>
      <c r="E346" s="2302"/>
    </row>
    <row r="347" spans="2:5" ht="20" hidden="1" customHeight="1" outlineLevel="1" x14ac:dyDescent="0.2">
      <c r="B347" s="102" t="s">
        <v>2382</v>
      </c>
    </row>
    <row r="348" spans="2:5" ht="20" hidden="1" customHeight="1" outlineLevel="1" x14ac:dyDescent="0.2">
      <c r="B348" s="102"/>
      <c r="C348" s="60" t="s">
        <v>378</v>
      </c>
      <c r="D348" s="60" t="s">
        <v>2391</v>
      </c>
    </row>
    <row r="349" spans="2:5" ht="20" hidden="1" customHeight="1" outlineLevel="1" x14ac:dyDescent="0.2">
      <c r="B349" s="81" t="s">
        <v>2392</v>
      </c>
      <c r="C349" s="314">
        <f>($C$341/SUM($E$341,$C$341))*(D208+E208)</f>
        <v>94649.888214648454</v>
      </c>
      <c r="D349" s="314">
        <f>($E$341/SUM($E$341,$C$341))*(D208+E208)</f>
        <v>43637.942058407825</v>
      </c>
    </row>
    <row r="350" spans="2:5" ht="20" hidden="1" customHeight="1" outlineLevel="1" x14ac:dyDescent="0.2">
      <c r="B350" s="81" t="s">
        <v>1341</v>
      </c>
      <c r="C350" s="314">
        <f>($C$342/SUM($E$342,$C$342))*(F208+G208)</f>
        <v>43890.902086237918</v>
      </c>
      <c r="D350" s="314">
        <f>($E$342/SUM($E$342,$C$342))*(F208+G208)</f>
        <v>39014.135187767031</v>
      </c>
    </row>
    <row r="351" spans="2:5" ht="20" hidden="1" customHeight="1" outlineLevel="1" x14ac:dyDescent="0.2">
      <c r="B351" s="81" t="s">
        <v>2393</v>
      </c>
      <c r="C351" s="314">
        <f>($C$343/SUM($E$343,$C$343))*(H208+I208)</f>
        <v>33597.464006871887</v>
      </c>
      <c r="D351" s="314">
        <f>($E$343/SUM($E$343,$C$343))*(H208+I208)</f>
        <v>46196.513009448841</v>
      </c>
    </row>
    <row r="352" spans="2:5" hidden="1" outlineLevel="1" x14ac:dyDescent="0.2">
      <c r="B352" s="7" t="s">
        <v>198</v>
      </c>
      <c r="C352" s="352">
        <f>SUM(C349:C351)</f>
        <v>172138.25430775827</v>
      </c>
      <c r="D352" s="352">
        <f>SUM(D349:D351)</f>
        <v>128848.5902556237</v>
      </c>
    </row>
    <row r="353" spans="2:9" hidden="1" outlineLevel="1" x14ac:dyDescent="0.2"/>
    <row r="354" spans="2:9" hidden="1" outlineLevel="1" x14ac:dyDescent="0.2"/>
    <row r="355" spans="2:9" hidden="1" outlineLevel="1" x14ac:dyDescent="0.2"/>
    <row r="356" spans="2:9" hidden="1" outlineLevel="1" x14ac:dyDescent="0.2">
      <c r="B356" s="102" t="s">
        <v>2394</v>
      </c>
      <c r="E356"/>
      <c r="F356"/>
    </row>
    <row r="357" spans="2:9" hidden="1" outlineLevel="1" x14ac:dyDescent="0.2">
      <c r="C357" s="7" t="s">
        <v>6</v>
      </c>
      <c r="D357" s="785" t="s">
        <v>378</v>
      </c>
      <c r="E357" s="785" t="s">
        <v>2391</v>
      </c>
      <c r="F357"/>
    </row>
    <row r="358" spans="2:9" hidden="1" outlineLevel="1" x14ac:dyDescent="0.2">
      <c r="B358" s="2771" t="str">
        <f>B349</f>
        <v xml:space="preserve">Matchs nationaux </v>
      </c>
      <c r="C358" s="81" t="str">
        <f>Récapitulatif!B59</f>
        <v>Déplacements des spectateurs</v>
      </c>
      <c r="D358" s="1193">
        <f>C349</f>
        <v>94649.888214648454</v>
      </c>
      <c r="E358" s="1193">
        <f>D349</f>
        <v>43637.942058407825</v>
      </c>
    </row>
    <row r="359" spans="2:9" hidden="1" outlineLevel="1" x14ac:dyDescent="0.2">
      <c r="B359" s="2771"/>
      <c r="C359" s="81" t="str">
        <f>Récapitulatif!B60</f>
        <v>Déplacements des équipes</v>
      </c>
      <c r="D359" s="1193">
        <f>'13'!C344</f>
        <v>11555.570160042742</v>
      </c>
      <c r="E359" s="1193">
        <f>'13'!E344</f>
        <v>5327.6481420901437</v>
      </c>
    </row>
    <row r="360" spans="2:9" hidden="1" outlineLevel="1" x14ac:dyDescent="0.2">
      <c r="B360" s="2771"/>
      <c r="C360" s="81" t="str">
        <f>Récapitulatif!B61</f>
        <v>Déplacement des salariés</v>
      </c>
      <c r="D360" s="1193">
        <f>$C$341/SUM($C$344,$E$344)*Récapitulatif!C61</f>
        <v>13865.098733882516</v>
      </c>
      <c r="E360" s="1193">
        <f>$E$341/SUM($C$344,$E$344)*Récapitulatif!C61</f>
        <v>6392.4468015338807</v>
      </c>
    </row>
    <row r="361" spans="2:9" hidden="1" outlineLevel="1" x14ac:dyDescent="0.2">
      <c r="B361" s="2771"/>
      <c r="C361" s="81" t="str">
        <f>Récapitulatif!B62</f>
        <v>Construction et entretien infrastructures</v>
      </c>
      <c r="D361" s="1193">
        <f>$C$341/SUM($C$344,$E$344)*Récapitulatif!C62</f>
        <v>23923.336026538746</v>
      </c>
      <c r="E361" s="1193">
        <f>$E$341/SUM($C$344,$E$344)*Récapitulatif!C62</f>
        <v>11029.75577744369</v>
      </c>
    </row>
    <row r="362" spans="2:9" hidden="1" outlineLevel="1" x14ac:dyDescent="0.2">
      <c r="B362" s="2771"/>
      <c r="C362" s="81" t="str">
        <f>Récapitulatif!B63</f>
        <v>Alimentation et boisson</v>
      </c>
      <c r="D362" s="1193">
        <f>$C$341/SUM($C$344,$E$344)*Récapitulatif!C63</f>
        <v>16623.874612564225</v>
      </c>
      <c r="E362" s="1193">
        <f>$E$341/SUM($C$344,$E$344)*Récapitulatif!C63</f>
        <v>7664.3690849815839</v>
      </c>
    </row>
    <row r="363" spans="2:9" hidden="1" outlineLevel="1" x14ac:dyDescent="0.2">
      <c r="B363" s="2771"/>
      <c r="C363" s="81" t="str">
        <f>Récapitulatif!B64</f>
        <v>Retransmission</v>
      </c>
      <c r="D363" s="1193">
        <f>$C$341/SUM($C$344,$E$344)*Récapitulatif!C64</f>
        <v>6666.1899939778768</v>
      </c>
      <c r="E363" s="1193">
        <f>$E$341/SUM($C$344,$E$344)*Récapitulatif!C64</f>
        <v>3073.4195062950294</v>
      </c>
    </row>
    <row r="364" spans="2:9" hidden="1" outlineLevel="1" x14ac:dyDescent="0.2">
      <c r="B364" s="2771"/>
      <c r="C364" s="81" t="str">
        <f>Récapitulatif!B65</f>
        <v>Énergie (chauffage, éclairage, etc.)</v>
      </c>
      <c r="D364" s="1193">
        <f>$C$341/SUM($C$344,$E$344)*Récapitulatif!C65</f>
        <v>5650.315934065934</v>
      </c>
      <c r="E364" s="1193">
        <f>$E$341/SUM($C$344,$E$344)*Récapitulatif!C65</f>
        <v>2605.0549450549452</v>
      </c>
    </row>
    <row r="365" spans="2:9" hidden="1" outlineLevel="1" x14ac:dyDescent="0.2">
      <c r="B365" s="2771"/>
      <c r="C365" s="81" t="str">
        <f>Récapitulatif!B66</f>
        <v>Autres</v>
      </c>
      <c r="D365" s="1193">
        <f>$C$341/SUM($C$344,$E$344)*Récapitulatif!C66</f>
        <v>2222.3248448294494</v>
      </c>
      <c r="E365" s="1193">
        <f>$E$341/SUM($C$344,$E$344)*Récapitulatif!C66</f>
        <v>1024.5937384912722</v>
      </c>
    </row>
    <row r="366" spans="2:9" hidden="1" outlineLevel="1" x14ac:dyDescent="0.2">
      <c r="B366" s="2771"/>
      <c r="C366" s="81" t="str">
        <f>Récapitulatif!B67</f>
        <v>Déchets</v>
      </c>
      <c r="D366" s="1193">
        <f>$C$341/SUM($C$344,$E$344)*Récapitulatif!C67</f>
        <v>1786.8381706727632</v>
      </c>
      <c r="E366" s="1193">
        <f>$E$341/SUM($C$344,$E$344)*Récapitulatif!C67</f>
        <v>823.81439672426211</v>
      </c>
    </row>
    <row r="367" spans="2:9" hidden="1" outlineLevel="1" x14ac:dyDescent="0.2">
      <c r="B367" s="2771"/>
      <c r="C367" s="7" t="s">
        <v>198</v>
      </c>
      <c r="D367" s="2305">
        <f>SUM(D358:D366)</f>
        <v>176943.43669122271</v>
      </c>
      <c r="E367" s="2305">
        <f>SUM(E358:E366)</f>
        <v>81579.044451022637</v>
      </c>
      <c r="F367" s="1750" t="s">
        <v>556</v>
      </c>
      <c r="G367" s="2308">
        <f>SUM(D367:E367)/Récapitulatif!$C$68</f>
        <v>0.58374541110754852</v>
      </c>
      <c r="H367" s="2309" t="s">
        <v>2395</v>
      </c>
    </row>
    <row r="368" spans="2:9" hidden="1" outlineLevel="1" x14ac:dyDescent="0.2">
      <c r="B368" s="2771" t="str">
        <f>B350</f>
        <v>Matchs européens</v>
      </c>
      <c r="C368" s="428" t="str">
        <f t="shared" ref="C368:C376" si="19">C358</f>
        <v>Déplacements des spectateurs</v>
      </c>
      <c r="D368" s="2304">
        <f>C350</f>
        <v>43890.902086237918</v>
      </c>
      <c r="E368" s="2304">
        <f>D350</f>
        <v>39014.135187767031</v>
      </c>
      <c r="G368" s="1750" t="s">
        <v>579</v>
      </c>
      <c r="H368" s="2307">
        <f>SUM(C341,E341)/SUM($C$344,$E$344)</f>
        <v>0.94024725274725274</v>
      </c>
      <c r="I368" s="1750" t="s">
        <v>2396</v>
      </c>
    </row>
    <row r="369" spans="2:9" hidden="1" outlineLevel="1" x14ac:dyDescent="0.2">
      <c r="B369" s="2771"/>
      <c r="C369" s="428" t="str">
        <f t="shared" si="19"/>
        <v>Déplacements des équipes</v>
      </c>
      <c r="D369" s="2304">
        <f>'13'!C345</f>
        <v>2789.9773006920418</v>
      </c>
      <c r="E369" s="2304">
        <f>'13'!E345</f>
        <v>2479.9798228373706</v>
      </c>
      <c r="G369"/>
      <c r="H369"/>
      <c r="I369"/>
    </row>
    <row r="370" spans="2:9" hidden="1" outlineLevel="1" x14ac:dyDescent="0.2">
      <c r="B370" s="2771"/>
      <c r="C370" s="428" t="str">
        <f t="shared" si="19"/>
        <v>Déplacement des salariés</v>
      </c>
      <c r="D370" s="2304">
        <f>$C$342/SUM($C$344,$E$344)*Récapitulatif!C61</f>
        <v>532.70390012782332</v>
      </c>
      <c r="E370" s="2304">
        <f>$E$342/SUM($C$344,$E$344)*Récapitulatif!C61</f>
        <v>473.51457789139863</v>
      </c>
    </row>
    <row r="371" spans="2:9" hidden="1" outlineLevel="1" x14ac:dyDescent="0.2">
      <c r="B371" s="2771"/>
      <c r="C371" s="428" t="str">
        <f t="shared" si="19"/>
        <v>Construction et entretien infrastructures</v>
      </c>
      <c r="D371" s="2304">
        <f>$C$342/SUM($C$344,$E$344)*Récapitulatif!C62</f>
        <v>919.14631478697413</v>
      </c>
      <c r="E371" s="2304">
        <f>$E$342/SUM($C$344,$E$344)*Récapitulatif!C62</f>
        <v>817.01894647731046</v>
      </c>
    </row>
    <row r="372" spans="2:9" hidden="1" outlineLevel="1" x14ac:dyDescent="0.2">
      <c r="B372" s="2771"/>
      <c r="C372" s="428" t="str">
        <f t="shared" si="19"/>
        <v>Alimentation et boisson</v>
      </c>
      <c r="D372" s="2304">
        <f>$C$342/SUM($C$344,$E$344)*Récapitulatif!C63</f>
        <v>638.69742374846533</v>
      </c>
      <c r="E372" s="2304">
        <f>$E$342/SUM($C$344,$E$344)*Récapitulatif!C63</f>
        <v>567.7310433319692</v>
      </c>
    </row>
    <row r="373" spans="2:9" hidden="1" outlineLevel="1" x14ac:dyDescent="0.2">
      <c r="B373" s="2771"/>
      <c r="C373" s="428" t="str">
        <f t="shared" si="19"/>
        <v>Retransmission</v>
      </c>
      <c r="D373" s="2304">
        <f>$C$342/SUM($C$344,$E$344)*Récapitulatif!C64</f>
        <v>256.11829219125246</v>
      </c>
      <c r="E373" s="2304">
        <f>$E$342/SUM($C$344,$E$344)*Récapitulatif!C64</f>
        <v>227.66070417000219</v>
      </c>
    </row>
    <row r="374" spans="2:9" hidden="1" outlineLevel="1" x14ac:dyDescent="0.2">
      <c r="B374" s="2771"/>
      <c r="C374" s="428" t="str">
        <f t="shared" si="19"/>
        <v>Énergie (chauffage, éclairage, etc.)</v>
      </c>
      <c r="D374" s="2304">
        <f>$C$342/SUM($C$344,$E$344)*Récapitulatif!C65</f>
        <v>217.08791208791209</v>
      </c>
      <c r="E374" s="2304">
        <f>$E$342/SUM($C$344,$E$344)*Récapitulatif!C65</f>
        <v>192.96703296703299</v>
      </c>
    </row>
    <row r="375" spans="2:9" hidden="1" outlineLevel="1" x14ac:dyDescent="0.2">
      <c r="B375" s="2771"/>
      <c r="C375" s="428" t="str">
        <f t="shared" si="19"/>
        <v>Autres</v>
      </c>
      <c r="D375" s="2304">
        <f>$C$342/SUM($C$344,$E$344)*Récapitulatif!C66</f>
        <v>85.382811540939343</v>
      </c>
      <c r="E375" s="2304">
        <f>$E$342/SUM($C$344,$E$344)*Récapitulatif!C66</f>
        <v>75.895832480834983</v>
      </c>
    </row>
    <row r="376" spans="2:9" hidden="1" outlineLevel="1" x14ac:dyDescent="0.2">
      <c r="B376" s="2771"/>
      <c r="C376" s="428" t="str">
        <f t="shared" si="19"/>
        <v>Déchets</v>
      </c>
      <c r="D376" s="2304">
        <f>$C$342/SUM($C$344,$E$344)*Récapitulatif!C67</f>
        <v>68.651199727021847</v>
      </c>
      <c r="E376" s="2304">
        <f>$E$342/SUM($C$344,$E$344)*Récapitulatif!C67</f>
        <v>61.023288646241646</v>
      </c>
    </row>
    <row r="377" spans="2:9" hidden="1" outlineLevel="1" x14ac:dyDescent="0.2">
      <c r="B377" s="2771"/>
      <c r="C377" s="7" t="s">
        <v>198</v>
      </c>
      <c r="D377" s="2305">
        <f>SUM(D368:D376)</f>
        <v>49398.667241140356</v>
      </c>
      <c r="E377" s="2305">
        <f>SUM(E368:E376)</f>
        <v>43909.9264365692</v>
      </c>
      <c r="F377" s="1750" t="s">
        <v>556</v>
      </c>
      <c r="G377" s="2307">
        <f>SUM(D377:E377)/Récapitulatif!$C$68</f>
        <v>0.21069139958583291</v>
      </c>
      <c r="H377" s="1750" t="s">
        <v>2395</v>
      </c>
    </row>
    <row r="378" spans="2:9" hidden="1" outlineLevel="1" x14ac:dyDescent="0.2">
      <c r="B378" s="2771" t="str">
        <f>B351</f>
        <v>Matchs extra-européens</v>
      </c>
      <c r="C378" s="428" t="str">
        <f>C368</f>
        <v>Déplacements des spectateurs</v>
      </c>
      <c r="D378" s="428">
        <f>C351</f>
        <v>33597.464006871887</v>
      </c>
      <c r="E378" s="428">
        <f>D351</f>
        <v>46196.513009448841</v>
      </c>
      <c r="G378" s="1750" t="s">
        <v>579</v>
      </c>
      <c r="H378" s="2307">
        <f>SUM(C342,E342)/SUM($C$344,$E$344)</f>
        <v>4.6703296703296704E-2</v>
      </c>
      <c r="I378" s="1750" t="s">
        <v>2396</v>
      </c>
    </row>
    <row r="379" spans="2:9" hidden="1" outlineLevel="1" x14ac:dyDescent="0.2">
      <c r="B379" s="2771"/>
      <c r="C379" s="428" t="str">
        <f t="shared" ref="C379:C386" si="20">C369</f>
        <v>Déplacements des équipes</v>
      </c>
      <c r="D379" s="2304">
        <f>'13'!C346</f>
        <v>4130.1497263157898</v>
      </c>
      <c r="E379" s="2304">
        <f>'13'!E346</f>
        <v>5678.9558736842109</v>
      </c>
    </row>
    <row r="380" spans="2:9" hidden="1" outlineLevel="1" x14ac:dyDescent="0.2">
      <c r="B380" s="2771"/>
      <c r="C380" s="428" t="str">
        <f t="shared" si="20"/>
        <v>Déplacement des salariés</v>
      </c>
      <c r="D380" s="428">
        <f>$C$343/SUM($C$344,$E$344)*Récapitulatif!C61</f>
        <v>118.37864447284966</v>
      </c>
      <c r="E380" s="428">
        <f>$E$343/SUM($C$344,$E$344)*Récapitulatif!C61</f>
        <v>162.77063615016826</v>
      </c>
    </row>
    <row r="381" spans="2:9" hidden="1" outlineLevel="1" x14ac:dyDescent="0.2">
      <c r="B381" s="2771"/>
      <c r="C381" s="428" t="str">
        <f t="shared" si="20"/>
        <v>Construction et entretien infrastructures</v>
      </c>
      <c r="D381" s="428">
        <f>$C$343/SUM($C$344,$E$344)*Récapitulatif!C62</f>
        <v>204.25473661932762</v>
      </c>
      <c r="E381" s="428">
        <f>$E$343/SUM($C$344,$E$344)*Récapitulatif!C62</f>
        <v>280.85026285157545</v>
      </c>
    </row>
    <row r="382" spans="2:9" hidden="1" outlineLevel="1" x14ac:dyDescent="0.2">
      <c r="B382" s="2771"/>
      <c r="C382" s="428" t="str">
        <f t="shared" si="20"/>
        <v>Alimentation et boisson</v>
      </c>
      <c r="D382" s="428">
        <f>$C$343/SUM($C$344,$E$344)*Récapitulatif!C63</f>
        <v>141.9327608329923</v>
      </c>
      <c r="E382" s="428">
        <f>$E$343/SUM($C$344,$E$344)*Récapitulatif!C63</f>
        <v>195.15754614536439</v>
      </c>
    </row>
    <row r="383" spans="2:9" hidden="1" outlineLevel="1" x14ac:dyDescent="0.2">
      <c r="B383" s="2771"/>
      <c r="C383" s="428" t="str">
        <f t="shared" si="20"/>
        <v>Retransmission</v>
      </c>
      <c r="D383" s="428">
        <f>$C$343/SUM($C$344,$E$344)*Récapitulatif!C64</f>
        <v>56.915176042500548</v>
      </c>
      <c r="E383" s="428">
        <f>$E$343/SUM($C$344,$E$344)*Récapitulatif!C64</f>
        <v>78.258367058438253</v>
      </c>
    </row>
    <row r="384" spans="2:9" hidden="1" outlineLevel="1" x14ac:dyDescent="0.2">
      <c r="B384" s="2771"/>
      <c r="C384" s="428" t="str">
        <f t="shared" si="20"/>
        <v>Énergie (chauffage, éclairage, etc.)</v>
      </c>
      <c r="D384" s="428">
        <f>$C$343/SUM($C$344,$E$344)*Récapitulatif!C65</f>
        <v>48.241758241758248</v>
      </c>
      <c r="E384" s="428">
        <f>$E$343/SUM($C$344,$E$344)*Récapitulatif!C65</f>
        <v>66.332417582417577</v>
      </c>
    </row>
    <row r="385" spans="2:9" hidden="1" outlineLevel="1" x14ac:dyDescent="0.2">
      <c r="B385" s="2771"/>
      <c r="C385" s="428" t="str">
        <f t="shared" si="20"/>
        <v>Autres</v>
      </c>
      <c r="D385" s="428">
        <f>$C$343/SUM($C$344,$E$344)*Récapitulatif!C66</f>
        <v>18.973958120208746</v>
      </c>
      <c r="E385" s="428">
        <f>$E$343/SUM($C$344,$E$344)*Récapitulatif!C66</f>
        <v>26.089192415287023</v>
      </c>
    </row>
    <row r="386" spans="2:9" hidden="1" outlineLevel="1" x14ac:dyDescent="0.2">
      <c r="B386" s="2771"/>
      <c r="C386" s="428" t="str">
        <f t="shared" si="20"/>
        <v>Déchets</v>
      </c>
      <c r="D386" s="428">
        <f>$C$343/SUM($C$344,$E$344)*Récapitulatif!C67</f>
        <v>15.255822161560411</v>
      </c>
      <c r="E386" s="428">
        <f>$E$343/SUM($C$344,$E$344)*Récapitulatif!C67</f>
        <v>20.976755472145562</v>
      </c>
    </row>
    <row r="387" spans="2:9" hidden="1" outlineLevel="1" x14ac:dyDescent="0.2">
      <c r="B387" s="2771"/>
      <c r="C387" s="7" t="s">
        <v>198</v>
      </c>
      <c r="D387" s="2305">
        <f>SUM(D378:D386)</f>
        <v>38331.566589678863</v>
      </c>
      <c r="E387" s="2305">
        <f>SUM(E378:E386)</f>
        <v>52705.904060808447</v>
      </c>
      <c r="F387" s="1750" t="s">
        <v>556</v>
      </c>
      <c r="G387" s="2307">
        <f>SUM(D387:E387)/Récapitulatif!$C$68</f>
        <v>0.20556318930661854</v>
      </c>
      <c r="H387" s="1750" t="s">
        <v>2395</v>
      </c>
    </row>
    <row r="388" spans="2:9" hidden="1" outlineLevel="1" x14ac:dyDescent="0.2">
      <c r="G388" s="1750" t="s">
        <v>579</v>
      </c>
      <c r="H388" s="2307">
        <f>SUM(C343,E343)/SUM($C$344,$E$344)</f>
        <v>1.304945054945055E-2</v>
      </c>
      <c r="I388" s="1750" t="s">
        <v>2396</v>
      </c>
    </row>
    <row r="389" spans="2:9" hidden="1" outlineLevel="1" x14ac:dyDescent="0.2"/>
    <row r="390" spans="2:9" hidden="1" outlineLevel="1" x14ac:dyDescent="0.2">
      <c r="B390" s="81"/>
      <c r="C390" s="81" t="s">
        <v>2398</v>
      </c>
      <c r="D390" s="81" t="s">
        <v>2399</v>
      </c>
      <c r="E390" s="81" t="s">
        <v>2400</v>
      </c>
    </row>
    <row r="391" spans="2:9" hidden="1" outlineLevel="1" x14ac:dyDescent="0.2">
      <c r="B391" s="81" t="s">
        <v>2318</v>
      </c>
      <c r="C391" s="2306">
        <f>G367</f>
        <v>0.58374541110754852</v>
      </c>
      <c r="D391" s="2306">
        <f>G377</f>
        <v>0.21069139958583291</v>
      </c>
      <c r="E391" s="673">
        <f>G387</f>
        <v>0.20556318930661854</v>
      </c>
    </row>
    <row r="392" spans="2:9" hidden="1" outlineLevel="1" x14ac:dyDescent="0.2">
      <c r="B392" s="81" t="s">
        <v>2397</v>
      </c>
      <c r="C392" s="2306">
        <f>H368</f>
        <v>0.94024725274725274</v>
      </c>
      <c r="D392" s="2306">
        <f>H378</f>
        <v>4.6703296703296704E-2</v>
      </c>
      <c r="E392" s="673">
        <f>H388</f>
        <v>1.304945054945055E-2</v>
      </c>
    </row>
    <row r="393" spans="2:9" hidden="1" outlineLevel="1" x14ac:dyDescent="0.2"/>
    <row r="394" spans="2:9" hidden="1" outlineLevel="1" x14ac:dyDescent="0.2"/>
    <row r="395" spans="2:9" hidden="1" outlineLevel="1" x14ac:dyDescent="0.2">
      <c r="B395" s="328" t="s">
        <v>2401</v>
      </c>
    </row>
    <row r="396" spans="2:9" hidden="1" outlineLevel="1" x14ac:dyDescent="0.2"/>
    <row r="397" spans="2:9" hidden="1" outlineLevel="1" x14ac:dyDescent="0.2">
      <c r="B397" s="55" t="s">
        <v>1586</v>
      </c>
    </row>
    <row r="398" spans="2:9" hidden="1" outlineLevel="1" x14ac:dyDescent="0.2">
      <c r="B398" s="60"/>
      <c r="C398" s="60" t="s">
        <v>922</v>
      </c>
      <c r="D398" s="60" t="s">
        <v>2318</v>
      </c>
      <c r="E398" s="328" t="s">
        <v>2405</v>
      </c>
    </row>
    <row r="399" spans="2:9" hidden="1" outlineLevel="1" x14ac:dyDescent="0.2">
      <c r="B399" s="60" t="s">
        <v>1152</v>
      </c>
      <c r="C399" s="2317">
        <f>D190/(D190+E190)</f>
        <v>0.95</v>
      </c>
      <c r="D399" s="2317">
        <f>D208/SUM(D208:E208)</f>
        <v>0.49004481715472048</v>
      </c>
      <c r="E399" s="346">
        <f>D208/D190/D191*1000</f>
        <v>4.0081997557768689</v>
      </c>
    </row>
    <row r="400" spans="2:9" hidden="1" outlineLevel="1" x14ac:dyDescent="0.2">
      <c r="B400" s="60" t="s">
        <v>2402</v>
      </c>
      <c r="C400" s="456">
        <f>1-C399</f>
        <v>5.0000000000000044E-2</v>
      </c>
      <c r="D400" s="456">
        <f>1-D399</f>
        <v>0.50995518284527952</v>
      </c>
      <c r="E400" s="346">
        <f>E208/E190/E191*1000</f>
        <v>79.24998120152091</v>
      </c>
    </row>
    <row r="401" spans="2:4" hidden="1" outlineLevel="1" x14ac:dyDescent="0.2">
      <c r="B401" s="328"/>
    </row>
    <row r="402" spans="2:4" hidden="1" outlineLevel="1" x14ac:dyDescent="0.2"/>
    <row r="403" spans="2:4" hidden="1" outlineLevel="1" x14ac:dyDescent="0.2">
      <c r="D403" s="220"/>
    </row>
    <row r="404" spans="2:4" hidden="1" outlineLevel="1" x14ac:dyDescent="0.2"/>
    <row r="405" spans="2:4" hidden="1" outlineLevel="1" x14ac:dyDescent="0.2"/>
    <row r="406" spans="2:4" hidden="1" outlineLevel="1" x14ac:dyDescent="0.2"/>
    <row r="407" spans="2:4" hidden="1" outlineLevel="1" x14ac:dyDescent="0.2"/>
    <row r="408" spans="2:4" hidden="1" outlineLevel="1" x14ac:dyDescent="0.2"/>
    <row r="409" spans="2:4" hidden="1" outlineLevel="1" x14ac:dyDescent="0.2"/>
    <row r="410" spans="2:4" hidden="1" outlineLevel="1" x14ac:dyDescent="0.2"/>
    <row r="411" spans="2:4" hidden="1" outlineLevel="1" x14ac:dyDescent="0.2"/>
    <row r="412" spans="2:4" hidden="1" outlineLevel="1" x14ac:dyDescent="0.2"/>
    <row r="413" spans="2:4" hidden="1" outlineLevel="1" x14ac:dyDescent="0.2"/>
    <row r="414" spans="2:4" hidden="1" outlineLevel="1" x14ac:dyDescent="0.2"/>
    <row r="415" spans="2:4" hidden="1" outlineLevel="1" x14ac:dyDescent="0.2"/>
    <row r="416" spans="2:4" hidden="1" outlineLevel="1" x14ac:dyDescent="0.2"/>
    <row r="417" spans="2:5" hidden="1" outlineLevel="1" x14ac:dyDescent="0.2"/>
    <row r="418" spans="2:5" hidden="1" outlineLevel="1" x14ac:dyDescent="0.2"/>
    <row r="419" spans="2:5" hidden="1" outlineLevel="1" x14ac:dyDescent="0.2">
      <c r="E419"/>
    </row>
    <row r="420" spans="2:5" hidden="1" outlineLevel="1" x14ac:dyDescent="0.2">
      <c r="C420" s="77" t="s">
        <v>2421</v>
      </c>
      <c r="D420" s="77" t="s">
        <v>2422</v>
      </c>
      <c r="E420"/>
    </row>
    <row r="421" spans="2:5" hidden="1" outlineLevel="1" x14ac:dyDescent="0.2">
      <c r="B421" s="672" t="s">
        <v>1586</v>
      </c>
      <c r="C421" s="1193">
        <f>E192</f>
        <v>1120</v>
      </c>
      <c r="D421" s="1193">
        <f>SUM($D$208:$E$208)/$D$191</f>
        <v>101.01375476483294</v>
      </c>
      <c r="E421"/>
    </row>
    <row r="422" spans="2:5" hidden="1" outlineLevel="1" x14ac:dyDescent="0.2">
      <c r="B422" s="672" t="s">
        <v>1341</v>
      </c>
      <c r="C422" s="1193">
        <f>G192</f>
        <v>2116.2091180682978</v>
      </c>
      <c r="D422" s="1193">
        <f>SUM($F$208:$G$208)/$G$191</f>
        <v>609.59586230885998</v>
      </c>
      <c r="E422"/>
    </row>
    <row r="423" spans="2:5" hidden="1" outlineLevel="1" x14ac:dyDescent="0.2">
      <c r="B423" s="672" t="s">
        <v>2393</v>
      </c>
      <c r="C423" s="1193">
        <f>I192</f>
        <v>21490.774175682815</v>
      </c>
      <c r="D423" s="1193">
        <f>SUM($H$208:$I$208)/$I$191</f>
        <v>2099.841500429493</v>
      </c>
      <c r="E423"/>
    </row>
    <row r="424" spans="2:5" hidden="1" outlineLevel="1" x14ac:dyDescent="0.2">
      <c r="E424"/>
    </row>
    <row r="425" spans="2:5" hidden="1" outlineLevel="1" x14ac:dyDescent="0.2">
      <c r="E425"/>
    </row>
    <row r="426" spans="2:5" hidden="1" outlineLevel="1" x14ac:dyDescent="0.2"/>
    <row r="427" spans="2:5" hidden="1" outlineLevel="1" x14ac:dyDescent="0.2"/>
    <row r="428" spans="2:5" hidden="1" outlineLevel="1" x14ac:dyDescent="0.2"/>
    <row r="429" spans="2:5" hidden="1" outlineLevel="1" x14ac:dyDescent="0.2"/>
    <row r="430" spans="2:5" hidden="1" outlineLevel="1" x14ac:dyDescent="0.2"/>
    <row r="431" spans="2:5" hidden="1" outlineLevel="1" x14ac:dyDescent="0.2"/>
    <row r="432" spans="2:5" hidden="1" outlineLevel="1" x14ac:dyDescent="0.2"/>
    <row r="433" spans="2:5" hidden="1" outlineLevel="1" x14ac:dyDescent="0.2"/>
    <row r="434" spans="2:5" hidden="1" outlineLevel="1" x14ac:dyDescent="0.2"/>
    <row r="435" spans="2:5" hidden="1" outlineLevel="1" x14ac:dyDescent="0.2"/>
    <row r="436" spans="2:5" hidden="1" outlineLevel="1" x14ac:dyDescent="0.2"/>
    <row r="437" spans="2:5" hidden="1" outlineLevel="1" x14ac:dyDescent="0.2"/>
    <row r="438" spans="2:5" hidden="1" outlineLevel="1" x14ac:dyDescent="0.2"/>
    <row r="439" spans="2:5" hidden="1" outlineLevel="1" x14ac:dyDescent="0.2"/>
    <row r="440" spans="2:5" hidden="1" outlineLevel="1" x14ac:dyDescent="0.2"/>
    <row r="441" spans="2:5" hidden="1" outlineLevel="1" x14ac:dyDescent="0.2"/>
    <row r="442" spans="2:5" hidden="1" outlineLevel="1" x14ac:dyDescent="0.2">
      <c r="B442" s="328" t="s">
        <v>2426</v>
      </c>
    </row>
    <row r="443" spans="2:5" hidden="1" outlineLevel="1" x14ac:dyDescent="0.2">
      <c r="B443" s="328"/>
    </row>
    <row r="444" spans="2:5" hidden="1" outlineLevel="1" x14ac:dyDescent="0.2">
      <c r="B444" s="81"/>
      <c r="C444" s="81" t="s">
        <v>1586</v>
      </c>
      <c r="D444" s="81" t="s">
        <v>1341</v>
      </c>
      <c r="E444" s="81" t="s">
        <v>2393</v>
      </c>
    </row>
    <row r="445" spans="2:5" hidden="1" outlineLevel="1" x14ac:dyDescent="0.2">
      <c r="B445" s="81" t="s">
        <v>2423</v>
      </c>
      <c r="C445" s="314">
        <f>SUM(D208:E208)</f>
        <v>138287.83027305629</v>
      </c>
      <c r="D445" s="314">
        <f>SUM(F208:G208)</f>
        <v>82905.03727400495</v>
      </c>
      <c r="E445" s="314">
        <f>SUM(H208:I208)</f>
        <v>79793.977016320729</v>
      </c>
    </row>
    <row r="446" spans="2:5" hidden="1" outlineLevel="1" x14ac:dyDescent="0.2">
      <c r="B446" s="81" t="s">
        <v>922</v>
      </c>
      <c r="C446" s="2306">
        <f>C445/SUM($C$445:$E$445)</f>
        <v>0.45944808808391474</v>
      </c>
      <c r="D446" s="2306">
        <f>D445/SUM($C$445:$E$445)</f>
        <v>0.27544405601603217</v>
      </c>
      <c r="E446" s="2306">
        <f>E445/SUM($C$445:$E$445)</f>
        <v>0.26510785590005304</v>
      </c>
    </row>
    <row r="447" spans="2:5" hidden="1" outlineLevel="1" x14ac:dyDescent="0.2">
      <c r="B447" s="81" t="s">
        <v>2424</v>
      </c>
      <c r="C447" s="81">
        <f>C341+E341</f>
        <v>1369</v>
      </c>
      <c r="D447" s="81">
        <f>C342+E342</f>
        <v>68</v>
      </c>
      <c r="E447" s="81">
        <f>C343+E343</f>
        <v>19</v>
      </c>
    </row>
    <row r="448" spans="2:5" hidden="1" outlineLevel="1" x14ac:dyDescent="0.2">
      <c r="B448" s="81" t="s">
        <v>922</v>
      </c>
      <c r="C448" s="2306">
        <f>C447/SUM($C$447:$E$447)</f>
        <v>0.94024725274725274</v>
      </c>
      <c r="D448" s="2306">
        <f>D447/SUM($C$447:$E$447)</f>
        <v>4.6703296703296704E-2</v>
      </c>
      <c r="E448" s="2306">
        <f>E447/SUM($C$447:$E$447)</f>
        <v>1.304945054945055E-2</v>
      </c>
    </row>
    <row r="449" spans="2:10" hidden="1" outlineLevel="1" x14ac:dyDescent="0.2">
      <c r="B449" s="9" t="s">
        <v>2650</v>
      </c>
      <c r="C449" s="1614">
        <f>C445/C447+SUM(Récapitulatif!D27:D34)</f>
        <v>188.8403806736635</v>
      </c>
      <c r="D449" s="1614">
        <f>D445/D447+SUM(Récapitulatif!D44:D51)</f>
        <v>1499.8445886450179</v>
      </c>
      <c r="E449" s="1614">
        <f>E445/E447+SUM(Récapitulatif!D44:D51)</f>
        <v>4480.3358648862841</v>
      </c>
      <c r="H449" s="220"/>
      <c r="I449" s="220"/>
      <c r="J449" s="220"/>
    </row>
    <row r="450" spans="2:10" hidden="1" outlineLevel="1" x14ac:dyDescent="0.2">
      <c r="H450" s="220"/>
      <c r="I450" s="220"/>
      <c r="J450" s="220"/>
    </row>
    <row r="451" spans="2:10" hidden="1" outlineLevel="1" x14ac:dyDescent="0.2">
      <c r="H451" s="220"/>
      <c r="I451" s="220"/>
      <c r="J451" s="220"/>
    </row>
    <row r="452" spans="2:10" hidden="1" outlineLevel="1" x14ac:dyDescent="0.2">
      <c r="H452" s="220"/>
      <c r="I452" s="220"/>
      <c r="J452" s="220"/>
    </row>
    <row r="453" spans="2:10" hidden="1" outlineLevel="1" x14ac:dyDescent="0.2"/>
    <row r="454" spans="2:10" hidden="1" outlineLevel="1" x14ac:dyDescent="0.2"/>
    <row r="455" spans="2:10" hidden="1" outlineLevel="1" x14ac:dyDescent="0.2"/>
    <row r="456" spans="2:10" hidden="1" outlineLevel="1" x14ac:dyDescent="0.2"/>
    <row r="457" spans="2:10" hidden="1" outlineLevel="1" x14ac:dyDescent="0.2"/>
    <row r="458" spans="2:10" hidden="1" outlineLevel="1" x14ac:dyDescent="0.2"/>
    <row r="459" spans="2:10" hidden="1" outlineLevel="1" x14ac:dyDescent="0.2"/>
    <row r="460" spans="2:10" hidden="1" outlineLevel="1" x14ac:dyDescent="0.2"/>
    <row r="461" spans="2:10" hidden="1" outlineLevel="1" x14ac:dyDescent="0.2"/>
    <row r="462" spans="2:10" hidden="1" outlineLevel="1" x14ac:dyDescent="0.2"/>
    <row r="463" spans="2:10" hidden="1" outlineLevel="1" x14ac:dyDescent="0.2"/>
    <row r="464" spans="2:10" hidden="1" outlineLevel="1" x14ac:dyDescent="0.2"/>
    <row r="465" spans="2:5" hidden="1" outlineLevel="1" x14ac:dyDescent="0.2"/>
    <row r="466" spans="2:5" hidden="1" outlineLevel="1" x14ac:dyDescent="0.2">
      <c r="B466" s="328" t="s">
        <v>2425</v>
      </c>
    </row>
    <row r="467" spans="2:5" hidden="1" outlineLevel="1" x14ac:dyDescent="0.2">
      <c r="B467" s="328"/>
    </row>
    <row r="468" spans="2:5" hidden="1" outlineLevel="1" x14ac:dyDescent="0.2">
      <c r="B468" s="60" t="s">
        <v>721</v>
      </c>
      <c r="C468" s="60" t="str">
        <f>C444</f>
        <v>Matchs nationaux</v>
      </c>
      <c r="D468" s="60" t="str">
        <f>D444</f>
        <v>Matchs européens</v>
      </c>
      <c r="E468" s="60" t="str">
        <f>E444</f>
        <v>Matchs extra-européens</v>
      </c>
    </row>
    <row r="469" spans="2:5" hidden="1" outlineLevel="1" x14ac:dyDescent="0.2">
      <c r="B469" s="81" t="s">
        <v>2651</v>
      </c>
      <c r="C469" s="1193">
        <f>E190*E191*E192*E199*E207/1000/E191</f>
        <v>4.6956000000000007</v>
      </c>
      <c r="D469" s="1193">
        <f>G190*G191*G192*G199*G207/1000/G191</f>
        <v>424.33542203727689</v>
      </c>
      <c r="E469" s="1193">
        <f>I190*I191*I192*I199*I207/1000/I191</f>
        <v>1945.1521491200008</v>
      </c>
    </row>
    <row r="470" spans="2:5" hidden="1" outlineLevel="1" x14ac:dyDescent="0.2">
      <c r="B470" s="81" t="s">
        <v>2652</v>
      </c>
      <c r="C470" s="1193">
        <f>((D190*D191*D192*D193*D200)+(E190*E191*E192*E193*E201))/1000/E191</f>
        <v>89.044225437809487</v>
      </c>
      <c r="D470" s="1193">
        <f>((G190*G191*G192*G193*G201)+(F190*F191*F192*F193*F200))/1000/G191</f>
        <v>159.14107910586841</v>
      </c>
      <c r="E470" s="1193">
        <f>((I190*I191*I192*I193*I201)+(H190*H191*H192*H193*H200))/1000/I191</f>
        <v>129.42555367474401</v>
      </c>
    </row>
    <row r="471" spans="2:5" hidden="1" outlineLevel="1" x14ac:dyDescent="0.2">
      <c r="B471" s="81" t="s">
        <v>2653</v>
      </c>
      <c r="C471" s="1193">
        <f>(D190*D191*D192*SUMPRODUCT(D195:D197,D203:D205)+(E190*E191*E192*SUMPRODUCT(E197:E198,E205:E206)))/1000/E191</f>
        <v>7.2739293270234304</v>
      </c>
      <c r="D471" s="1193">
        <f>(F190*F191*F192*SUMPRODUCT(F195:F197,F203:F205)+(G190*G191*G192*SUMPRODUCT(G197:G198,G205:G206)))/1000/G191</f>
        <v>26.119361165714661</v>
      </c>
      <c r="E471" s="1193">
        <f>(H191*H190*H192*SUMPRODUCT(H195:H197,H203:H205))/1000/I191</f>
        <v>25.263797634748087</v>
      </c>
    </row>
    <row r="472" spans="2:5" hidden="1" outlineLevel="1" x14ac:dyDescent="0.2">
      <c r="B472" s="7" t="s">
        <v>2654</v>
      </c>
      <c r="C472" s="2305">
        <f>SUM(C469:C471)</f>
        <v>101.01375476483291</v>
      </c>
      <c r="D472" s="2305">
        <f t="shared" ref="D472:E472" si="21">SUM(D469:D471)</f>
        <v>609.59586230885986</v>
      </c>
      <c r="E472" s="2305">
        <f t="shared" si="21"/>
        <v>2099.841500429493</v>
      </c>
    </row>
    <row r="473" spans="2:5" hidden="1" outlineLevel="1" x14ac:dyDescent="0.2">
      <c r="B473" s="9" t="s">
        <v>2429</v>
      </c>
      <c r="C473" s="2336">
        <f>C472/SUM(D190:E190)*1000</f>
        <v>7.7702888280640696</v>
      </c>
      <c r="D473" s="2336">
        <f>D472/SUM(F190:G190)*1000</f>
        <v>24.802766346828626</v>
      </c>
      <c r="E473" s="2336">
        <f>E472/SUM(H190:I190)*1000</f>
        <v>78.381095072758214</v>
      </c>
    </row>
    <row r="474" spans="2:5" hidden="1" outlineLevel="1" x14ac:dyDescent="0.2">
      <c r="C474" s="449"/>
      <c r="D474" s="449"/>
      <c r="E474" s="449"/>
    </row>
    <row r="475" spans="2:5" hidden="1" outlineLevel="1" x14ac:dyDescent="0.2"/>
    <row r="476" spans="2:5" hidden="1" outlineLevel="1" x14ac:dyDescent="0.2"/>
    <row r="477" spans="2:5" hidden="1" outlineLevel="1" x14ac:dyDescent="0.2"/>
    <row r="478" spans="2:5" hidden="1" outlineLevel="1" x14ac:dyDescent="0.2"/>
    <row r="479" spans="2:5" hidden="1" outlineLevel="1" x14ac:dyDescent="0.2"/>
    <row r="480" spans="2:5" hidden="1" outlineLevel="1" x14ac:dyDescent="0.2"/>
    <row r="481" spans="2:4" hidden="1" outlineLevel="1" x14ac:dyDescent="0.2"/>
    <row r="482" spans="2:4" hidden="1" outlineLevel="1" x14ac:dyDescent="0.2"/>
    <row r="483" spans="2:4" hidden="1" outlineLevel="1" x14ac:dyDescent="0.2"/>
    <row r="484" spans="2:4" hidden="1" outlineLevel="1" x14ac:dyDescent="0.2"/>
    <row r="485" spans="2:4" hidden="1" outlineLevel="1" x14ac:dyDescent="0.2"/>
    <row r="486" spans="2:4" hidden="1" outlineLevel="1" x14ac:dyDescent="0.2"/>
    <row r="487" spans="2:4" hidden="1" outlineLevel="1" x14ac:dyDescent="0.2"/>
    <row r="488" spans="2:4" hidden="1" outlineLevel="1" x14ac:dyDescent="0.2"/>
    <row r="489" spans="2:4" hidden="1" outlineLevel="1" x14ac:dyDescent="0.2"/>
    <row r="490" spans="2:4" hidden="1" outlineLevel="1" x14ac:dyDescent="0.2"/>
    <row r="491" spans="2:4" hidden="1" outlineLevel="1" x14ac:dyDescent="0.2"/>
    <row r="492" spans="2:4" hidden="1" outlineLevel="1" x14ac:dyDescent="0.2">
      <c r="D492" s="449">
        <f>SUM(Récapitulatif!D60:D67)</f>
        <v>7.5317663608645109</v>
      </c>
    </row>
    <row r="493" spans="2:4" hidden="1" outlineLevel="1" x14ac:dyDescent="0.2"/>
    <row r="494" spans="2:4" hidden="1" outlineLevel="1" x14ac:dyDescent="0.2">
      <c r="B494" s="55" t="s">
        <v>2607</v>
      </c>
      <c r="C494" s="55" t="s">
        <v>2606</v>
      </c>
    </row>
    <row r="495" spans="2:4" hidden="1" outlineLevel="1" x14ac:dyDescent="0.2">
      <c r="B495" s="55" t="s">
        <v>2603</v>
      </c>
      <c r="C495" s="1169">
        <f>I192*I199*I207</f>
        <v>3266.5976747037876</v>
      </c>
      <c r="D495" s="354"/>
    </row>
    <row r="496" spans="2:4" hidden="1" outlineLevel="1" x14ac:dyDescent="0.2">
      <c r="B496" s="55" t="s">
        <v>2604</v>
      </c>
      <c r="C496" s="1169">
        <f>(G192*G193*G201+G192*G197*G205+G192*G198*G206+G192*G199*G207)</f>
        <v>389.88209619057096</v>
      </c>
    </row>
    <row r="497" spans="2:20" hidden="1" outlineLevel="1" x14ac:dyDescent="0.2">
      <c r="B497" s="55" t="s">
        <v>2605</v>
      </c>
      <c r="C497" s="449">
        <f>(E192*E193*E201+E192*SUMPRODUCT(E197:E199,E205:E207))</f>
        <v>79.24998120152091</v>
      </c>
      <c r="D497" s="55">
        <v>22</v>
      </c>
      <c r="F497" s="354"/>
    </row>
    <row r="498" spans="2:20" hidden="1" outlineLevel="1" x14ac:dyDescent="0.2">
      <c r="B498" s="55" t="s">
        <v>2608</v>
      </c>
      <c r="D498" s="449">
        <f>D208/D190/D191*1000</f>
        <v>4.0081997557768689</v>
      </c>
      <c r="F498" s="354"/>
    </row>
    <row r="499" spans="2:20" hidden="1" outlineLevel="1" x14ac:dyDescent="0.2">
      <c r="B499" s="55" t="s">
        <v>2602</v>
      </c>
      <c r="D499" s="463">
        <f>0.1</f>
        <v>0.1</v>
      </c>
    </row>
    <row r="500" spans="2:20" hidden="1" outlineLevel="1" x14ac:dyDescent="0.2">
      <c r="C500" s="362"/>
    </row>
    <row r="501" spans="2:20" hidden="1" outlineLevel="1" x14ac:dyDescent="0.2"/>
    <row r="502" spans="2:20" hidden="1" outlineLevel="1" x14ac:dyDescent="0.2">
      <c r="B502" s="81"/>
      <c r="C502" s="81" t="s">
        <v>2430</v>
      </c>
      <c r="D502" s="81"/>
    </row>
    <row r="503" spans="2:20" hidden="1" outlineLevel="1" x14ac:dyDescent="0.2">
      <c r="B503" s="81"/>
      <c r="C503" s="81" t="s">
        <v>2431</v>
      </c>
      <c r="D503" s="81" t="s">
        <v>61</v>
      </c>
    </row>
    <row r="504" spans="2:20" hidden="1" outlineLevel="1" x14ac:dyDescent="0.2">
      <c r="B504" s="81" t="s">
        <v>2432</v>
      </c>
      <c r="C504" s="81">
        <f>40000</f>
        <v>40000</v>
      </c>
      <c r="D504" s="2341">
        <f>C504*C228/1000</f>
        <v>6.08</v>
      </c>
    </row>
    <row r="505" spans="2:20" hidden="1" outlineLevel="1" x14ac:dyDescent="0.2">
      <c r="B505" s="81"/>
      <c r="C505" s="2341"/>
      <c r="D505" s="2342"/>
    </row>
    <row r="506" spans="2:20" hidden="1" outlineLevel="1" x14ac:dyDescent="0.2">
      <c r="B506" s="353">
        <v>40000</v>
      </c>
      <c r="C506" s="328">
        <f>B506*C228/1000</f>
        <v>6.08</v>
      </c>
      <c r="D506" s="2343"/>
      <c r="E506" s="328"/>
    </row>
    <row r="507" spans="2:20" hidden="1" outlineLevel="1" x14ac:dyDescent="0.2">
      <c r="B507" s="354">
        <f>B506*C507/C506</f>
        <v>1447368421.0526316</v>
      </c>
      <c r="C507" s="287">
        <v>220000</v>
      </c>
    </row>
    <row r="508" spans="2:20" hidden="1" outlineLevel="1" x14ac:dyDescent="0.2">
      <c r="B508" s="354">
        <f>B507/B506</f>
        <v>36184.210526315794</v>
      </c>
    </row>
    <row r="509" spans="2:20" hidden="1" outlineLevel="1" x14ac:dyDescent="0.2"/>
    <row r="510" spans="2:20" hidden="1" outlineLevel="1" x14ac:dyDescent="0.2"/>
    <row r="511" spans="2:20" ht="23" hidden="1" outlineLevel="1" x14ac:dyDescent="0.2">
      <c r="B511" s="2516" t="s">
        <v>2699</v>
      </c>
      <c r="C511" s="449"/>
      <c r="L511" s="328" t="s">
        <v>2707</v>
      </c>
      <c r="O511" s="328" t="s">
        <v>1985</v>
      </c>
      <c r="T511" s="328" t="s">
        <v>1984</v>
      </c>
    </row>
    <row r="512" spans="2:20" ht="17" hidden="1" outlineLevel="1" thickBot="1" x14ac:dyDescent="0.25"/>
    <row r="513" spans="2:23" hidden="1" outlineLevel="1" x14ac:dyDescent="0.2">
      <c r="B513" s="518"/>
      <c r="C513" s="1399" t="s">
        <v>2635</v>
      </c>
      <c r="D513" s="1399" t="s">
        <v>2694</v>
      </c>
      <c r="E513" s="2511" t="s">
        <v>2637</v>
      </c>
      <c r="F513" s="1399" t="s">
        <v>2638</v>
      </c>
      <c r="G513" s="1399" t="s">
        <v>2639</v>
      </c>
      <c r="H513" s="2511" t="s">
        <v>2640</v>
      </c>
      <c r="I513" s="1399" t="s">
        <v>198</v>
      </c>
      <c r="J513" s="2191" t="s">
        <v>2641</v>
      </c>
      <c r="L513" s="7" t="s">
        <v>2703</v>
      </c>
      <c r="M513" s="81"/>
      <c r="O513" s="81"/>
      <c r="P513" s="81" t="s">
        <v>2705</v>
      </c>
      <c r="Q513" s="81" t="s">
        <v>2706</v>
      </c>
      <c r="R513" s="81" t="s">
        <v>198</v>
      </c>
      <c r="T513" s="81"/>
      <c r="U513" s="81" t="s">
        <v>2705</v>
      </c>
      <c r="V513" s="81" t="s">
        <v>2706</v>
      </c>
      <c r="W513" s="81" t="s">
        <v>198</v>
      </c>
    </row>
    <row r="514" spans="2:23" hidden="1" outlineLevel="1" x14ac:dyDescent="0.2">
      <c r="B514" s="274" t="s">
        <v>742</v>
      </c>
      <c r="C514" s="918">
        <f>SUMPRODUCT(D190:I190,D191:I191,D192:I192,D199:I199,D207:I207)/1000</f>
        <v>138053.67546362965</v>
      </c>
      <c r="D514" s="918">
        <f>('13'!D203*'13'!D204*'13'!D205*'13'!D208*'13'!D213+'13'!D203*'13'!D204*'13'!D205*'13'!D209*'13'!D214)/1000+('13'!G203*'13'!G204*'13'!G205*0.39)/1000+('13'!H203*'13'!H204*'13'!H205*0.34)/1000+('22'!F107*'22'!F108*'22'!F115*'22'!F122)/1000</f>
        <v>30463.64462306619</v>
      </c>
      <c r="E514" s="2296">
        <f>SUM(C514:D514)/$E$517</f>
        <v>0.47547821516061139</v>
      </c>
      <c r="F514" s="918"/>
      <c r="G514" s="81">
        <v>825.14187067398177</v>
      </c>
      <c r="H514" s="2544">
        <f>SUM(F514:G514)/$H$517</f>
        <v>1.1297836157257084E-3</v>
      </c>
      <c r="I514" s="457">
        <f>C514+D514+F514+G514</f>
        <v>169342.46195736981</v>
      </c>
      <c r="J514" s="2512">
        <f>I514/$I$517</f>
        <v>0.15610903783174615</v>
      </c>
      <c r="L514" s="81" t="s">
        <v>2701</v>
      </c>
      <c r="M514" s="81" t="s">
        <v>2702</v>
      </c>
      <c r="O514" s="81" t="s">
        <v>742</v>
      </c>
      <c r="P514" s="314">
        <f>$L$515*$E$517*E514</f>
        <v>168517.32008669584</v>
      </c>
      <c r="Q514" s="314">
        <f>$M$515*$H$517*H514</f>
        <v>825.14187067398177</v>
      </c>
      <c r="R514" s="2306">
        <f>SUM(P514:Q514)/SUM($P$517:$Q$517)</f>
        <v>0.15610903783174615</v>
      </c>
      <c r="T514" s="81" t="s">
        <v>742</v>
      </c>
      <c r="U514" s="314">
        <f>$L$517*$E$517*E514</f>
        <v>0</v>
      </c>
      <c r="V514" s="314">
        <f>$M$517*$H$517*H514</f>
        <v>0</v>
      </c>
      <c r="W514" s="2306" t="e">
        <f>SUM(U514:V514)/SUM($U$517:$V$517)</f>
        <v>#DIV/0!</v>
      </c>
    </row>
    <row r="515" spans="2:23" hidden="1" outlineLevel="1" x14ac:dyDescent="0.2">
      <c r="B515" s="2440" t="s">
        <v>748</v>
      </c>
      <c r="C515" s="918">
        <f>(D190*D191*D192*D193*D200+E190*E191*E192*E193*E201+F190*F191*F192*F193*F200+G190*G191*G192*G193*G201+H190*H191*H192*H193*H200+I190*I191*I192*I193*I201)/1000</f>
        <v>148462.90242239958</v>
      </c>
      <c r="D515" s="918">
        <f>'13'!F203*'13'!F204*'13'!F205*'13'!F216/1000+SUMPRODUCT('22'!D107:F107,'22'!D108:F108,'22'!D109:F109,'22'!D116:F116)/1000</f>
        <v>20543.756850512342</v>
      </c>
      <c r="E515" s="2296">
        <f>SUM(C515:D515)/$E$517</f>
        <v>0.47685890482948623</v>
      </c>
      <c r="F515" s="81">
        <v>416157.62755307386</v>
      </c>
      <c r="G515" s="81">
        <v>275113.77454733691</v>
      </c>
      <c r="H515" s="2296">
        <f>SUM(F515:G515)/$H$517</f>
        <v>0.94648827294979754</v>
      </c>
      <c r="I515" s="457">
        <f>C515+D515+F515+G515</f>
        <v>860278.06137332274</v>
      </c>
      <c r="J515" s="2512">
        <f>I515/$I$517</f>
        <v>0.79305083247553809</v>
      </c>
      <c r="L515" s="2306">
        <f>1-Récapitulatif!K103</f>
        <v>1</v>
      </c>
      <c r="M515" s="2306">
        <f>1-Récapitulatif!L103</f>
        <v>1</v>
      </c>
      <c r="O515" s="89" t="s">
        <v>748</v>
      </c>
      <c r="P515" s="314">
        <f t="shared" ref="P515:P516" si="22">$L$515*$E$517*E515</f>
        <v>169006.65927291193</v>
      </c>
      <c r="Q515" s="314">
        <f>$M$515*$H$517*H515</f>
        <v>691271.40210041078</v>
      </c>
      <c r="R515" s="2306">
        <f t="shared" ref="R515:R517" si="23">SUM(P515:Q515)/SUM($P$517:$Q$517)</f>
        <v>0.79305083247553809</v>
      </c>
      <c r="T515" s="89" t="s">
        <v>748</v>
      </c>
      <c r="U515" s="314">
        <f t="shared" ref="U515:U516" si="24">$L$517*$E$517*E515</f>
        <v>0</v>
      </c>
      <c r="V515" s="314">
        <f t="shared" ref="V515:V516" si="25">$M$517*$H$517*H515</f>
        <v>0</v>
      </c>
      <c r="W515" s="2306" t="e">
        <f t="shared" ref="W515:W517" si="26">SUM(U515:V515)/SUM($U$517:$V$517)</f>
        <v>#DIV/0!</v>
      </c>
    </row>
    <row r="516" spans="2:23" hidden="1" outlineLevel="1" x14ac:dyDescent="0.2">
      <c r="B516" s="2440" t="s">
        <v>921</v>
      </c>
      <c r="C516" s="918">
        <f>C213-C515-C514</f>
        <v>14470.266677352745</v>
      </c>
      <c r="D516" s="918">
        <f>('13'!D203*'13'!D204*'13'!D205*SUMPRODUCT('13'!D206:D207,'13'!D211:D212)+'13'!E203*'13'!E204*'13'!E205*'13'!E215)/1000+SUMPRODUCT('22'!D107:F107,'22'!D108:F108,'22'!D110:F110,'22'!D117:F117)/1000+SUMPRODUCT('22'!D107:F107,'22'!D108:F108,'22'!D114:F114,'22'!D121:F121)/1000</f>
        <v>2422.2439588482557</v>
      </c>
      <c r="E516" s="2296">
        <f>SUM(C516:D516)/$E$517</f>
        <v>4.7662880009902382E-2</v>
      </c>
      <c r="F516" s="81">
        <v>12628.133166022424</v>
      </c>
      <c r="G516" s="81">
        <v>25629.223546748806</v>
      </c>
      <c r="H516" s="2296">
        <f>SUM(F516:G516)/$H$517</f>
        <v>5.2381943434476802E-2</v>
      </c>
      <c r="I516" s="457">
        <f>C516+D516+F516+G516</f>
        <v>55149.867348972228</v>
      </c>
      <c r="J516" s="2512">
        <f>I516/$I$517</f>
        <v>5.0840129692715882E-2</v>
      </c>
      <c r="L516" s="2306" t="s">
        <v>2704</v>
      </c>
      <c r="M516" s="2306" t="s">
        <v>2708</v>
      </c>
      <c r="O516" s="89" t="s">
        <v>921</v>
      </c>
      <c r="P516" s="314">
        <f t="shared" si="22"/>
        <v>16892.510636201001</v>
      </c>
      <c r="Q516" s="314">
        <f>$M$515*$H$517*H516</f>
        <v>38257.35671277123</v>
      </c>
      <c r="R516" s="2306">
        <f t="shared" si="23"/>
        <v>5.0840129692715882E-2</v>
      </c>
      <c r="T516" s="89" t="s">
        <v>921</v>
      </c>
      <c r="U516" s="314">
        <f t="shared" si="24"/>
        <v>0</v>
      </c>
      <c r="V516" s="314">
        <f t="shared" si="25"/>
        <v>0</v>
      </c>
      <c r="W516" s="2306" t="e">
        <f t="shared" si="26"/>
        <v>#DIV/0!</v>
      </c>
    </row>
    <row r="517" spans="2:23" ht="17" hidden="1" outlineLevel="1" thickBot="1" x14ac:dyDescent="0.25">
      <c r="B517" s="684" t="s">
        <v>198</v>
      </c>
      <c r="C517" s="2514">
        <f>SUM(C514:C516)</f>
        <v>300986.84456338198</v>
      </c>
      <c r="D517" s="2514">
        <f>SUM(D514:D516)</f>
        <v>53429.645432426783</v>
      </c>
      <c r="E517" s="2513">
        <f>SUM(C517:D517)</f>
        <v>354416.48999580875</v>
      </c>
      <c r="F517" s="2514">
        <f>SUM(F514:F516)</f>
        <v>428785.76071909629</v>
      </c>
      <c r="G517" s="2514">
        <f>SUM(G514:G516)</f>
        <v>301568.1399647597</v>
      </c>
      <c r="H517" s="2513">
        <f>SUM(F517:G517)</f>
        <v>730353.90068385599</v>
      </c>
      <c r="I517" s="2514">
        <f>SUM(I514:I516)</f>
        <v>1084770.3906796647</v>
      </c>
      <c r="J517" s="2515">
        <f>I517/$I$517</f>
        <v>1</v>
      </c>
      <c r="L517" s="2306">
        <f>1-L515</f>
        <v>0</v>
      </c>
      <c r="M517" s="2306">
        <f>1-M515</f>
        <v>0</v>
      </c>
      <c r="O517" s="7" t="s">
        <v>198</v>
      </c>
      <c r="P517" s="314">
        <f>L515*$E$517</f>
        <v>354416.48999580875</v>
      </c>
      <c r="Q517" s="314">
        <f>M515*$H$517</f>
        <v>730353.90068385599</v>
      </c>
      <c r="R517" s="2306">
        <f t="shared" si="23"/>
        <v>1</v>
      </c>
      <c r="T517" s="7" t="s">
        <v>198</v>
      </c>
      <c r="U517" s="314">
        <f>L517*E517</f>
        <v>0</v>
      </c>
      <c r="V517" s="314">
        <f>M517*H517</f>
        <v>0</v>
      </c>
      <c r="W517" s="2306" t="e">
        <f t="shared" si="26"/>
        <v>#DIV/0!</v>
      </c>
    </row>
    <row r="518" spans="2:23" hidden="1" outlineLevel="1" x14ac:dyDescent="0.2">
      <c r="B518" s="328"/>
      <c r="C518" s="55">
        <f>C514/$C$517</f>
        <v>0.45867013112780158</v>
      </c>
      <c r="D518" s="55">
        <f>D514/$D$517</f>
        <v>0.57016370549555651</v>
      </c>
      <c r="U518" s="220" t="e">
        <f>U514/$U$517</f>
        <v>#DIV/0!</v>
      </c>
      <c r="V518" s="1194" t="e">
        <f>V514/$V$517</f>
        <v>#DIV/0!</v>
      </c>
    </row>
    <row r="519" spans="2:23" ht="20" hidden="1" outlineLevel="1" x14ac:dyDescent="0.2">
      <c r="B519" s="2176" t="s">
        <v>2696</v>
      </c>
      <c r="C519" s="55">
        <f t="shared" ref="C519:C520" si="27">C515/$C$517</f>
        <v>0.49325379199799602</v>
      </c>
      <c r="D519" s="55">
        <f t="shared" ref="D519:D520" si="28">D515/$D$517</f>
        <v>0.38450108894123802</v>
      </c>
      <c r="P519" s="220"/>
      <c r="U519" s="220" t="e">
        <f t="shared" ref="U519:U520" si="29">U515/$U$517</f>
        <v>#DIV/0!</v>
      </c>
      <c r="V519" s="220" t="e">
        <f t="shared" ref="V519:V520" si="30">V515/$V$517</f>
        <v>#DIV/0!</v>
      </c>
    </row>
    <row r="520" spans="2:23" ht="17" hidden="1" outlineLevel="1" thickBot="1" x14ac:dyDescent="0.25">
      <c r="C520" s="55">
        <f t="shared" si="27"/>
        <v>4.8076076874202352E-2</v>
      </c>
      <c r="D520" s="55">
        <f t="shared" si="28"/>
        <v>4.5335205563205569E-2</v>
      </c>
      <c r="P520" s="220"/>
      <c r="U520" s="220" t="e">
        <f t="shared" si="29"/>
        <v>#DIV/0!</v>
      </c>
      <c r="V520" s="220" t="e">
        <f t="shared" si="30"/>
        <v>#DIV/0!</v>
      </c>
    </row>
    <row r="521" spans="2:23" hidden="1" outlineLevel="1" x14ac:dyDescent="0.2">
      <c r="B521" s="518"/>
      <c r="C521" s="1399" t="s">
        <v>2635</v>
      </c>
      <c r="D521" s="1399" t="s">
        <v>922</v>
      </c>
      <c r="E521" s="1399" t="s">
        <v>2636</v>
      </c>
      <c r="F521" s="1399" t="s">
        <v>922</v>
      </c>
      <c r="G521" s="2478" t="s">
        <v>2637</v>
      </c>
      <c r="P521" s="220"/>
      <c r="U521" s="287"/>
    </row>
    <row r="522" spans="2:23" hidden="1" outlineLevel="1" x14ac:dyDescent="0.2">
      <c r="B522" s="274" t="s">
        <v>742</v>
      </c>
      <c r="C522" s="1193">
        <f>E190*E191*E192*E199*E207/1000</f>
        <v>6428.2764000000006</v>
      </c>
      <c r="D522" s="2306">
        <f>C522/$C$525</f>
        <v>4.6484758545325688E-2</v>
      </c>
      <c r="E522" s="2341">
        <f>('13'!D203*'13'!D204*'13'!D205*'13'!D208*'13'!D213+'13'!D203*'13'!D204*'13'!D205*'13'!D209*'13'!D214)/1000</f>
        <v>14912.911272000003</v>
      </c>
      <c r="F522" s="2306">
        <f>E522/$E$525</f>
        <v>0.88329790002869479</v>
      </c>
      <c r="G522" s="2479">
        <f>SUM(C522:E522)/$G$525</f>
        <v>0.13753360792955857</v>
      </c>
    </row>
    <row r="523" spans="2:23" hidden="1" outlineLevel="1" x14ac:dyDescent="0.2">
      <c r="B523" s="2440" t="s">
        <v>748</v>
      </c>
      <c r="C523" s="1193">
        <f>(D190*D191*D192*D193*D200+E190*E191*E192*E193*E201)/1000</f>
        <v>121901.54462436118</v>
      </c>
      <c r="D523" s="2306">
        <f t="shared" ref="D523:D524" si="31">C523/$C$525</f>
        <v>0.8815059458497575</v>
      </c>
      <c r="E523" s="1193">
        <f>('13'!F203*'13'!F204*'13'!F205*'13'!F210*'13'!F216)/1000</f>
        <v>413.27598628488391</v>
      </c>
      <c r="F523" s="2306">
        <f t="shared" ref="F523:F524" si="32">E523/$E$525</f>
        <v>2.4478507526771366E-2</v>
      </c>
      <c r="G523" s="2479">
        <f>SUM(C523:E523)/$G$525</f>
        <v>0.78826368217343745</v>
      </c>
    </row>
    <row r="524" spans="2:23" hidden="1" outlineLevel="1" x14ac:dyDescent="0.2">
      <c r="B524" s="2440" t="s">
        <v>921</v>
      </c>
      <c r="C524" s="1193">
        <f>D190*D191*D192*SUMPRODUCT(D194:D197,D202:D205)/1000+E190*E191*E192*SUMPRODUCT(E197:E198,E205:E206)/1000</f>
        <v>9958.0092486950743</v>
      </c>
      <c r="D524" s="2306">
        <f t="shared" si="31"/>
        <v>7.2009295604916826E-2</v>
      </c>
      <c r="E524" s="1193">
        <f>('13'!E203*'13'!E204*'13'!E205*'13'!E215+'13'!D203*'13'!D204*'13'!D205*SUMPRODUCT('13'!D206:D207,'13'!D211:D212))/1000</f>
        <v>1557.0310438479999</v>
      </c>
      <c r="F524" s="2306">
        <f t="shared" si="32"/>
        <v>9.2223592444533958E-2</v>
      </c>
      <c r="G524" s="2479">
        <f>SUM(C524:E524)/$G$525</f>
        <v>7.4209154398147639E-2</v>
      </c>
    </row>
    <row r="525" spans="2:23" ht="17" hidden="1" outlineLevel="1" thickBot="1" x14ac:dyDescent="0.25">
      <c r="B525" s="684" t="s">
        <v>198</v>
      </c>
      <c r="C525" s="2441">
        <f>SUM(C522:C524)</f>
        <v>138287.83027305626</v>
      </c>
      <c r="D525" s="2481">
        <f>SUM(D522:D524)</f>
        <v>1</v>
      </c>
      <c r="E525" s="2441">
        <f>SUM(E522:E524)</f>
        <v>16883.218302132886</v>
      </c>
      <c r="F525" s="2481">
        <f>SUM(F522:F524)</f>
        <v>1.0000000000000002</v>
      </c>
      <c r="G525" s="2480">
        <f>C525+E525</f>
        <v>155171.04857518914</v>
      </c>
    </row>
    <row r="526" spans="2:23" hidden="1" outlineLevel="1" x14ac:dyDescent="0.2"/>
    <row r="527" spans="2:23" ht="20" hidden="1" outlineLevel="1" x14ac:dyDescent="0.2">
      <c r="B527" s="2176" t="s">
        <v>2697</v>
      </c>
    </row>
    <row r="528" spans="2:23" ht="17" hidden="1" outlineLevel="1" thickBot="1" x14ac:dyDescent="0.25"/>
    <row r="529" spans="2:12" hidden="1" outlineLevel="1" x14ac:dyDescent="0.2">
      <c r="B529" s="518"/>
      <c r="C529" s="1399" t="s">
        <v>2635</v>
      </c>
      <c r="D529" s="1399" t="s">
        <v>922</v>
      </c>
      <c r="E529" s="1399" t="s">
        <v>2636</v>
      </c>
      <c r="F529" s="1399" t="s">
        <v>922</v>
      </c>
      <c r="G529" s="2478" t="s">
        <v>2637</v>
      </c>
    </row>
    <row r="530" spans="2:12" hidden="1" outlineLevel="1" x14ac:dyDescent="0.2">
      <c r="B530" s="274" t="s">
        <v>742</v>
      </c>
      <c r="C530" s="1193">
        <f>G190*G191*G192*G199*G207/1000+I190*I191*I192*I199*I207/1000</f>
        <v>131625.39906362968</v>
      </c>
      <c r="D530" s="2306">
        <f>C530/$C$533</f>
        <v>0.80901165651042506</v>
      </c>
      <c r="E530" s="2341">
        <f>('13'!G203*'13'!G204*'13'!G205*AVERAGE('13'!C232,'13'!C233)+'13'!H203*'13'!H204*'13'!H205*AVERAGE('13'!C232,'13'!C235))/1000</f>
        <v>15079.062723529414</v>
      </c>
      <c r="F530" s="2306">
        <f>E530/$E$533</f>
        <v>1</v>
      </c>
      <c r="G530" s="2479">
        <f>SUM(C530:E530)/$G$525</f>
        <v>0.94544228543850173</v>
      </c>
      <c r="L530" s="346"/>
    </row>
    <row r="531" spans="2:12" hidden="1" outlineLevel="1" x14ac:dyDescent="0.2">
      <c r="B531" s="2440" t="s">
        <v>748</v>
      </c>
      <c r="C531" s="1193">
        <f>(F190*F191*F192*F193*F200+G190*G191*G192*G193*G201+H190*H191*H192*H193*H200)/1000</f>
        <v>26561.357798038378</v>
      </c>
      <c r="D531" s="2306">
        <f t="shared" ref="D531:D532" si="33">C531/$C$533</f>
        <v>0.16325457111031655</v>
      </c>
      <c r="E531" s="1193">
        <f>('13'!F211*'13'!F212*'13'!F213*'13'!F218*'13'!F224)/1000</f>
        <v>0</v>
      </c>
      <c r="F531" s="2306">
        <f t="shared" ref="F531:F532" si="34">E531/$E$525</f>
        <v>0</v>
      </c>
      <c r="G531" s="2479">
        <f>SUM(C531:E531)/$G$525</f>
        <v>0.17117575279991054</v>
      </c>
    </row>
    <row r="532" spans="2:12" hidden="1" outlineLevel="1" x14ac:dyDescent="0.2">
      <c r="B532" s="2440" t="s">
        <v>921</v>
      </c>
      <c r="C532" s="1193">
        <f>(F190*F191*F192*SUMPRODUCT(F194:F197,F202:F205)+G190*G191*G192*SUMPRODUCT(G197:G198,G205:G206)+H190*H191*H192*SUMPRODUCT(H194:H197,H202:H205))/1000</f>
        <v>4512.2574286576209</v>
      </c>
      <c r="D532" s="2306">
        <f t="shared" si="33"/>
        <v>2.7733772379258517E-2</v>
      </c>
      <c r="E532" s="1193">
        <f>('13'!E211*'13'!E212*'13'!E213*'13'!E223+'13'!D211*'13'!D212*'13'!D213*SUMPRODUCT('13'!D214:D215,'13'!D219:D220))/1000</f>
        <v>0</v>
      </c>
      <c r="F532" s="2306">
        <f t="shared" si="34"/>
        <v>0</v>
      </c>
      <c r="G532" s="2479">
        <f>SUM(C532:E532)/$G$525</f>
        <v>2.9079426889633622E-2</v>
      </c>
    </row>
    <row r="533" spans="2:12" ht="17" hidden="1" outlineLevel="1" thickBot="1" x14ac:dyDescent="0.25">
      <c r="B533" s="684" t="s">
        <v>198</v>
      </c>
      <c r="C533" s="2441">
        <f>SUM(C530:C532)</f>
        <v>162699.01429032566</v>
      </c>
      <c r="D533" s="2481">
        <f>SUM(D530:D532)</f>
        <v>1.0000000000000002</v>
      </c>
      <c r="E533" s="2441">
        <f>SUM(E530:E532)</f>
        <v>15079.062723529414</v>
      </c>
      <c r="F533" s="2481">
        <f>SUM(F530:F532)</f>
        <v>1</v>
      </c>
      <c r="G533" s="2480">
        <f>C533+E533</f>
        <v>177778.07701385507</v>
      </c>
    </row>
    <row r="534" spans="2:12" hidden="1" outlineLevel="1" x14ac:dyDescent="0.2"/>
    <row r="535" spans="2:12" ht="20" hidden="1" outlineLevel="1" x14ac:dyDescent="0.2">
      <c r="B535" s="2176" t="s">
        <v>2698</v>
      </c>
    </row>
    <row r="536" spans="2:12" ht="20" hidden="1" outlineLevel="1" x14ac:dyDescent="0.2">
      <c r="B536" s="2176"/>
    </row>
    <row r="537" spans="2:12" hidden="1" outlineLevel="1" x14ac:dyDescent="0.2">
      <c r="C537" s="55" t="str">
        <f>D513</f>
        <v>PRO Equipes et salariés</v>
      </c>
      <c r="D537" s="55" t="s">
        <v>2668</v>
      </c>
    </row>
    <row r="538" spans="2:12" hidden="1" outlineLevel="1" x14ac:dyDescent="0.2">
      <c r="B538" s="55" t="str">
        <f>B514</f>
        <v>Avion</v>
      </c>
      <c r="C538" s="858">
        <f>D514</f>
        <v>30463.64462306619</v>
      </c>
      <c r="D538" s="858">
        <f>'22'!C300/1000</f>
        <v>490.79083341912747</v>
      </c>
      <c r="E538" s="220">
        <f>SUM(C538:D538)/SUM($C$541:$D$541)</f>
        <v>0.41286585719577423</v>
      </c>
    </row>
    <row r="539" spans="2:12" hidden="1" outlineLevel="1" x14ac:dyDescent="0.2">
      <c r="B539" s="55" t="str">
        <f>B515</f>
        <v>Voiture</v>
      </c>
      <c r="C539" s="858">
        <f>D515</f>
        <v>20543.756850512342</v>
      </c>
      <c r="D539" s="858">
        <f>'22'!C301/1000</f>
        <v>20130.480864227458</v>
      </c>
      <c r="E539" s="220">
        <f t="shared" ref="E539:E541" si="35">SUM(C539:D539)/SUM($C$541:$D$541)</f>
        <v>0.5425071971830262</v>
      </c>
    </row>
    <row r="540" spans="2:12" hidden="1" outlineLevel="1" x14ac:dyDescent="0.2">
      <c r="B540" s="55" t="str">
        <f>B516</f>
        <v>Transports en commun</v>
      </c>
      <c r="C540" s="858">
        <f>D516</f>
        <v>2422.2439588482557</v>
      </c>
      <c r="D540" s="858">
        <f>'22'!C302/1000</f>
        <v>923.64159641204367</v>
      </c>
      <c r="E540" s="220">
        <f t="shared" si="35"/>
        <v>4.4626945621199586E-2</v>
      </c>
    </row>
    <row r="541" spans="2:12" hidden="1" outlineLevel="1" x14ac:dyDescent="0.2">
      <c r="B541" s="55" t="str">
        <f>B517</f>
        <v>TOTAL</v>
      </c>
      <c r="C541" s="858">
        <f>D517</f>
        <v>53429.645432426783</v>
      </c>
      <c r="D541" s="858">
        <f>'22'!C303/1000</f>
        <v>21544.913294058631</v>
      </c>
      <c r="E541" s="220">
        <f t="shared" si="35"/>
        <v>1</v>
      </c>
    </row>
    <row r="542" spans="2:12" hidden="1" outlineLevel="1" x14ac:dyDescent="0.2"/>
    <row r="543" spans="2:12" hidden="1" outlineLevel="1" x14ac:dyDescent="0.2"/>
    <row r="544" spans="2:12" ht="23" hidden="1" outlineLevel="1" x14ac:dyDescent="0.2">
      <c r="B544" s="2516" t="s">
        <v>2700</v>
      </c>
    </row>
    <row r="545" spans="2:20" ht="17" hidden="1" outlineLevel="1" thickBot="1" x14ac:dyDescent="0.25"/>
    <row r="546" spans="2:20" hidden="1" outlineLevel="1" x14ac:dyDescent="0.2">
      <c r="B546" s="518"/>
      <c r="C546" s="1399" t="s">
        <v>2635</v>
      </c>
      <c r="D546" s="1399" t="s">
        <v>2694</v>
      </c>
      <c r="E546" s="2511" t="s">
        <v>2637</v>
      </c>
      <c r="F546" s="1399" t="s">
        <v>2638</v>
      </c>
      <c r="G546" s="1399" t="s">
        <v>2639</v>
      </c>
      <c r="H546" s="2511" t="s">
        <v>2640</v>
      </c>
      <c r="I546" s="1399" t="s">
        <v>198</v>
      </c>
      <c r="J546" s="2191" t="s">
        <v>2641</v>
      </c>
    </row>
    <row r="547" spans="2:20" hidden="1" outlineLevel="1" x14ac:dyDescent="0.2">
      <c r="B547" s="274" t="s">
        <v>742</v>
      </c>
      <c r="C547" s="918">
        <f>SUMPRODUCT(D190:I190,D191:I191,D192:I192,D199:I199)</f>
        <v>734884524.86554146</v>
      </c>
      <c r="D547" s="918">
        <f>'13'!D203*'13'!D204*'13'!D205*'13'!D208+'13'!D203*'13'!D204*'13'!D205*'13'!D209+'13'!G203*'13'!G204*'13'!G205+'13'!H203*'13'!H204*'13'!H205+SUMPRODUCT('22'!D107:F107,'22'!D108:F108,'22'!D115:F115)</f>
        <v>82216410.804953307</v>
      </c>
      <c r="E547" s="2517">
        <f>SUM(C547:D547)</f>
        <v>817100935.67049479</v>
      </c>
      <c r="F547" s="918">
        <v>0</v>
      </c>
      <c r="G547" s="918">
        <v>3173622.5795153142</v>
      </c>
      <c r="H547" s="2517">
        <f>SUM(F547:G547)</f>
        <v>3173622.5795153142</v>
      </c>
      <c r="I547" s="457">
        <f>E547+H547</f>
        <v>820274558.25001013</v>
      </c>
      <c r="J547" s="2512">
        <f>I547/$I$551</f>
        <v>6.8452474798133892E-2</v>
      </c>
    </row>
    <row r="548" spans="2:20" hidden="1" outlineLevel="1" x14ac:dyDescent="0.2">
      <c r="B548" s="2440" t="s">
        <v>2749</v>
      </c>
      <c r="C548" s="918">
        <f>SUMPRODUCT(D190:I190,D191:I191,D192:I192,D193:I193)</f>
        <v>1530994034.0454619</v>
      </c>
      <c r="D548" s="918">
        <f>'13'!F203*'13'!F204*'13'!F205*'13'!F210+SUMPRODUCT('22'!D107:F107,'22'!D108:F108,'22'!D109:F109)</f>
        <v>143366496.03400883</v>
      </c>
      <c r="E548" s="2517">
        <f t="shared" ref="E548:E550" si="36">SUM(C548:D548)</f>
        <v>1674360530.0794706</v>
      </c>
      <c r="F548" s="918">
        <v>3583579570.5959144</v>
      </c>
      <c r="G548" s="918">
        <v>3104019670.5640473</v>
      </c>
      <c r="H548" s="2517">
        <f t="shared" ref="H548:H550" si="37">SUM(F548:G548)</f>
        <v>6687599241.1599617</v>
      </c>
      <c r="I548" s="457">
        <f t="shared" ref="I548:I550" si="38">E548+H548</f>
        <v>8361959771.2394323</v>
      </c>
      <c r="J548" s="2512">
        <f t="shared" ref="J548:J550" si="39">I548/$I$551</f>
        <v>0.69781128129213155</v>
      </c>
    </row>
    <row r="549" spans="2:20" hidden="1" outlineLevel="1" x14ac:dyDescent="0.2">
      <c r="B549" s="2440" t="s">
        <v>921</v>
      </c>
      <c r="C549" s="918">
        <f>SUMPRODUCT(D190:I190,D191:I191,D192:I192,D195:I195)+SUMPRODUCT(D190:I190,D191:I191,D192:I192,D196:I196)+SUMPRODUCT(D190:I190,D191:I191,D192:I192,D197:I197)+SUMPRODUCT(D190:I190,D191:I191,D192:I192,D198:I198)</f>
        <v>451476395.49377263</v>
      </c>
      <c r="D549" s="918">
        <f>'13'!E203*'13'!E204*'13'!E205+'13'!D203*'13'!D204*'13'!D205*SUMPRODUCT('13'!D206:D207)</f>
        <v>27468711.200000003</v>
      </c>
      <c r="E549" s="2517">
        <f t="shared" si="36"/>
        <v>478945106.69377261</v>
      </c>
      <c r="F549" s="918">
        <v>136749732.24713773</v>
      </c>
      <c r="G549" s="918">
        <v>829416057.79169536</v>
      </c>
      <c r="H549" s="2517">
        <f t="shared" si="37"/>
        <v>966165790.03883314</v>
      </c>
      <c r="I549" s="457">
        <f t="shared" si="38"/>
        <v>1445110896.7326057</v>
      </c>
      <c r="J549" s="2512">
        <f t="shared" si="39"/>
        <v>0.12059549603749538</v>
      </c>
    </row>
    <row r="550" spans="2:20" hidden="1" outlineLevel="1" x14ac:dyDescent="0.2">
      <c r="B550" s="274" t="s">
        <v>2695</v>
      </c>
      <c r="C550" s="81">
        <f>SUMPRODUCT(D190:I190,D191:I191,D192:I192,D194:I194)</f>
        <v>90504826.540092602</v>
      </c>
      <c r="D550" s="81">
        <f>SUMPRODUCT('22'!D107:F107,'22'!D108:F108,'22'!D112:F112)</f>
        <v>8780399.4230859969</v>
      </c>
      <c r="E550" s="2517">
        <f t="shared" si="36"/>
        <v>99285225.963178605</v>
      </c>
      <c r="F550" s="55">
        <v>1052397461.1520616</v>
      </c>
      <c r="G550" s="55">
        <v>204097030.92509139</v>
      </c>
      <c r="H550" s="2517">
        <f t="shared" si="37"/>
        <v>1256494492.077153</v>
      </c>
      <c r="I550" s="457">
        <f t="shared" si="38"/>
        <v>1355779718.0403316</v>
      </c>
      <c r="J550" s="2512">
        <f t="shared" si="39"/>
        <v>0.11314074787223932</v>
      </c>
    </row>
    <row r="551" spans="2:20" ht="17" hidden="1" outlineLevel="1" thickBot="1" x14ac:dyDescent="0.25">
      <c r="B551" s="684" t="s">
        <v>198</v>
      </c>
      <c r="C551" s="2514">
        <f>SUM(C547:C550)</f>
        <v>2807859780.9448681</v>
      </c>
      <c r="D551" s="2514">
        <f t="shared" ref="D551:I551" si="40">SUM(D547:D550)</f>
        <v>261832017.46204811</v>
      </c>
      <c r="E551" s="2514">
        <f t="shared" si="40"/>
        <v>3069691798.4069171</v>
      </c>
      <c r="F551" s="2514">
        <f t="shared" si="40"/>
        <v>4772726763.9951134</v>
      </c>
      <c r="G551" s="2514">
        <f t="shared" si="40"/>
        <v>4140706381.8603492</v>
      </c>
      <c r="H551" s="2514">
        <f t="shared" si="40"/>
        <v>8913433145.855463</v>
      </c>
      <c r="I551" s="2514">
        <f t="shared" si="40"/>
        <v>11983124944.262379</v>
      </c>
      <c r="J551" s="2515">
        <f>I551/$I$551</f>
        <v>1</v>
      </c>
    </row>
    <row r="552" spans="2:20" hidden="1" outlineLevel="1" x14ac:dyDescent="0.2">
      <c r="I552" s="220"/>
    </row>
    <row r="553" spans="2:20" hidden="1" outlineLevel="1" x14ac:dyDescent="0.2">
      <c r="I553" s="220"/>
    </row>
    <row r="554" spans="2:20" hidden="1" outlineLevel="1" x14ac:dyDescent="0.2">
      <c r="I554" s="220"/>
    </row>
    <row r="555" spans="2:20" hidden="1" outlineLevel="1" x14ac:dyDescent="0.2">
      <c r="I555" s="220"/>
    </row>
    <row r="556" spans="2:20" hidden="1" outlineLevel="1" x14ac:dyDescent="0.2">
      <c r="C556" s="55" t="s">
        <v>722</v>
      </c>
      <c r="D556" s="55" t="s">
        <v>922</v>
      </c>
      <c r="E556" s="55" t="s">
        <v>2318</v>
      </c>
      <c r="F556" s="55" t="s">
        <v>922</v>
      </c>
      <c r="I556" s="55" t="s">
        <v>742</v>
      </c>
      <c r="J556" s="2543">
        <f>H547/$H$551</f>
        <v>3.5604940628190769E-4</v>
      </c>
      <c r="S556" s="55" t="s">
        <v>923</v>
      </c>
      <c r="T556" s="55" t="s">
        <v>1313</v>
      </c>
    </row>
    <row r="557" spans="2:20" hidden="1" outlineLevel="1" x14ac:dyDescent="0.2">
      <c r="B557" s="55" t="s">
        <v>742</v>
      </c>
      <c r="C557" s="55">
        <f>SUMPRODUCT(E190,E191,E192,E199)</f>
        <v>24915800</v>
      </c>
      <c r="D557" s="220">
        <f>C557/SUM($C$557:$C$560)</f>
        <v>2.5000000000000001E-2</v>
      </c>
      <c r="E557" s="354">
        <f>E190*E191*E192*E199*E207</f>
        <v>6428276.4000000004</v>
      </c>
      <c r="F557" s="220">
        <f>E557/SUM($E$557:$E$560)</f>
        <v>9.115459575479827E-2</v>
      </c>
      <c r="I557" s="55" t="s">
        <v>748</v>
      </c>
      <c r="J557" s="220">
        <f>H548/$H$551</f>
        <v>0.75028321093870975</v>
      </c>
      <c r="O557" s="286">
        <f>H190</f>
        <v>26194.685315789473</v>
      </c>
      <c r="P557" s="286">
        <f>I190</f>
        <v>595.46731578947367</v>
      </c>
      <c r="R557" s="55" t="s">
        <v>2740</v>
      </c>
      <c r="S557" s="220">
        <f>O557/($O$557+$P$557)</f>
        <v>0.97777290320147103</v>
      </c>
      <c r="T557" s="220">
        <f>P557/($O$557+$P$557)</f>
        <v>2.2227096798529074E-2</v>
      </c>
    </row>
    <row r="558" spans="2:20" ht="34" hidden="1" outlineLevel="1" x14ac:dyDescent="0.2">
      <c r="B558" s="55" t="s">
        <v>748</v>
      </c>
      <c r="C558" s="55">
        <f>SUMPRODUCT(E190,E191,E192,E193)</f>
        <v>742490840</v>
      </c>
      <c r="D558" s="220">
        <f t="shared" ref="D558:D560" si="41">C558/SUM($C$557:$C$560)</f>
        <v>0.745</v>
      </c>
      <c r="E558" s="354">
        <f>E190*E191*E192*E193*E201</f>
        <v>60980236.288973384</v>
      </c>
      <c r="F558" s="220">
        <f t="shared" ref="F558:F560" si="42">E558/SUM($E$557:$E$560)</f>
        <v>0.86471527390350678</v>
      </c>
      <c r="I558" s="112" t="s">
        <v>2743</v>
      </c>
      <c r="J558" s="220">
        <f>H549/$H$551</f>
        <v>0.10839434976724738</v>
      </c>
      <c r="O558" s="286">
        <f>H208</f>
        <v>5878.1953497607001</v>
      </c>
      <c r="P558" s="286">
        <f>I208</f>
        <v>73915.781666560026</v>
      </c>
      <c r="R558" s="55" t="s">
        <v>2741</v>
      </c>
      <c r="S558" s="220">
        <f>O558/($O$558+$P$558)</f>
        <v>7.3667155962891764E-2</v>
      </c>
      <c r="T558" s="220">
        <f>P558/($O$558+$P$558)</f>
        <v>0.92633284403710825</v>
      </c>
    </row>
    <row r="559" spans="2:20" hidden="1" outlineLevel="1" x14ac:dyDescent="0.2">
      <c r="B559" s="55" t="s">
        <v>726</v>
      </c>
      <c r="C559" s="346">
        <f>E190*E191*E192*E197</f>
        <v>139528480</v>
      </c>
      <c r="D559" s="220">
        <f t="shared" si="41"/>
        <v>0.14000000000000001</v>
      </c>
      <c r="E559" s="1889">
        <f>E190*E191*E192*E197*E205</f>
        <v>466025.12320000003</v>
      </c>
      <c r="F559" s="220">
        <f t="shared" si="42"/>
        <v>6.6083548798362285E-3</v>
      </c>
      <c r="I559" s="55" t="s">
        <v>2742</v>
      </c>
      <c r="J559" s="220">
        <f>H550/$H$551</f>
        <v>0.14096638988776097</v>
      </c>
    </row>
    <row r="560" spans="2:20" hidden="1" outlineLevel="1" x14ac:dyDescent="0.2">
      <c r="B560" s="55" t="s">
        <v>728</v>
      </c>
      <c r="C560" s="346">
        <f>E190*E191*E192*E198</f>
        <v>89696880</v>
      </c>
      <c r="D560" s="220">
        <f t="shared" si="41"/>
        <v>0.09</v>
      </c>
      <c r="E560" s="354">
        <f>E190*E191*E192*E198*E206</f>
        <v>2646057.96</v>
      </c>
      <c r="F560" s="220">
        <f t="shared" si="42"/>
        <v>3.7521775461858822E-2</v>
      </c>
    </row>
    <row r="561" spans="4:4" hidden="1" outlineLevel="1" x14ac:dyDescent="0.2">
      <c r="D561" s="220"/>
    </row>
    <row r="562" spans="4:4" hidden="1" outlineLevel="1" x14ac:dyDescent="0.2"/>
    <row r="563" spans="4:4" hidden="1" outlineLevel="1" x14ac:dyDescent="0.2"/>
    <row r="564" spans="4:4" hidden="1" outlineLevel="1" x14ac:dyDescent="0.2"/>
    <row r="565" spans="4:4" hidden="1" outlineLevel="1" x14ac:dyDescent="0.2"/>
    <row r="566" spans="4:4" hidden="1" outlineLevel="1" x14ac:dyDescent="0.2"/>
    <row r="567" spans="4:4" hidden="1" outlineLevel="1" x14ac:dyDescent="0.2"/>
    <row r="568" spans="4:4" hidden="1" outlineLevel="1" x14ac:dyDescent="0.2"/>
    <row r="569" spans="4:4" hidden="1" outlineLevel="1" x14ac:dyDescent="0.2"/>
    <row r="570" spans="4:4" hidden="1" outlineLevel="1" x14ac:dyDescent="0.2"/>
    <row r="571" spans="4:4" hidden="1" outlineLevel="1" x14ac:dyDescent="0.2"/>
    <row r="572" spans="4:4" hidden="1" outlineLevel="1" x14ac:dyDescent="0.2"/>
    <row r="573" spans="4:4" hidden="1" outlineLevel="1" x14ac:dyDescent="0.2"/>
    <row r="574" spans="4:4" hidden="1" outlineLevel="1" x14ac:dyDescent="0.2"/>
    <row r="575" spans="4:4" hidden="1" outlineLevel="1" x14ac:dyDescent="0.2"/>
    <row r="576" spans="4:4" hidden="1" outlineLevel="1" x14ac:dyDescent="0.2"/>
    <row r="577" spans="2:3" hidden="1" outlineLevel="1" x14ac:dyDescent="0.2"/>
    <row r="578" spans="2:3" hidden="1" outlineLevel="1" x14ac:dyDescent="0.2"/>
    <row r="579" spans="2:3" hidden="1" outlineLevel="1" x14ac:dyDescent="0.2"/>
    <row r="580" spans="2:3" hidden="1" outlineLevel="1" x14ac:dyDescent="0.2"/>
    <row r="581" spans="2:3" hidden="1" outlineLevel="1" x14ac:dyDescent="0.2"/>
    <row r="582" spans="2:3" hidden="1" outlineLevel="1" x14ac:dyDescent="0.2"/>
    <row r="583" spans="2:3" hidden="1" outlineLevel="1" x14ac:dyDescent="0.2"/>
    <row r="584" spans="2:3" hidden="1" outlineLevel="1" x14ac:dyDescent="0.2"/>
    <row r="585" spans="2:3" hidden="1" outlineLevel="1" x14ac:dyDescent="0.2"/>
    <row r="586" spans="2:3" hidden="1" outlineLevel="1" x14ac:dyDescent="0.2"/>
    <row r="587" spans="2:3" hidden="1" outlineLevel="1" x14ac:dyDescent="0.2"/>
    <row r="588" spans="2:3" hidden="1" outlineLevel="1" x14ac:dyDescent="0.2"/>
    <row r="589" spans="2:3" hidden="1" outlineLevel="1" x14ac:dyDescent="0.2">
      <c r="B589" s="55" t="s">
        <v>742</v>
      </c>
      <c r="C589" s="220">
        <f>(E522+E530)/(E533+E525)</f>
        <v>0.93835524352749</v>
      </c>
    </row>
    <row r="590" spans="2:3" hidden="1" outlineLevel="1" x14ac:dyDescent="0.2">
      <c r="B590" s="55" t="s">
        <v>748</v>
      </c>
      <c r="C590" s="220">
        <f>(E523+E531)/(E533+E525)</f>
        <v>1.2930115530648999E-2</v>
      </c>
    </row>
    <row r="591" spans="2:3" hidden="1" outlineLevel="1" x14ac:dyDescent="0.2">
      <c r="B591" s="55" t="s">
        <v>2658</v>
      </c>
      <c r="C591" s="220">
        <f>1-C589-C590</f>
        <v>4.8714640941860995E-2</v>
      </c>
    </row>
    <row r="592" spans="2:3" hidden="1" outlineLevel="1" x14ac:dyDescent="0.2"/>
    <row r="593" hidden="1" outlineLevel="1" x14ac:dyDescent="0.2"/>
    <row r="594" hidden="1" outlineLevel="1" x14ac:dyDescent="0.2"/>
    <row r="595" collapsed="1" x14ac:dyDescent="0.2"/>
  </sheetData>
  <mergeCells count="37">
    <mergeCell ref="G326:H326"/>
    <mergeCell ref="C315:D315"/>
    <mergeCell ref="C326:D326"/>
    <mergeCell ref="B13:Q13"/>
    <mergeCell ref="C14:Q14"/>
    <mergeCell ref="M270:O272"/>
    <mergeCell ref="F82:L82"/>
    <mergeCell ref="M82:S82"/>
    <mergeCell ref="F188:G188"/>
    <mergeCell ref="D188:E188"/>
    <mergeCell ref="H188:I188"/>
    <mergeCell ref="R247:R249"/>
    <mergeCell ref="B191:B192"/>
    <mergeCell ref="B193:B199"/>
    <mergeCell ref="B200:B207"/>
    <mergeCell ref="B174:H175"/>
    <mergeCell ref="B2:E2"/>
    <mergeCell ref="B5:D5"/>
    <mergeCell ref="C7:D7"/>
    <mergeCell ref="C8:D8"/>
    <mergeCell ref="C10:D10"/>
    <mergeCell ref="B358:B367"/>
    <mergeCell ref="B368:B377"/>
    <mergeCell ref="B378:B387"/>
    <mergeCell ref="C15:Q15"/>
    <mergeCell ref="C16:Q16"/>
    <mergeCell ref="B301:D302"/>
    <mergeCell ref="B312:D313"/>
    <mergeCell ref="C17:Q17"/>
    <mergeCell ref="C18:Q18"/>
    <mergeCell ref="C19:Q19"/>
    <mergeCell ref="C20:Q20"/>
    <mergeCell ref="B70:F70"/>
    <mergeCell ref="B176:H176"/>
    <mergeCell ref="B177:H177"/>
    <mergeCell ref="B340:C340"/>
    <mergeCell ref="D340:E340"/>
  </mergeCells>
  <phoneticPr fontId="96" type="noConversion"/>
  <conditionalFormatting sqref="C8">
    <cfRule type="containsText" dxfId="71" priority="18" operator="containsText" text="Calcul brouillon, odg">
      <formula>NOT(ISERROR(SEARCH("Calcul brouillon, odg",C8)))</formula>
    </cfRule>
    <cfRule type="containsText" dxfId="70" priority="19" operator="containsText" text="Pas ok">
      <formula>NOT(ISERROR(SEARCH("Pas ok",C8)))</formula>
    </cfRule>
    <cfRule type="containsText" dxfId="69" priority="20" operator="containsText" text="Calcul brouillon, ordre de grandeur">
      <formula>NOT(ISERROR(SEARCH("Calcul brouillon, ordre de grandeur",C8)))</formula>
    </cfRule>
    <cfRule type="containsText" dxfId="68" priority="21" operator="containsText" text="Bon ordre de grandeur">
      <formula>NOT(ISERROR(SEARCH("Bon ordre de grandeur",C8)))</formula>
    </cfRule>
    <cfRule type="containsText" dxfId="67" priority="22" operator="containsText" text="Calcul validé">
      <formula>NOT(ISERROR(SEARCH("Calcul validé",C8)))</formula>
    </cfRule>
    <cfRule type="containsText" dxfId="66" priority="24" operator="containsText" text="Pas ok">
      <formula>NOT(ISERROR(SEARCH("Pas ok",C8)))</formula>
    </cfRule>
    <cfRule type="containsText" dxfId="65" priority="25" operator="containsText" text="Calcul brouillon, ordre de grandeur">
      <formula>NOT(ISERROR(SEARCH("Calcul brouillon, ordre de grandeur",C8)))</formula>
    </cfRule>
    <cfRule type="containsText" dxfId="64" priority="26" operator="containsText" text="Bon ordre de grandeur">
      <formula>NOT(ISERROR(SEARCH("Bon ordre de grandeur",C8)))</formula>
    </cfRule>
    <cfRule type="containsText" dxfId="63" priority="27" operator="containsText" text="Calcul validé">
      <formula>NOT(ISERROR(SEARCH("Calcul validé",C8)))</formula>
    </cfRule>
  </conditionalFormatting>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9A9C"/>
  </sheetPr>
  <dimension ref="A1:BA172"/>
  <sheetViews>
    <sheetView zoomScale="43" zoomScaleNormal="50" workbookViewId="0">
      <selection activeCell="U40" activeCellId="1" sqref="S40 U40"/>
    </sheetView>
  </sheetViews>
  <sheetFormatPr baseColWidth="10" defaultColWidth="10.85546875" defaultRowHeight="16" outlineLevelRow="1" x14ac:dyDescent="0.2"/>
  <cols>
    <col min="1" max="1" width="10.85546875" style="55"/>
    <col min="2" max="3" width="40.7109375" style="55" customWidth="1"/>
    <col min="4" max="4" width="35.140625" style="55" customWidth="1"/>
    <col min="5" max="5" width="41.5703125" style="55" customWidth="1"/>
    <col min="6" max="7" width="35.140625" style="55" customWidth="1"/>
    <col min="8" max="8" width="39.28515625" style="55" customWidth="1"/>
    <col min="9" max="14" width="35.140625" style="55" customWidth="1"/>
    <col min="15" max="27" width="34.7109375" style="55" customWidth="1"/>
    <col min="28" max="30" width="10.85546875" style="55"/>
    <col min="31" max="35" width="18" style="55" customWidth="1"/>
    <col min="36" max="36" width="10.85546875" style="55"/>
    <col min="37" max="41" width="16.85546875" style="55" customWidth="1"/>
    <col min="42" max="16384" width="10.85546875" style="55"/>
  </cols>
  <sheetData>
    <row r="1" spans="2:10" ht="36" customHeight="1" thickBot="1" x14ac:dyDescent="0.25">
      <c r="B1" s="126"/>
      <c r="C1" s="126"/>
      <c r="D1" s="126"/>
      <c r="E1" s="126"/>
      <c r="F1" s="126"/>
      <c r="G1" s="126"/>
      <c r="H1" s="126"/>
    </row>
    <row r="2" spans="2:10" ht="36" customHeight="1" thickBot="1" x14ac:dyDescent="0.25">
      <c r="B2" s="2612" t="s">
        <v>941</v>
      </c>
      <c r="C2" s="2613"/>
      <c r="D2" s="2614"/>
      <c r="E2" s="126"/>
      <c r="F2" s="126"/>
      <c r="G2" s="126"/>
      <c r="H2" s="126"/>
    </row>
    <row r="3" spans="2:10" ht="36" customHeight="1" x14ac:dyDescent="0.2">
      <c r="B3" s="126"/>
      <c r="C3" s="126"/>
      <c r="D3" s="126"/>
      <c r="E3" s="126"/>
      <c r="F3" s="126"/>
      <c r="G3" s="126"/>
      <c r="H3" s="126"/>
    </row>
    <row r="4" spans="2:10" ht="36" customHeight="1" thickBot="1" x14ac:dyDescent="0.25">
      <c r="B4" s="126"/>
      <c r="C4" s="126"/>
      <c r="D4" s="126"/>
      <c r="E4" s="126"/>
      <c r="F4" s="126"/>
      <c r="G4" s="126"/>
      <c r="H4" s="126"/>
    </row>
    <row r="5" spans="2:10" ht="36" customHeight="1" x14ac:dyDescent="0.2">
      <c r="B5" s="2822" t="s">
        <v>17</v>
      </c>
      <c r="C5" s="2823"/>
      <c r="D5" s="2824"/>
      <c r="E5" s="126"/>
    </row>
    <row r="6" spans="2:10" ht="36" customHeight="1" thickBot="1" x14ac:dyDescent="0.25">
      <c r="B6" s="793" t="s">
        <v>216</v>
      </c>
      <c r="C6" s="1780">
        <f>D41</f>
        <v>300986.84456338198</v>
      </c>
      <c r="D6" s="794" t="s">
        <v>19</v>
      </c>
      <c r="E6" s="126"/>
    </row>
    <row r="7" spans="2:10" ht="36" customHeight="1" x14ac:dyDescent="0.2">
      <c r="B7" s="666"/>
      <c r="C7" s="2982" t="s">
        <v>770</v>
      </c>
      <c r="D7" s="2983"/>
      <c r="E7" s="2984" t="s">
        <v>771</v>
      </c>
      <c r="F7" s="2985"/>
      <c r="G7" s="2982" t="s">
        <v>772</v>
      </c>
      <c r="H7" s="2985"/>
    </row>
    <row r="8" spans="2:10" ht="36" customHeight="1" x14ac:dyDescent="0.2">
      <c r="B8" s="667" t="s">
        <v>217</v>
      </c>
      <c r="C8" s="668">
        <f>K41</f>
        <v>44845.896697971082</v>
      </c>
      <c r="D8" s="669" t="s">
        <v>19</v>
      </c>
      <c r="E8" s="670">
        <f>Q41</f>
        <v>103217.79500997849</v>
      </c>
      <c r="F8" s="129" t="s">
        <v>19</v>
      </c>
      <c r="G8" s="668">
        <f>W41</f>
        <v>43827.462973191447</v>
      </c>
      <c r="H8" s="129" t="s">
        <v>19</v>
      </c>
    </row>
    <row r="9" spans="2:10" ht="36" customHeight="1" thickBot="1" x14ac:dyDescent="0.25">
      <c r="B9" s="671" t="s">
        <v>218</v>
      </c>
      <c r="C9" s="2986">
        <f>C8/C6 - 1</f>
        <v>-0.85100379797985681</v>
      </c>
      <c r="D9" s="2987"/>
      <c r="E9" s="2988">
        <f>E8/C6 - 1</f>
        <v>-0.65706874943418714</v>
      </c>
      <c r="F9" s="2826"/>
      <c r="G9" s="2986">
        <f>G8/C6 - 1</f>
        <v>-0.85438744661160015</v>
      </c>
      <c r="H9" s="2826"/>
    </row>
    <row r="10" spans="2:10" ht="36" customHeight="1" x14ac:dyDescent="0.2">
      <c r="B10" s="126"/>
      <c r="C10" s="126"/>
      <c r="D10" s="542"/>
      <c r="E10" s="542"/>
      <c r="F10" s="126"/>
      <c r="G10" s="126"/>
      <c r="H10" s="126"/>
    </row>
    <row r="11" spans="2:10" ht="36" customHeight="1" x14ac:dyDescent="0.2">
      <c r="B11" s="126"/>
      <c r="C11" s="126"/>
      <c r="D11" s="126"/>
      <c r="E11" s="126"/>
      <c r="F11" s="126"/>
      <c r="G11" s="126"/>
      <c r="H11" s="126"/>
    </row>
    <row r="12" spans="2:10" ht="36" customHeight="1" x14ac:dyDescent="0.2">
      <c r="B12" s="133" t="s">
        <v>219</v>
      </c>
    </row>
    <row r="13" spans="2:10" ht="36" customHeight="1" thickBot="1" x14ac:dyDescent="0.25"/>
    <row r="14" spans="2:10" s="72" customFormat="1" ht="36" customHeight="1" outlineLevel="1" thickBot="1" x14ac:dyDescent="0.25">
      <c r="B14" s="1926" t="s">
        <v>149</v>
      </c>
      <c r="C14" s="837" t="s">
        <v>220</v>
      </c>
      <c r="D14" s="838" t="s">
        <v>942</v>
      </c>
      <c r="E14" s="839" t="s">
        <v>222</v>
      </c>
      <c r="F14" s="840" t="s">
        <v>943</v>
      </c>
      <c r="G14" s="839" t="s">
        <v>222</v>
      </c>
      <c r="H14" s="841" t="s">
        <v>774</v>
      </c>
      <c r="I14" s="839" t="s">
        <v>222</v>
      </c>
      <c r="J14" s="842" t="s">
        <v>944</v>
      </c>
    </row>
    <row r="15" spans="2:10" ht="36" customHeight="1" outlineLevel="1" x14ac:dyDescent="0.2"/>
    <row r="16" spans="2:10" ht="36" customHeight="1" x14ac:dyDescent="0.2">
      <c r="B16" s="133" t="s">
        <v>776</v>
      </c>
      <c r="C16" s="126"/>
      <c r="D16" s="126"/>
      <c r="H16" s="126"/>
    </row>
    <row r="17" spans="2:53" ht="36" customHeight="1" x14ac:dyDescent="0.2">
      <c r="B17" s="126"/>
      <c r="C17" s="126"/>
      <c r="D17" s="126"/>
      <c r="H17" s="126"/>
    </row>
    <row r="18" spans="2:53" ht="36" hidden="1" customHeight="1" outlineLevel="1" thickBot="1" x14ac:dyDescent="0.25">
      <c r="B18"/>
      <c r="C18"/>
      <c r="D18"/>
      <c r="E18"/>
      <c r="F18"/>
      <c r="G18"/>
      <c r="H18"/>
      <c r="I18"/>
      <c r="J18"/>
      <c r="K18"/>
      <c r="L18"/>
      <c r="M18"/>
      <c r="N18"/>
    </row>
    <row r="19" spans="2:53" ht="55" hidden="1" customHeight="1" outlineLevel="1" thickBot="1" x14ac:dyDescent="0.25">
      <c r="B19" s="1692"/>
      <c r="C19" s="1692"/>
      <c r="D19" s="2989">
        <v>2022</v>
      </c>
      <c r="E19" s="2990"/>
      <c r="F19" s="2990"/>
      <c r="G19" s="2990"/>
      <c r="H19" s="2990"/>
      <c r="I19" s="2991"/>
      <c r="J19" s="2992" t="s">
        <v>945</v>
      </c>
      <c r="K19" s="2992"/>
      <c r="L19" s="2992"/>
      <c r="M19" s="2992"/>
      <c r="N19" s="2992"/>
      <c r="O19" s="2993"/>
      <c r="P19" s="2994" t="s">
        <v>777</v>
      </c>
      <c r="Q19" s="2995"/>
      <c r="R19" s="2995"/>
      <c r="S19" s="2995"/>
      <c r="T19" s="2995"/>
      <c r="U19" s="2996"/>
      <c r="V19" s="2994" t="s">
        <v>778</v>
      </c>
      <c r="W19" s="2995"/>
      <c r="X19" s="2995"/>
      <c r="Y19" s="2995"/>
      <c r="Z19" s="2995"/>
      <c r="AA19" s="2996"/>
      <c r="AT19"/>
      <c r="AU19"/>
      <c r="AV19"/>
      <c r="AW19"/>
      <c r="AX19"/>
      <c r="AY19"/>
      <c r="AZ19"/>
      <c r="BA19"/>
    </row>
    <row r="20" spans="2:53" ht="36" hidden="1" customHeight="1" outlineLevel="1" thickBot="1" x14ac:dyDescent="0.25">
      <c r="B20" s="1692"/>
      <c r="C20" s="1738"/>
      <c r="D20" s="2997" t="s">
        <v>1586</v>
      </c>
      <c r="E20" s="2998"/>
      <c r="F20" s="2999" t="s">
        <v>751</v>
      </c>
      <c r="G20" s="2998"/>
      <c r="H20" s="2999" t="s">
        <v>811</v>
      </c>
      <c r="I20" s="3000"/>
      <c r="J20" s="3001" t="s">
        <v>1586</v>
      </c>
      <c r="K20" s="2998"/>
      <c r="L20" s="2999" t="s">
        <v>751</v>
      </c>
      <c r="M20" s="2998"/>
      <c r="N20" s="2999" t="s">
        <v>811</v>
      </c>
      <c r="O20" s="2998"/>
      <c r="P20" s="2999" t="s">
        <v>1586</v>
      </c>
      <c r="Q20" s="2998"/>
      <c r="R20" s="2999" t="s">
        <v>751</v>
      </c>
      <c r="S20" s="2998"/>
      <c r="T20" s="2999" t="s">
        <v>811</v>
      </c>
      <c r="U20" s="2998"/>
      <c r="V20" s="2999" t="s">
        <v>1586</v>
      </c>
      <c r="W20" s="2998"/>
      <c r="X20" s="2999" t="s">
        <v>751</v>
      </c>
      <c r="Y20" s="2998"/>
      <c r="Z20" s="2999" t="s">
        <v>811</v>
      </c>
      <c r="AA20" s="2998"/>
      <c r="AT20"/>
      <c r="AU20"/>
      <c r="AV20"/>
      <c r="AW20"/>
      <c r="AX20"/>
      <c r="AY20"/>
      <c r="AZ20"/>
      <c r="BA20"/>
    </row>
    <row r="21" spans="2:53" s="112" customFormat="1" ht="65" hidden="1" customHeight="1" outlineLevel="1" thickBot="1" x14ac:dyDescent="0.25">
      <c r="B21" s="1692"/>
      <c r="C21" s="1224"/>
      <c r="D21" s="1211" t="s">
        <v>925</v>
      </c>
      <c r="E21" s="1212" t="s">
        <v>926</v>
      </c>
      <c r="F21" s="1213" t="s">
        <v>925</v>
      </c>
      <c r="G21" s="1214" t="s">
        <v>926</v>
      </c>
      <c r="H21" s="1213" t="s">
        <v>925</v>
      </c>
      <c r="I21" s="1215" t="s">
        <v>926</v>
      </c>
      <c r="J21" s="1210" t="s">
        <v>779</v>
      </c>
      <c r="K21" s="1151" t="s">
        <v>780</v>
      </c>
      <c r="L21" s="1150" t="s">
        <v>925</v>
      </c>
      <c r="M21" s="1151" t="s">
        <v>926</v>
      </c>
      <c r="N21" s="1150" t="s">
        <v>925</v>
      </c>
      <c r="O21" s="1151" t="s">
        <v>926</v>
      </c>
      <c r="P21" s="1150" t="s">
        <v>925</v>
      </c>
      <c r="Q21" s="1151" t="s">
        <v>926</v>
      </c>
      <c r="R21" s="1150" t="s">
        <v>925</v>
      </c>
      <c r="S21" s="1151" t="s">
        <v>926</v>
      </c>
      <c r="T21" s="1150" t="s">
        <v>925</v>
      </c>
      <c r="U21" s="1151" t="s">
        <v>926</v>
      </c>
      <c r="V21" s="1150" t="s">
        <v>925</v>
      </c>
      <c r="W21" s="1151" t="s">
        <v>926</v>
      </c>
      <c r="X21" s="1150" t="s">
        <v>925</v>
      </c>
      <c r="Y21" s="1151" t="s">
        <v>926</v>
      </c>
      <c r="Z21" s="1150" t="s">
        <v>925</v>
      </c>
      <c r="AA21" s="1151" t="s">
        <v>926</v>
      </c>
      <c r="AT21"/>
      <c r="AU21"/>
      <c r="AV21"/>
      <c r="AW21"/>
      <c r="AX21"/>
      <c r="AY21"/>
      <c r="AZ21"/>
      <c r="BA21"/>
    </row>
    <row r="22" spans="2:53" ht="38" hidden="1" customHeight="1" outlineLevel="1" thickBot="1" x14ac:dyDescent="0.25">
      <c r="B22" s="843" t="s">
        <v>1546</v>
      </c>
      <c r="C22" s="737" t="s">
        <v>1589</v>
      </c>
      <c r="D22" s="1109">
        <f>'16'!D190</f>
        <v>12350</v>
      </c>
      <c r="E22" s="1110">
        <f>'16'!E190</f>
        <v>650</v>
      </c>
      <c r="F22" s="1109">
        <f>'16'!F190</f>
        <v>23369.658849411771</v>
      </c>
      <c r="G22" s="1110">
        <f>'16'!G190</f>
        <v>1208.0779152941177</v>
      </c>
      <c r="H22" s="1109">
        <f>'16'!H190</f>
        <v>26194.685315789473</v>
      </c>
      <c r="I22" s="1110">
        <f>'16'!I190</f>
        <v>595.46731578947367</v>
      </c>
      <c r="J22" s="1035">
        <f t="shared" ref="J22:P24" si="0">D22</f>
        <v>12350</v>
      </c>
      <c r="K22" s="1111">
        <f t="shared" si="0"/>
        <v>650</v>
      </c>
      <c r="L22" s="856">
        <f t="shared" si="0"/>
        <v>23369.658849411771</v>
      </c>
      <c r="M22" s="1112">
        <f t="shared" si="0"/>
        <v>1208.0779152941177</v>
      </c>
      <c r="N22" s="856">
        <f t="shared" si="0"/>
        <v>26194.685315789473</v>
      </c>
      <c r="O22" s="1112">
        <f t="shared" si="0"/>
        <v>595.46731578947367</v>
      </c>
      <c r="P22" s="856">
        <f t="shared" si="0"/>
        <v>12350</v>
      </c>
      <c r="Q22" s="1111">
        <f t="shared" ref="Q22:V31" si="1">K22</f>
        <v>650</v>
      </c>
      <c r="R22" s="856">
        <f t="shared" si="1"/>
        <v>23369.658849411771</v>
      </c>
      <c r="S22" s="1112">
        <f t="shared" si="1"/>
        <v>1208.0779152941177</v>
      </c>
      <c r="T22" s="856">
        <f t="shared" si="1"/>
        <v>26194.685315789473</v>
      </c>
      <c r="U22" s="1112">
        <f t="shared" si="1"/>
        <v>595.46731578947367</v>
      </c>
      <c r="V22" s="856">
        <f>P22</f>
        <v>12350</v>
      </c>
      <c r="W22" s="1111">
        <f t="shared" ref="W22:AA31" si="2">Q22</f>
        <v>650</v>
      </c>
      <c r="X22" s="856">
        <f t="shared" si="2"/>
        <v>23369.658849411771</v>
      </c>
      <c r="Y22" s="1112">
        <f t="shared" si="2"/>
        <v>1208.0779152941177</v>
      </c>
      <c r="Z22" s="856">
        <f t="shared" si="2"/>
        <v>26194.685315789473</v>
      </c>
      <c r="AA22" s="1112">
        <f t="shared" si="2"/>
        <v>595.46731578947367</v>
      </c>
      <c r="AF22" s="3016" t="s">
        <v>1340</v>
      </c>
      <c r="AG22" s="3017"/>
      <c r="AH22" s="3017"/>
      <c r="AI22" s="3017"/>
      <c r="AJ22" s="3018"/>
      <c r="AL22" s="3021" t="s">
        <v>1341</v>
      </c>
      <c r="AM22" s="3021"/>
      <c r="AN22" s="3021"/>
      <c r="AO22" s="2"/>
      <c r="AP22" s="2"/>
      <c r="AT22"/>
      <c r="AU22"/>
      <c r="AV22"/>
      <c r="AW22"/>
      <c r="AX22"/>
      <c r="AY22"/>
      <c r="AZ22"/>
      <c r="BA22"/>
    </row>
    <row r="23" spans="2:53" ht="38" hidden="1" customHeight="1" outlineLevel="1" x14ac:dyDescent="0.2">
      <c r="B23" s="3012" t="s">
        <v>773</v>
      </c>
      <c r="C23" s="1100" t="s">
        <v>1587</v>
      </c>
      <c r="D23" s="1113">
        <f>'16'!D191</f>
        <v>1369</v>
      </c>
      <c r="E23" s="1114">
        <f>'16'!E191</f>
        <v>1369</v>
      </c>
      <c r="F23" s="1113">
        <f>'16'!F191</f>
        <v>68</v>
      </c>
      <c r="G23" s="1114">
        <f>'16'!G191</f>
        <v>136</v>
      </c>
      <c r="H23" s="1113">
        <f>'16'!H191</f>
        <v>19</v>
      </c>
      <c r="I23" s="1114">
        <f>'16'!I191</f>
        <v>38</v>
      </c>
      <c r="J23" s="1115">
        <f t="shared" si="0"/>
        <v>1369</v>
      </c>
      <c r="K23" s="1116">
        <f t="shared" si="0"/>
        <v>1369</v>
      </c>
      <c r="L23" s="1117">
        <f t="shared" si="0"/>
        <v>68</v>
      </c>
      <c r="M23" s="1116">
        <f t="shared" si="0"/>
        <v>136</v>
      </c>
      <c r="N23" s="1117">
        <f t="shared" si="0"/>
        <v>19</v>
      </c>
      <c r="O23" s="1116">
        <f t="shared" si="0"/>
        <v>38</v>
      </c>
      <c r="P23" s="1117">
        <f t="shared" ref="P23:P29" si="3">J23</f>
        <v>1369</v>
      </c>
      <c r="Q23" s="1116">
        <f t="shared" si="1"/>
        <v>1369</v>
      </c>
      <c r="R23" s="1117">
        <f t="shared" si="1"/>
        <v>68</v>
      </c>
      <c r="S23" s="1116">
        <f t="shared" si="1"/>
        <v>136</v>
      </c>
      <c r="T23" s="1117">
        <f t="shared" si="1"/>
        <v>19</v>
      </c>
      <c r="U23" s="1116">
        <f t="shared" si="1"/>
        <v>38</v>
      </c>
      <c r="V23" s="1117">
        <f>C146</f>
        <v>1369</v>
      </c>
      <c r="W23" s="1116">
        <f>C146</f>
        <v>1369</v>
      </c>
      <c r="X23" s="1117">
        <f>D146</f>
        <v>47.599999999999994</v>
      </c>
      <c r="Y23" s="1116">
        <f>D146</f>
        <v>47.599999999999994</v>
      </c>
      <c r="Z23" s="1117">
        <f>E146</f>
        <v>4.75</v>
      </c>
      <c r="AA23" s="1116">
        <f>E146</f>
        <v>4.75</v>
      </c>
      <c r="AF23" s="481"/>
      <c r="AG23" s="3016" t="s">
        <v>1152</v>
      </c>
      <c r="AH23" s="3018"/>
      <c r="AI23" s="3019" t="s">
        <v>1339</v>
      </c>
      <c r="AJ23" s="3020"/>
      <c r="AL23" s="1057"/>
      <c r="AM23" s="3014" t="s">
        <v>1339</v>
      </c>
      <c r="AN23" s="3015"/>
      <c r="AT23"/>
      <c r="AU23"/>
      <c r="AV23"/>
      <c r="AW23"/>
      <c r="AX23"/>
      <c r="AY23"/>
      <c r="AZ23"/>
      <c r="BA23"/>
    </row>
    <row r="24" spans="2:53" ht="38" hidden="1" customHeight="1" outlineLevel="1" thickBot="1" x14ac:dyDescent="0.25">
      <c r="B24" s="3013"/>
      <c r="C24" s="1101" t="s">
        <v>1588</v>
      </c>
      <c r="D24" s="1118">
        <f>'16'!D192</f>
        <v>41.595245732871298</v>
      </c>
      <c r="E24" s="1119">
        <f>'16'!E192</f>
        <v>1120</v>
      </c>
      <c r="F24" s="1118">
        <f>'16'!F192</f>
        <v>131.05097635925958</v>
      </c>
      <c r="G24" s="1119">
        <f>'16'!G192</f>
        <v>2116.2091180682978</v>
      </c>
      <c r="H24" s="1118">
        <f>'16'!H192</f>
        <v>132.73059724784952</v>
      </c>
      <c r="I24" s="1119">
        <f>'16'!I192</f>
        <v>21490.774175682815</v>
      </c>
      <c r="J24" s="1120">
        <f t="shared" si="0"/>
        <v>41.595245732871298</v>
      </c>
      <c r="K24" s="1121">
        <f t="shared" si="0"/>
        <v>1120</v>
      </c>
      <c r="L24" s="1122">
        <f t="shared" si="0"/>
        <v>131.05097635925958</v>
      </c>
      <c r="M24" s="1121">
        <f>G24</f>
        <v>2116.2091180682978</v>
      </c>
      <c r="N24" s="1122">
        <f t="shared" si="0"/>
        <v>132.73059724784952</v>
      </c>
      <c r="O24" s="1121">
        <f t="shared" si="0"/>
        <v>21490.774175682815</v>
      </c>
      <c r="P24" s="1122">
        <f t="shared" si="3"/>
        <v>41.595245732871298</v>
      </c>
      <c r="Q24" s="1121">
        <f t="shared" si="1"/>
        <v>1120</v>
      </c>
      <c r="R24" s="1122">
        <f t="shared" si="1"/>
        <v>131.05097635925958</v>
      </c>
      <c r="S24" s="1121">
        <f t="shared" si="1"/>
        <v>2116.2091180682978</v>
      </c>
      <c r="T24" s="1122">
        <f t="shared" si="1"/>
        <v>132.73059724784952</v>
      </c>
      <c r="U24" s="1121">
        <f t="shared" si="1"/>
        <v>21490.774175682815</v>
      </c>
      <c r="V24" s="1122">
        <f t="shared" si="1"/>
        <v>41.595245732871298</v>
      </c>
      <c r="W24" s="1121">
        <f t="shared" si="2"/>
        <v>1120</v>
      </c>
      <c r="X24" s="1122">
        <f t="shared" si="2"/>
        <v>131.05097635925958</v>
      </c>
      <c r="Y24" s="1121">
        <f t="shared" si="2"/>
        <v>2116.2091180682978</v>
      </c>
      <c r="Z24" s="1122">
        <f t="shared" si="2"/>
        <v>132.73059724784952</v>
      </c>
      <c r="AA24" s="1121">
        <f t="shared" si="2"/>
        <v>21490.774175682815</v>
      </c>
      <c r="AF24" s="795"/>
      <c r="AG24" s="796">
        <v>2022</v>
      </c>
      <c r="AH24" s="797">
        <v>2050</v>
      </c>
      <c r="AI24" s="796">
        <v>2022</v>
      </c>
      <c r="AJ24" s="797">
        <v>2050</v>
      </c>
      <c r="AL24" s="2433"/>
      <c r="AM24" s="81">
        <v>2022</v>
      </c>
      <c r="AN24" s="81">
        <v>2050</v>
      </c>
      <c r="AT24"/>
      <c r="AU24"/>
      <c r="AV24"/>
      <c r="AW24"/>
      <c r="AX24"/>
      <c r="AY24"/>
      <c r="AZ24"/>
      <c r="BA24"/>
    </row>
    <row r="25" spans="2:53" ht="38" hidden="1" customHeight="1" outlineLevel="1" x14ac:dyDescent="0.2">
      <c r="B25" s="3025" t="s">
        <v>722</v>
      </c>
      <c r="C25" s="1102" t="s">
        <v>927</v>
      </c>
      <c r="D25" s="1123">
        <f>'16'!D193</f>
        <v>0.76200000000000001</v>
      </c>
      <c r="E25" s="1124">
        <f>'16'!E193</f>
        <v>0.745</v>
      </c>
      <c r="F25" s="1123">
        <f>'16'!F193</f>
        <v>0.67695167982497462</v>
      </c>
      <c r="G25" s="1124">
        <f>'16'!G193</f>
        <v>0.19666666666666666</v>
      </c>
      <c r="H25" s="1123">
        <f>'16'!H193</f>
        <v>0.65488590443098338</v>
      </c>
      <c r="I25" s="1124"/>
      <c r="J25" s="1739">
        <f>G71</f>
        <v>0.45</v>
      </c>
      <c r="K25" s="1740">
        <f t="shared" ref="K25:K29" si="4">F71</f>
        <v>0.48350500000000002</v>
      </c>
      <c r="L25" s="1741">
        <f t="shared" ref="L25:M31" si="5">E105</f>
        <v>0.43107772064326216</v>
      </c>
      <c r="M25" s="1742">
        <f>F105</f>
        <v>9.8333333333333328E-2</v>
      </c>
      <c r="N25" s="1741">
        <f t="shared" ref="N25:O31" si="6">I105</f>
        <v>0.41702640140652247</v>
      </c>
      <c r="O25" s="1743"/>
      <c r="P25" s="1741">
        <f t="shared" si="3"/>
        <v>0.45</v>
      </c>
      <c r="Q25" s="1740">
        <f t="shared" si="1"/>
        <v>0.48350500000000002</v>
      </c>
      <c r="R25" s="1741">
        <f t="shared" si="1"/>
        <v>0.43107772064326216</v>
      </c>
      <c r="S25" s="1742">
        <f t="shared" si="1"/>
        <v>9.8333333333333328E-2</v>
      </c>
      <c r="T25" s="1741">
        <f t="shared" si="1"/>
        <v>0.41702640140652247</v>
      </c>
      <c r="U25" s="1743"/>
      <c r="V25" s="1741">
        <f>P25</f>
        <v>0.45</v>
      </c>
      <c r="W25" s="1740">
        <f t="shared" si="2"/>
        <v>0.48350500000000002</v>
      </c>
      <c r="X25" s="1741">
        <f t="shared" si="2"/>
        <v>0.43107772064326216</v>
      </c>
      <c r="Y25" s="1742">
        <f t="shared" si="2"/>
        <v>9.8333333333333328E-2</v>
      </c>
      <c r="Z25" s="1741">
        <f t="shared" si="2"/>
        <v>0.41702640140652247</v>
      </c>
      <c r="AA25" s="1743"/>
      <c r="AF25" s="481" t="s">
        <v>921</v>
      </c>
      <c r="AG25" s="798">
        <f>D27+D28+D29</f>
        <v>0.14600000000000002</v>
      </c>
      <c r="AH25" s="798">
        <f>V27+V28+V29</f>
        <v>0.24999999999999997</v>
      </c>
      <c r="AI25" s="798"/>
      <c r="AJ25" s="798"/>
      <c r="AL25" s="481" t="s">
        <v>728</v>
      </c>
      <c r="AM25" s="2434">
        <f>G30</f>
        <v>6.0000000000000005E-2</v>
      </c>
      <c r="AN25" s="2434">
        <f>Y30</f>
        <v>0.27</v>
      </c>
      <c r="AT25"/>
      <c r="AU25"/>
      <c r="AV25"/>
      <c r="AW25"/>
      <c r="AX25"/>
      <c r="AY25"/>
      <c r="AZ25"/>
      <c r="BA25"/>
    </row>
    <row r="26" spans="2:53" ht="38" hidden="1" customHeight="1" outlineLevel="1" x14ac:dyDescent="0.2">
      <c r="B26" s="3026"/>
      <c r="C26" s="1103" t="s">
        <v>928</v>
      </c>
      <c r="D26" s="1125">
        <f>'16'!D194</f>
        <v>9.1999999999999998E-2</v>
      </c>
      <c r="E26" s="1126"/>
      <c r="F26" s="1125">
        <f>'16'!F194</f>
        <v>9.383100541328937E-2</v>
      </c>
      <c r="G26" s="1126"/>
      <c r="H26" s="1125">
        <f>'16'!H194</f>
        <v>9.4824959259865615E-2</v>
      </c>
      <c r="I26" s="1126"/>
      <c r="J26" s="1295">
        <f>G72</f>
        <v>0.3</v>
      </c>
      <c r="K26" s="1744"/>
      <c r="L26" s="1229">
        <f t="shared" si="5"/>
        <v>0.30368145684532005</v>
      </c>
      <c r="M26" s="750"/>
      <c r="N26" s="1229">
        <f t="shared" si="6"/>
        <v>0.29190216898317184</v>
      </c>
      <c r="O26" s="1745"/>
      <c r="P26" s="1229">
        <f t="shared" si="3"/>
        <v>0.3</v>
      </c>
      <c r="Q26" s="1744"/>
      <c r="R26" s="1229">
        <f t="shared" si="1"/>
        <v>0.30368145684532005</v>
      </c>
      <c r="S26" s="750"/>
      <c r="T26" s="1229">
        <f t="shared" si="1"/>
        <v>0.29190216898317184</v>
      </c>
      <c r="U26" s="1745"/>
      <c r="V26" s="1229">
        <f t="shared" si="1"/>
        <v>0.3</v>
      </c>
      <c r="W26" s="1744"/>
      <c r="X26" s="1229">
        <f t="shared" si="2"/>
        <v>0.30368145684532005</v>
      </c>
      <c r="Y26" s="750"/>
      <c r="Z26" s="1229">
        <f t="shared" si="2"/>
        <v>0.29190216898317184</v>
      </c>
      <c r="AA26" s="1745"/>
      <c r="AF26" s="481" t="s">
        <v>750</v>
      </c>
      <c r="AG26" s="798">
        <f>D26</f>
        <v>9.1999999999999998E-2</v>
      </c>
      <c r="AH26" s="798">
        <f>V26</f>
        <v>0.3</v>
      </c>
      <c r="AI26" s="798">
        <f>E26</f>
        <v>0</v>
      </c>
      <c r="AJ26" s="798">
        <f>W26</f>
        <v>0</v>
      </c>
      <c r="AL26" s="481" t="s">
        <v>726</v>
      </c>
      <c r="AM26" s="798">
        <f>G29</f>
        <v>0.10000000000000002</v>
      </c>
      <c r="AN26" s="798">
        <f>Y31</f>
        <v>0.32166666666666666</v>
      </c>
      <c r="AT26"/>
      <c r="AU26"/>
      <c r="AV26"/>
      <c r="AW26"/>
      <c r="AX26"/>
      <c r="AY26"/>
      <c r="AZ26"/>
      <c r="BA26"/>
    </row>
    <row r="27" spans="2:53" ht="38" hidden="1" customHeight="1" outlineLevel="1" x14ac:dyDescent="0.2">
      <c r="B27" s="3026"/>
      <c r="C27" s="1103" t="s">
        <v>929</v>
      </c>
      <c r="D27" s="1125">
        <f>'16'!D195</f>
        <v>6.9999999999999993E-2</v>
      </c>
      <c r="E27" s="1126"/>
      <c r="F27" s="1125">
        <f>'16'!F195</f>
        <v>8.9155027066447082E-2</v>
      </c>
      <c r="G27" s="1126"/>
      <c r="H27" s="1125">
        <f>'16'!H195</f>
        <v>9.4124796299328059E-2</v>
      </c>
      <c r="I27" s="1126"/>
      <c r="J27" s="1295">
        <f>G73</f>
        <v>0.15</v>
      </c>
      <c r="K27" s="1744"/>
      <c r="L27" s="1229">
        <f t="shared" si="5"/>
        <v>0.10029940544975297</v>
      </c>
      <c r="M27" s="750"/>
      <c r="N27" s="1229">
        <f t="shared" si="6"/>
        <v>0.10589039583674406</v>
      </c>
      <c r="O27" s="1745"/>
      <c r="P27" s="1229">
        <f t="shared" si="3"/>
        <v>0.15</v>
      </c>
      <c r="Q27" s="1744"/>
      <c r="R27" s="1229">
        <f t="shared" si="1"/>
        <v>0.10029940544975297</v>
      </c>
      <c r="S27" s="750"/>
      <c r="T27" s="1229">
        <f t="shared" si="1"/>
        <v>0.10589039583674406</v>
      </c>
      <c r="U27" s="1745"/>
      <c r="V27" s="1229">
        <f t="shared" si="1"/>
        <v>0.15</v>
      </c>
      <c r="W27" s="1744"/>
      <c r="X27" s="1229">
        <f t="shared" si="2"/>
        <v>0.10029940544975297</v>
      </c>
      <c r="Y27" s="750"/>
      <c r="Z27" s="1229">
        <f t="shared" si="2"/>
        <v>0.10589039583674406</v>
      </c>
      <c r="AA27" s="1745"/>
      <c r="AF27" s="799" t="s">
        <v>742</v>
      </c>
      <c r="AG27" s="800">
        <f>D31</f>
        <v>0</v>
      </c>
      <c r="AH27" s="800">
        <f>V31</f>
        <v>0</v>
      </c>
      <c r="AI27" s="800">
        <f>E31</f>
        <v>2.5000000000000001E-2</v>
      </c>
      <c r="AJ27" s="800">
        <f>W31</f>
        <v>0</v>
      </c>
      <c r="AL27" s="481" t="s">
        <v>748</v>
      </c>
      <c r="AM27" s="798">
        <f>G25</f>
        <v>0.19666666666666666</v>
      </c>
      <c r="AN27" s="798">
        <f>Y25</f>
        <v>9.8333333333333328E-2</v>
      </c>
      <c r="AT27"/>
      <c r="AU27"/>
      <c r="AV27"/>
      <c r="AW27"/>
      <c r="AX27"/>
      <c r="AY27"/>
      <c r="AZ27"/>
      <c r="BA27"/>
    </row>
    <row r="28" spans="2:53" ht="38" hidden="1" customHeight="1" outlineLevel="1" x14ac:dyDescent="0.2">
      <c r="B28" s="3026"/>
      <c r="C28" s="1103" t="s">
        <v>930</v>
      </c>
      <c r="D28" s="1125">
        <f>'16'!D196</f>
        <v>6.0000000000000012E-2</v>
      </c>
      <c r="E28" s="1126"/>
      <c r="F28" s="1125">
        <f>'16'!F196</f>
        <v>8.298603247973653E-2</v>
      </c>
      <c r="G28" s="1126"/>
      <c r="H28" s="1125">
        <f>'16'!H196</f>
        <v>8.8949755559193683E-2</v>
      </c>
      <c r="I28" s="1126"/>
      <c r="J28" s="1295">
        <f>G74</f>
        <v>0.08</v>
      </c>
      <c r="K28" s="1744"/>
      <c r="L28" s="1229">
        <f t="shared" si="5"/>
        <v>9.0889464144473325E-2</v>
      </c>
      <c r="M28" s="750"/>
      <c r="N28" s="1229">
        <f t="shared" si="6"/>
        <v>9.7421160850545446E-2</v>
      </c>
      <c r="O28" s="1745"/>
      <c r="P28" s="1229">
        <f t="shared" si="3"/>
        <v>0.08</v>
      </c>
      <c r="Q28" s="1744"/>
      <c r="R28" s="1229">
        <f t="shared" si="1"/>
        <v>9.0889464144473325E-2</v>
      </c>
      <c r="S28" s="750"/>
      <c r="T28" s="1229">
        <f t="shared" si="1"/>
        <v>9.7421160850545446E-2</v>
      </c>
      <c r="U28" s="1745"/>
      <c r="V28" s="1229">
        <f t="shared" si="1"/>
        <v>0.08</v>
      </c>
      <c r="W28" s="1744"/>
      <c r="X28" s="1229">
        <f t="shared" si="2"/>
        <v>9.0889464144473325E-2</v>
      </c>
      <c r="Y28" s="750"/>
      <c r="Z28" s="1229">
        <f t="shared" si="2"/>
        <v>9.7421160850545446E-2</v>
      </c>
      <c r="AA28" s="1745"/>
      <c r="AF28" s="481" t="s">
        <v>748</v>
      </c>
      <c r="AG28" s="798">
        <f>D25</f>
        <v>0.76200000000000001</v>
      </c>
      <c r="AH28" s="798">
        <f>V25</f>
        <v>0.45</v>
      </c>
      <c r="AI28" s="798">
        <f>E25</f>
        <v>0.745</v>
      </c>
      <c r="AJ28" s="798">
        <f>W25</f>
        <v>0.48350500000000002</v>
      </c>
      <c r="AL28" s="481" t="s">
        <v>742</v>
      </c>
      <c r="AM28" s="798">
        <f>G31</f>
        <v>0.64333333333333331</v>
      </c>
      <c r="AN28" s="798">
        <f>Y30</f>
        <v>0.27</v>
      </c>
      <c r="AT28"/>
      <c r="AU28"/>
      <c r="AV28"/>
      <c r="AW28"/>
      <c r="AX28"/>
      <c r="AY28"/>
      <c r="AZ28"/>
      <c r="BA28"/>
    </row>
    <row r="29" spans="2:53" ht="38" hidden="1" customHeight="1" outlineLevel="1" x14ac:dyDescent="0.2">
      <c r="B29" s="3026"/>
      <c r="C29" s="1103" t="s">
        <v>931</v>
      </c>
      <c r="D29" s="1125">
        <f>'16'!D197</f>
        <v>1.6E-2</v>
      </c>
      <c r="E29" s="1126">
        <f>'16'!E197</f>
        <v>0.14000000000000001</v>
      </c>
      <c r="F29" s="1125">
        <f>'16'!F197</f>
        <v>5.584245629820999E-2</v>
      </c>
      <c r="G29" s="1126">
        <f>'16'!G197</f>
        <v>0.10000000000000002</v>
      </c>
      <c r="H29" s="1125">
        <f>'16'!H197</f>
        <v>6.6179576302602364E-2</v>
      </c>
      <c r="I29" s="1126"/>
      <c r="J29" s="1295">
        <f>G75</f>
        <v>0.02</v>
      </c>
      <c r="K29" s="1744">
        <f t="shared" si="4"/>
        <v>0.28199750000000001</v>
      </c>
      <c r="L29" s="1229">
        <f t="shared" si="5"/>
        <v>7.4051952917191508E-2</v>
      </c>
      <c r="M29" s="1230">
        <f t="shared" si="5"/>
        <v>0.31</v>
      </c>
      <c r="N29" s="1229">
        <f t="shared" si="6"/>
        <v>8.7759872923016166E-2</v>
      </c>
      <c r="O29" s="1746"/>
      <c r="P29" s="1229">
        <f t="shared" si="3"/>
        <v>0.02</v>
      </c>
      <c r="Q29" s="1744">
        <f t="shared" si="1"/>
        <v>0.28199750000000001</v>
      </c>
      <c r="R29" s="1229">
        <f t="shared" si="1"/>
        <v>7.4051952917191508E-2</v>
      </c>
      <c r="S29" s="1230">
        <f t="shared" si="1"/>
        <v>0.31</v>
      </c>
      <c r="T29" s="1229">
        <f t="shared" si="1"/>
        <v>8.7759872923016166E-2</v>
      </c>
      <c r="U29" s="1746"/>
      <c r="V29" s="1229">
        <f t="shared" si="1"/>
        <v>0.02</v>
      </c>
      <c r="W29" s="1744">
        <f t="shared" si="2"/>
        <v>0.28199750000000001</v>
      </c>
      <c r="X29" s="1229">
        <f t="shared" si="2"/>
        <v>7.4051952917191508E-2</v>
      </c>
      <c r="Y29" s="1230">
        <f t="shared" si="2"/>
        <v>0.31</v>
      </c>
      <c r="Z29" s="1229">
        <f t="shared" si="2"/>
        <v>8.7759872923016166E-2</v>
      </c>
      <c r="AA29" s="1746"/>
      <c r="AF29" s="481" t="s">
        <v>728</v>
      </c>
      <c r="AG29" s="798">
        <f>D30</f>
        <v>0</v>
      </c>
      <c r="AH29" s="798">
        <f>V30</f>
        <v>0</v>
      </c>
      <c r="AI29" s="798">
        <f>E30</f>
        <v>0.09</v>
      </c>
      <c r="AJ29" s="798">
        <f>W30</f>
        <v>0.23199750000000002</v>
      </c>
      <c r="AT29"/>
      <c r="AU29"/>
      <c r="AV29"/>
      <c r="AW29"/>
      <c r="AX29"/>
      <c r="AY29"/>
      <c r="AZ29"/>
      <c r="BA29"/>
    </row>
    <row r="30" spans="2:53" ht="38" hidden="1" customHeight="1" outlineLevel="1" x14ac:dyDescent="0.2">
      <c r="B30" s="3026"/>
      <c r="C30" s="1103" t="s">
        <v>932</v>
      </c>
      <c r="D30" s="1125"/>
      <c r="E30" s="1126">
        <f>'16'!E198</f>
        <v>0.09</v>
      </c>
      <c r="F30" s="1125"/>
      <c r="G30" s="1126">
        <f>'16'!G198</f>
        <v>6.0000000000000005E-2</v>
      </c>
      <c r="H30" s="1125"/>
      <c r="I30" s="1126"/>
      <c r="J30" s="1295"/>
      <c r="K30" s="1744">
        <f t="shared" ref="K30" si="7">F76</f>
        <v>0.23199750000000002</v>
      </c>
      <c r="L30" s="1229"/>
      <c r="M30" s="1230">
        <f t="shared" si="5"/>
        <v>0.27</v>
      </c>
      <c r="N30" s="1229"/>
      <c r="O30" s="1746"/>
      <c r="P30" s="1229"/>
      <c r="Q30" s="1744">
        <f t="shared" si="1"/>
        <v>0.23199750000000002</v>
      </c>
      <c r="R30" s="1229"/>
      <c r="S30" s="1230">
        <f t="shared" si="1"/>
        <v>0.27</v>
      </c>
      <c r="T30" s="1229"/>
      <c r="U30" s="1746"/>
      <c r="V30" s="1229"/>
      <c r="W30" s="1744">
        <f t="shared" si="2"/>
        <v>0.23199750000000002</v>
      </c>
      <c r="X30" s="1229"/>
      <c r="Y30" s="1230">
        <f t="shared" si="2"/>
        <v>0.27</v>
      </c>
      <c r="Z30" s="1229"/>
      <c r="AA30" s="1746"/>
      <c r="AF30" s="81" t="s">
        <v>1344</v>
      </c>
      <c r="AG30" s="81"/>
      <c r="AH30" s="81"/>
      <c r="AI30" s="673">
        <f>E29</f>
        <v>0.14000000000000001</v>
      </c>
      <c r="AJ30" s="673">
        <f>W29</f>
        <v>0.28199750000000001</v>
      </c>
      <c r="AT30"/>
      <c r="AU30"/>
      <c r="AV30"/>
      <c r="AW30"/>
      <c r="AX30"/>
      <c r="AY30"/>
      <c r="AZ30"/>
      <c r="BA30"/>
    </row>
    <row r="31" spans="2:53" ht="38" hidden="1" customHeight="1" outlineLevel="1" thickBot="1" x14ac:dyDescent="0.25">
      <c r="B31" s="3027"/>
      <c r="C31" s="1104" t="s">
        <v>933</v>
      </c>
      <c r="D31" s="1127"/>
      <c r="E31" s="1128">
        <f>'16'!E199</f>
        <v>2.5000000000000001E-2</v>
      </c>
      <c r="F31" s="1127"/>
      <c r="G31" s="1128">
        <f>'16'!G199</f>
        <v>0.64333333333333331</v>
      </c>
      <c r="H31" s="1127"/>
      <c r="I31" s="1128">
        <f>'16'!I199</f>
        <v>1</v>
      </c>
      <c r="J31" s="1296"/>
      <c r="K31" s="1747"/>
      <c r="L31" s="1233"/>
      <c r="M31" s="1748">
        <f t="shared" si="5"/>
        <v>0.32166666666666666</v>
      </c>
      <c r="N31" s="1233"/>
      <c r="O31" s="1749">
        <f t="shared" si="6"/>
        <v>1</v>
      </c>
      <c r="P31" s="1233"/>
      <c r="Q31" s="1747"/>
      <c r="R31" s="1233"/>
      <c r="S31" s="1748">
        <f t="shared" si="1"/>
        <v>0.32166666666666666</v>
      </c>
      <c r="T31" s="1233"/>
      <c r="U31" s="1749">
        <f t="shared" si="1"/>
        <v>1</v>
      </c>
      <c r="V31" s="1233"/>
      <c r="W31" s="1747"/>
      <c r="X31" s="1233"/>
      <c r="Y31" s="1748">
        <f t="shared" si="2"/>
        <v>0.32166666666666666</v>
      </c>
      <c r="Z31" s="1233"/>
      <c r="AA31" s="1749">
        <f t="shared" si="2"/>
        <v>1</v>
      </c>
      <c r="AT31"/>
      <c r="AU31"/>
      <c r="AV31"/>
      <c r="AW31"/>
      <c r="AX31"/>
      <c r="AY31"/>
      <c r="AZ31"/>
      <c r="BA31"/>
    </row>
    <row r="32" spans="2:53" ht="38" hidden="1" customHeight="1" outlineLevel="1" x14ac:dyDescent="0.2">
      <c r="B32" s="2959" t="s">
        <v>775</v>
      </c>
      <c r="C32" s="1105" t="s">
        <v>934</v>
      </c>
      <c r="D32" s="1129">
        <f>'16'!D200</f>
        <v>0.11368421052631579</v>
      </c>
      <c r="E32" s="1130"/>
      <c r="F32" s="1129">
        <f>'16'!F200</f>
        <v>0.11368421052631579</v>
      </c>
      <c r="G32" s="1130"/>
      <c r="H32" s="1129">
        <f>'16'!H200</f>
        <v>0.11368421052631579</v>
      </c>
      <c r="I32" s="1130"/>
      <c r="J32" s="1131">
        <f>D32*(1+$C131)</f>
        <v>1.5733211588233389E-2</v>
      </c>
      <c r="K32" s="1132"/>
      <c r="L32" s="1131">
        <f>F32*(1+$C131)</f>
        <v>1.5733211588233389E-2</v>
      </c>
      <c r="M32" s="1132"/>
      <c r="N32" s="1131">
        <f>H32*(1+$C131)</f>
        <v>1.5733211588233389E-2</v>
      </c>
      <c r="O32" s="1132"/>
      <c r="P32" s="1131">
        <f>D32*(1+$D131)</f>
        <v>3.4175738017416656E-2</v>
      </c>
      <c r="Q32" s="1132"/>
      <c r="R32" s="1131">
        <f>F32*(1+$D131)</f>
        <v>3.4175738017416656E-2</v>
      </c>
      <c r="S32" s="1132"/>
      <c r="T32" s="1131">
        <f>H32*(1+$D131)</f>
        <v>3.4175738017416656E-2</v>
      </c>
      <c r="U32" s="1132"/>
      <c r="V32" s="1131">
        <f>P32</f>
        <v>3.4175738017416656E-2</v>
      </c>
      <c r="W32" s="1132"/>
      <c r="X32" s="1131">
        <f t="shared" ref="W32:AA39" si="8">R32</f>
        <v>3.4175738017416656E-2</v>
      </c>
      <c r="Y32" s="1132"/>
      <c r="Z32" s="1131">
        <f t="shared" si="8"/>
        <v>3.4175738017416656E-2</v>
      </c>
      <c r="AA32" s="1132"/>
      <c r="AT32"/>
      <c r="AU32"/>
      <c r="AV32"/>
      <c r="AW32"/>
      <c r="AX32"/>
      <c r="AY32"/>
      <c r="AZ32"/>
      <c r="BA32"/>
    </row>
    <row r="33" spans="1:53" ht="38" hidden="1" customHeight="1" outlineLevel="1" x14ac:dyDescent="0.2">
      <c r="B33" s="2960"/>
      <c r="C33" s="1106" t="s">
        <v>935</v>
      </c>
      <c r="D33" s="1133"/>
      <c r="E33" s="1134">
        <f>'16'!E201</f>
        <v>8.2129277566539927E-2</v>
      </c>
      <c r="F33" s="1133"/>
      <c r="G33" s="1134">
        <f>'16'!G201</f>
        <v>8.2129277566539927E-2</v>
      </c>
      <c r="H33" s="1133"/>
      <c r="I33" s="1134"/>
      <c r="J33" s="1135"/>
      <c r="K33" s="1136">
        <f>E33*(1+$C131)</f>
        <v>1.1366198485795984E-2</v>
      </c>
      <c r="L33" s="1135"/>
      <c r="M33" s="1136">
        <f>G33*(1+$C131)</f>
        <v>1.1366198485795984E-2</v>
      </c>
      <c r="N33" s="1135"/>
      <c r="O33" s="1136"/>
      <c r="P33" s="1135"/>
      <c r="Q33" s="1136">
        <f>E33*(1+$D131)</f>
        <v>2.4689696666574772E-2</v>
      </c>
      <c r="R33" s="1135"/>
      <c r="S33" s="1136">
        <f>G33*(1+$D131)</f>
        <v>2.4689696666574772E-2</v>
      </c>
      <c r="T33" s="1135"/>
      <c r="U33" s="1136"/>
      <c r="V33" s="1135"/>
      <c r="W33" s="1136">
        <f t="shared" si="8"/>
        <v>2.4689696666574772E-2</v>
      </c>
      <c r="X33" s="1135"/>
      <c r="Y33" s="1136">
        <f t="shared" si="8"/>
        <v>2.4689696666574772E-2</v>
      </c>
      <c r="Z33" s="1135"/>
      <c r="AA33" s="1136"/>
      <c r="AT33"/>
      <c r="AU33"/>
      <c r="AV33"/>
      <c r="AW33"/>
      <c r="AX33"/>
      <c r="AY33"/>
      <c r="AZ33"/>
      <c r="BA33"/>
    </row>
    <row r="34" spans="1:53" ht="38" hidden="1" customHeight="1" outlineLevel="1" x14ac:dyDescent="0.2">
      <c r="B34" s="2960"/>
      <c r="C34" s="1107" t="s">
        <v>936</v>
      </c>
      <c r="D34" s="1133"/>
      <c r="E34" s="1134"/>
      <c r="F34" s="1133"/>
      <c r="G34" s="1134"/>
      <c r="H34" s="1133"/>
      <c r="I34" s="1134"/>
      <c r="J34" s="1135">
        <v>0</v>
      </c>
      <c r="K34" s="1137"/>
      <c r="L34" s="1135">
        <v>0</v>
      </c>
      <c r="M34" s="1137"/>
      <c r="N34" s="1135">
        <v>0</v>
      </c>
      <c r="O34" s="1137"/>
      <c r="P34" s="1135">
        <f>J34</f>
        <v>0</v>
      </c>
      <c r="Q34" s="1137"/>
      <c r="R34" s="1135">
        <f>L34</f>
        <v>0</v>
      </c>
      <c r="S34" s="1137"/>
      <c r="T34" s="1135">
        <f>N34</f>
        <v>0</v>
      </c>
      <c r="U34" s="1137"/>
      <c r="V34" s="1135">
        <f t="shared" ref="V34:V37" si="9">P34</f>
        <v>0</v>
      </c>
      <c r="W34" s="1137"/>
      <c r="X34" s="1135">
        <f t="shared" si="8"/>
        <v>0</v>
      </c>
      <c r="Y34" s="1137"/>
      <c r="Z34" s="1135">
        <f t="shared" si="8"/>
        <v>0</v>
      </c>
      <c r="AA34" s="1137"/>
      <c r="AT34"/>
      <c r="AU34"/>
      <c r="AV34"/>
      <c r="AW34"/>
      <c r="AX34"/>
      <c r="AY34"/>
      <c r="AZ34"/>
      <c r="BA34"/>
    </row>
    <row r="35" spans="1:53" ht="38" hidden="1" customHeight="1" outlineLevel="1" x14ac:dyDescent="0.2">
      <c r="B35" s="2960"/>
      <c r="C35" s="1107" t="s">
        <v>937</v>
      </c>
      <c r="D35" s="1133">
        <f>'16'!D203</f>
        <v>0.129</v>
      </c>
      <c r="E35" s="1134"/>
      <c r="F35" s="1133">
        <f>'16'!F203</f>
        <v>0.129</v>
      </c>
      <c r="G35" s="1134"/>
      <c r="H35" s="1133">
        <f>'16'!H203</f>
        <v>0.129</v>
      </c>
      <c r="I35" s="1134"/>
      <c r="J35" s="1135">
        <f>D35*(1+$C130)</f>
        <v>1.2842098407079646E-2</v>
      </c>
      <c r="K35" s="1137"/>
      <c r="L35" s="1135">
        <f>F35*(1+$C130)</f>
        <v>1.2842098407079646E-2</v>
      </c>
      <c r="M35" s="1137"/>
      <c r="N35" s="1135">
        <f>H35*(1+$C130)</f>
        <v>1.2842098407079646E-2</v>
      </c>
      <c r="O35" s="1137"/>
      <c r="P35" s="1135">
        <f>D35*(1+$D130)</f>
        <v>1.8807332389380534E-2</v>
      </c>
      <c r="Q35" s="1137"/>
      <c r="R35" s="1135">
        <f>F35*(1+$D130)</f>
        <v>1.8807332389380534E-2</v>
      </c>
      <c r="S35" s="1137"/>
      <c r="T35" s="1135">
        <f>H35*(1+$D130)</f>
        <v>1.8807332389380534E-2</v>
      </c>
      <c r="U35" s="1137"/>
      <c r="V35" s="1135">
        <f t="shared" si="9"/>
        <v>1.8807332389380534E-2</v>
      </c>
      <c r="W35" s="1137"/>
      <c r="X35" s="1135">
        <f t="shared" si="8"/>
        <v>1.8807332389380534E-2</v>
      </c>
      <c r="Y35" s="1137"/>
      <c r="Z35" s="1135">
        <f t="shared" si="8"/>
        <v>1.8807332389380534E-2</v>
      </c>
      <c r="AA35" s="1137"/>
      <c r="AT35"/>
      <c r="AU35"/>
      <c r="AV35"/>
      <c r="AW35"/>
      <c r="AX35"/>
      <c r="AY35"/>
      <c r="AZ35"/>
      <c r="BA35"/>
    </row>
    <row r="36" spans="1:53" ht="38" hidden="1" customHeight="1" outlineLevel="1" x14ac:dyDescent="0.2">
      <c r="B36" s="2960"/>
      <c r="C36" s="1107" t="s">
        <v>938</v>
      </c>
      <c r="D36" s="1138">
        <f>'16'!D204</f>
        <v>3.29E-3</v>
      </c>
      <c r="E36" s="1139"/>
      <c r="F36" s="1138">
        <f>'16'!F204</f>
        <v>3.29E-3</v>
      </c>
      <c r="G36" s="1139"/>
      <c r="H36" s="1138">
        <f>'16'!H204</f>
        <v>3.29E-3</v>
      </c>
      <c r="I36" s="1139"/>
      <c r="J36" s="1041">
        <f>D36</f>
        <v>3.29E-3</v>
      </c>
      <c r="K36" s="1140"/>
      <c r="L36" s="1041">
        <f>F36</f>
        <v>3.29E-3</v>
      </c>
      <c r="M36" s="1140"/>
      <c r="N36" s="1041">
        <f>H36</f>
        <v>3.29E-3</v>
      </c>
      <c r="O36" s="1140"/>
      <c r="P36" s="1041">
        <f>D36</f>
        <v>3.29E-3</v>
      </c>
      <c r="Q36" s="1140"/>
      <c r="R36" s="1041">
        <f>F36</f>
        <v>3.29E-3</v>
      </c>
      <c r="S36" s="1140"/>
      <c r="T36" s="1041">
        <f>H36</f>
        <v>3.29E-3</v>
      </c>
      <c r="U36" s="1140"/>
      <c r="V36" s="1041">
        <f t="shared" si="9"/>
        <v>3.29E-3</v>
      </c>
      <c r="W36" s="1140"/>
      <c r="X36" s="1041">
        <f t="shared" si="8"/>
        <v>3.29E-3</v>
      </c>
      <c r="Y36" s="1140"/>
      <c r="Z36" s="1041">
        <f t="shared" si="8"/>
        <v>3.29E-3</v>
      </c>
      <c r="AA36" s="1140"/>
      <c r="AT36"/>
      <c r="AU36"/>
      <c r="AV36"/>
      <c r="AW36"/>
      <c r="AX36"/>
      <c r="AY36"/>
      <c r="AZ36"/>
      <c r="BA36"/>
    </row>
    <row r="37" spans="1:53" ht="38" hidden="1" customHeight="1" outlineLevel="1" x14ac:dyDescent="0.2">
      <c r="B37" s="2960"/>
      <c r="C37" s="1107" t="s">
        <v>939</v>
      </c>
      <c r="D37" s="1138">
        <f>'16'!D205</f>
        <v>3.1699999999999999E-2</v>
      </c>
      <c r="E37" s="1139">
        <f>'16'!E205</f>
        <v>3.3400000000000001E-3</v>
      </c>
      <c r="F37" s="1138">
        <f>'16'!F205</f>
        <v>3.1699999999999999E-2</v>
      </c>
      <c r="G37" s="1139">
        <f>'16'!G205</f>
        <v>3.3400000000000001E-3</v>
      </c>
      <c r="H37" s="1138">
        <f>'16'!H205</f>
        <v>3.1699999999999999E-2</v>
      </c>
      <c r="I37" s="1139"/>
      <c r="J37" s="1041">
        <f>D37*(1+$C129)</f>
        <v>2.9082848000000001E-2</v>
      </c>
      <c r="K37" s="1141">
        <f>E37*(1+$C129)</f>
        <v>3.0642496E-3</v>
      </c>
      <c r="L37" s="1041">
        <f>F37*(1+$C129)</f>
        <v>2.9082848000000001E-2</v>
      </c>
      <c r="M37" s="1141">
        <f>G37*(1+$C129)</f>
        <v>3.0642496E-3</v>
      </c>
      <c r="N37" s="1041">
        <f>H37*(1+$C129)</f>
        <v>2.9082848000000001E-2</v>
      </c>
      <c r="O37" s="1141"/>
      <c r="P37" s="1041">
        <f>D37*(1+$D129)</f>
        <v>2.9082848000000001E-2</v>
      </c>
      <c r="Q37" s="1041">
        <f>E37*(1+$D129)</f>
        <v>3.0642496E-3</v>
      </c>
      <c r="R37" s="1041">
        <f>F37*(1+$D129)</f>
        <v>2.9082848000000001E-2</v>
      </c>
      <c r="S37" s="1141">
        <f>G37*(1+$D129)</f>
        <v>3.0642496E-3</v>
      </c>
      <c r="T37" s="1041">
        <f>H37*(1+$D129)</f>
        <v>2.9082848000000001E-2</v>
      </c>
      <c r="U37" s="1141"/>
      <c r="V37" s="1041">
        <f t="shared" si="9"/>
        <v>2.9082848000000001E-2</v>
      </c>
      <c r="W37" s="1141">
        <f t="shared" si="8"/>
        <v>3.0642496E-3</v>
      </c>
      <c r="X37" s="1041">
        <f t="shared" si="8"/>
        <v>2.9082848000000001E-2</v>
      </c>
      <c r="Y37" s="1141">
        <f t="shared" si="8"/>
        <v>3.0642496E-3</v>
      </c>
      <c r="Z37" s="1041">
        <f t="shared" si="8"/>
        <v>2.9082848000000001E-2</v>
      </c>
      <c r="AA37" s="1141"/>
      <c r="AT37"/>
      <c r="AU37"/>
      <c r="AV37"/>
      <c r="AW37"/>
      <c r="AX37"/>
      <c r="AY37"/>
      <c r="AZ37"/>
      <c r="BA37"/>
    </row>
    <row r="38" spans="1:53" ht="38" hidden="1" customHeight="1" outlineLevel="1" x14ac:dyDescent="0.2">
      <c r="B38" s="2960"/>
      <c r="C38" s="1107" t="s">
        <v>759</v>
      </c>
      <c r="D38" s="1133"/>
      <c r="E38" s="1134">
        <f>'16'!E206</f>
        <v>2.9499999999999998E-2</v>
      </c>
      <c r="F38" s="1133"/>
      <c r="G38" s="1134">
        <f>'16'!G206</f>
        <v>2.9499999999999998E-2</v>
      </c>
      <c r="H38" s="1133"/>
      <c r="I38" s="1134"/>
      <c r="J38" s="1041"/>
      <c r="K38" s="1141">
        <f>E38*(1+$C130)</f>
        <v>2.9367589380530968E-3</v>
      </c>
      <c r="L38" s="1041"/>
      <c r="M38" s="1141">
        <f>G38*(1+$C130)</f>
        <v>2.9367589380530968E-3</v>
      </c>
      <c r="N38" s="1041"/>
      <c r="O38" s="1141"/>
      <c r="P38" s="1041"/>
      <c r="Q38" s="1141">
        <f>E38*(1+$D130)</f>
        <v>4.3009015929203536E-3</v>
      </c>
      <c r="R38" s="1041"/>
      <c r="S38" s="1141">
        <f>G38*(1+$D130)</f>
        <v>4.3009015929203536E-3</v>
      </c>
      <c r="T38" s="1041"/>
      <c r="U38" s="1141"/>
      <c r="V38" s="1041"/>
      <c r="W38" s="1141">
        <f t="shared" si="8"/>
        <v>4.3009015929203536E-3</v>
      </c>
      <c r="X38" s="1041"/>
      <c r="Y38" s="1141">
        <f t="shared" si="8"/>
        <v>4.3009015929203536E-3</v>
      </c>
      <c r="Z38" s="1041"/>
      <c r="AA38" s="1141"/>
    </row>
    <row r="39" spans="1:53" ht="38" hidden="1" customHeight="1" outlineLevel="1" thickBot="1" x14ac:dyDescent="0.25">
      <c r="B39" s="3022"/>
      <c r="C39" s="1108" t="s">
        <v>940</v>
      </c>
      <c r="D39" s="1142"/>
      <c r="E39" s="1143">
        <f>'16'!E207</f>
        <v>0.25800000000000001</v>
      </c>
      <c r="F39" s="1142"/>
      <c r="G39" s="1143">
        <f>'16'!G207</f>
        <v>0.25800000000000001</v>
      </c>
      <c r="H39" s="1142"/>
      <c r="I39" s="1143">
        <f>'16'!I207</f>
        <v>0.152</v>
      </c>
      <c r="J39" s="1144"/>
      <c r="K39" s="1145">
        <f>E39*(1+$C132)</f>
        <v>6.778603934052703E-2</v>
      </c>
      <c r="L39" s="1144"/>
      <c r="M39" s="1145">
        <f>G39*(1+$C132)</f>
        <v>6.778603934052703E-2</v>
      </c>
      <c r="N39" s="1144"/>
      <c r="O39" s="1145">
        <f>I39*(1+$C132)</f>
        <v>3.9935961161860885E-2</v>
      </c>
      <c r="P39" s="1144"/>
      <c r="Q39" s="1145">
        <f>E39*(1+$D132)</f>
        <v>0.1738695652173913</v>
      </c>
      <c r="R39" s="1144"/>
      <c r="S39" s="1145">
        <f>G39*(1+$D132)</f>
        <v>0.1738695652173913</v>
      </c>
      <c r="T39" s="1144"/>
      <c r="U39" s="1145">
        <f>I39*(1+$D132)</f>
        <v>0.10243478260869565</v>
      </c>
      <c r="V39" s="1144"/>
      <c r="W39" s="1145">
        <f t="shared" si="8"/>
        <v>0.1738695652173913</v>
      </c>
      <c r="X39" s="1144"/>
      <c r="Y39" s="1145">
        <f t="shared" si="8"/>
        <v>0.1738695652173913</v>
      </c>
      <c r="Z39" s="1144"/>
      <c r="AA39" s="1145">
        <f t="shared" si="8"/>
        <v>0.10243478260869565</v>
      </c>
    </row>
    <row r="40" spans="1:53" ht="36" hidden="1" customHeight="1" outlineLevel="1" thickBot="1" x14ac:dyDescent="0.25">
      <c r="B40" s="3023" t="s">
        <v>764</v>
      </c>
      <c r="C40" s="3024"/>
      <c r="D40" s="1152">
        <f>D22*D23*D24*(D25*D32+SUMPRODUCT(D26:D29,D34:D37))/10^3</f>
        <v>67767.234500882885</v>
      </c>
      <c r="E40" s="1153">
        <f>E22*E23*E24*(E25*E33+SUMPRODUCT(E29:E31,E37:E39))/10^3</f>
        <v>70520.595772173387</v>
      </c>
      <c r="F40" s="1154">
        <f>F22*F23*F24*(F25*F32+SUMPRODUCT(F26:F29,F34:F37))/10^3</f>
        <v>18847.956077213785</v>
      </c>
      <c r="G40" s="1153">
        <f>G22*G23*G24*(G25*G33+SUMPRODUCT(G29:G31,G37:G39))/10^3</f>
        <v>64057.081196791165</v>
      </c>
      <c r="H40" s="1154">
        <f>H22*H23*H24*(H25*H32+SUMPRODUCT(H26:H29,H34:H37))/10^3</f>
        <v>5878.1953497607001</v>
      </c>
      <c r="I40" s="1155">
        <f>I22*I23*I24*(I25*I33+SUMPRODUCT(I29:I31,I37:I39))/10^3</f>
        <v>73915.781666560026</v>
      </c>
      <c r="J40" s="1156">
        <f>J22*J23*J24*(J25*J32+SUMPRODUCT(J26:J29,J34:J37))/10^3</f>
        <v>6927.8675230537247</v>
      </c>
      <c r="K40" s="1156">
        <f>K22*K23*K24*(K25*K33+SUMPRODUCT(K29:K31,K37:K39))/10^3</f>
        <v>7017.3310167555737</v>
      </c>
      <c r="L40" s="1157">
        <f>L22*L23*L24*(L25*L32+SUMPRODUCT(L26:L29,L34:L37))/10^3</f>
        <v>2191.4898304814205</v>
      </c>
      <c r="M40" s="1156">
        <f>M22*M23*M24*(M25*M33+SUMPRODUCT(M29:M31,M37:M39))/10^3</f>
        <v>8575.7881499732757</v>
      </c>
      <c r="N40" s="1157">
        <f>N22*N23*N24*(N25*N32+SUMPRODUCT(N26:N29,N34:N37))/10^3</f>
        <v>713.04000741544257</v>
      </c>
      <c r="O40" s="1158">
        <f>O22*O23*O24*(O25*O33+SUMPRODUCT(O29:O31,O37:O39))/10^3</f>
        <v>19420.380170291643</v>
      </c>
      <c r="P40" s="1156">
        <f>P22*P23*P24*(P25*P32+SUMPRODUCT(P26:P29,P34:P37))/10^3</f>
        <v>13393.558061764219</v>
      </c>
      <c r="Q40" s="1156">
        <f>Q22*Q23*Q24*(Q25*Q33+SUMPRODUCT(Q29:Q31,Q37:Q39))/10^3</f>
        <v>13753.024211517339</v>
      </c>
      <c r="R40" s="1157">
        <f>R22*R23*R24*(R25*R32+SUMPRODUCT(R26:R29,R34:R37))/10^3</f>
        <v>3971.7768419663448</v>
      </c>
      <c r="S40" s="1156">
        <f>S22*S23*S24*(S25*S33+SUMPRODUCT(S29:S31,S37:S39))/10^3</f>
        <v>21023.791098490652</v>
      </c>
      <c r="T40" s="1157">
        <f>T22*T23*T24*(T25*T32+SUMPRODUCT(T26:T29,T34:T37))/10^3</f>
        <v>1262.835412253829</v>
      </c>
      <c r="U40" s="1158">
        <f>U22*U23*U24*(U25*U33+SUMPRODUCT(U29:U31,U37:U39))/10^3</f>
        <v>49812.809383986103</v>
      </c>
      <c r="V40" s="1156">
        <f>V22*V23*V24*(V25*V32+SUMPRODUCT(V26:V29,V34:V37))/10^3</f>
        <v>13393.558061764219</v>
      </c>
      <c r="W40" s="1156">
        <f>W22*W23*W24*(W25*W33+SUMPRODUCT(W29:W31,W37:W39))/10^3</f>
        <v>13753.024211517339</v>
      </c>
      <c r="X40" s="1157">
        <f>X22*X23*X24*(X25*X32+SUMPRODUCT(X26:X29,X34:X37))/10^3</f>
        <v>2780.2437893764413</v>
      </c>
      <c r="Y40" s="1156">
        <f>Y22*Y23*Y24*(Y25*Y33+SUMPRODUCT(Y29:Y31,Y37:Y39))/10^3</f>
        <v>7358.3268844717268</v>
      </c>
      <c r="Z40" s="1157">
        <f>Z22*Z23*Z24*(Z25*Z32+SUMPRODUCT(Z26:Z29,Z34:Z37))/10^3</f>
        <v>315.70885306345724</v>
      </c>
      <c r="AA40" s="1158">
        <f>AA22*AA23*AA24*(AA25*AA33+SUMPRODUCT(AA29:AA31,AA37:AA39))/10^3</f>
        <v>6226.6011729982629</v>
      </c>
    </row>
    <row r="41" spans="1:53" s="1075" customFormat="1" ht="36" hidden="1" customHeight="1" outlineLevel="1" thickBot="1" x14ac:dyDescent="0.25">
      <c r="A41" s="72"/>
      <c r="B41" s="72"/>
      <c r="C41" s="1074" t="s">
        <v>783</v>
      </c>
      <c r="D41" s="1146">
        <f>SUM(D40:I40)</f>
        <v>300986.84456338198</v>
      </c>
      <c r="E41" s="483"/>
      <c r="F41" s="55"/>
      <c r="G41" s="55"/>
      <c r="H41" s="55"/>
      <c r="I41" s="55"/>
      <c r="J41" s="1147" t="s">
        <v>784</v>
      </c>
      <c r="K41" s="1148">
        <f>SUM(J40:O40)</f>
        <v>44845.896697971082</v>
      </c>
      <c r="L41" s="55"/>
      <c r="M41" s="55"/>
      <c r="N41" s="55"/>
      <c r="O41" s="55"/>
      <c r="P41" s="1147" t="s">
        <v>784</v>
      </c>
      <c r="Q41" s="1148">
        <f>SUM(P40:U40)</f>
        <v>103217.79500997849</v>
      </c>
      <c r="R41" s="55"/>
      <c r="S41" s="55"/>
      <c r="T41" s="55"/>
      <c r="U41" s="55"/>
      <c r="V41" s="1147" t="s">
        <v>784</v>
      </c>
      <c r="W41" s="1148">
        <f>SUM(V40:AA40)</f>
        <v>43827.462973191447</v>
      </c>
      <c r="X41" s="55"/>
      <c r="Y41" s="55"/>
      <c r="Z41" s="55"/>
      <c r="AA41" s="55"/>
      <c r="AB41" s="72"/>
      <c r="AC41" s="72"/>
      <c r="AD41" s="72"/>
      <c r="AE41" s="72"/>
      <c r="AF41" s="72"/>
      <c r="AG41" s="72"/>
      <c r="AH41" s="72"/>
      <c r="AI41" s="72"/>
      <c r="AJ41" s="72"/>
      <c r="AK41" s="72"/>
      <c r="AL41" s="72"/>
      <c r="AM41" s="72"/>
      <c r="AN41" s="72"/>
      <c r="AO41" s="72"/>
      <c r="AP41" s="72"/>
      <c r="AQ41" s="72"/>
      <c r="AR41" s="72"/>
      <c r="AS41" s="72"/>
      <c r="AT41" s="72"/>
      <c r="AU41" s="72"/>
      <c r="AV41" s="72"/>
      <c r="AW41" s="72"/>
    </row>
    <row r="42" spans="1:53" ht="36" hidden="1" customHeight="1" outlineLevel="1" x14ac:dyDescent="0.2">
      <c r="U42" s="220"/>
      <c r="AA42" s="220"/>
    </row>
    <row r="43" spans="1:53" ht="36" hidden="1" customHeight="1" outlineLevel="1" x14ac:dyDescent="0.2">
      <c r="U43" s="220"/>
      <c r="AA43" s="220"/>
    </row>
    <row r="44" spans="1:53" ht="27" customHeight="1" collapsed="1" x14ac:dyDescent="0.2">
      <c r="B44" s="133" t="s">
        <v>785</v>
      </c>
      <c r="U44" s="220"/>
      <c r="AA44" s="220"/>
    </row>
    <row r="45" spans="1:53" ht="27" customHeight="1" x14ac:dyDescent="0.2">
      <c r="U45" s="220"/>
      <c r="AA45" s="220"/>
    </row>
    <row r="46" spans="1:53" ht="27" customHeight="1" x14ac:dyDescent="0.2">
      <c r="B46" s="703" t="s">
        <v>947</v>
      </c>
      <c r="AA46" s="220"/>
    </row>
    <row r="47" spans="1:53" ht="27" customHeight="1" x14ac:dyDescent="0.2"/>
    <row r="48" spans="1:53" ht="27" customHeight="1" x14ac:dyDescent="0.2">
      <c r="B48" s="801" t="s">
        <v>788</v>
      </c>
    </row>
    <row r="49" spans="2:34" ht="36" customHeight="1" x14ac:dyDescent="0.2"/>
    <row r="50" spans="2:34" ht="71.5" hidden="1" customHeight="1" outlineLevel="1" x14ac:dyDescent="0.2">
      <c r="B50" s="2797" t="s">
        <v>948</v>
      </c>
      <c r="C50" s="2797"/>
      <c r="D50" s="2797"/>
      <c r="E50" s="2797"/>
      <c r="AG50" s="55">
        <f>AI24</f>
        <v>2022</v>
      </c>
      <c r="AH50" s="55">
        <f>AJ24</f>
        <v>2050</v>
      </c>
    </row>
    <row r="51" spans="2:34" ht="26" hidden="1" customHeight="1" outlineLevel="1" x14ac:dyDescent="0.2">
      <c r="B51" s="545" t="s">
        <v>949</v>
      </c>
      <c r="C51" s="707"/>
      <c r="D51" s="707"/>
      <c r="E51" s="707"/>
      <c r="AF51" s="55" t="str">
        <f>AF28</f>
        <v>Voiture</v>
      </c>
      <c r="AG51" s="478">
        <f>AI28</f>
        <v>0.745</v>
      </c>
      <c r="AH51" s="478">
        <f>AJ28</f>
        <v>0.48350500000000002</v>
      </c>
    </row>
    <row r="52" spans="2:34" ht="30.5" hidden="1" customHeight="1" outlineLevel="1" x14ac:dyDescent="0.2">
      <c r="B52" s="409" t="s">
        <v>950</v>
      </c>
      <c r="C52" s="707"/>
      <c r="D52" s="707"/>
      <c r="E52" s="707"/>
      <c r="AF52" s="55" t="str">
        <f>AF27</f>
        <v>Avion</v>
      </c>
      <c r="AG52" s="478">
        <f>AI27</f>
        <v>2.5000000000000001E-2</v>
      </c>
      <c r="AH52" s="478">
        <f>AJ27</f>
        <v>0</v>
      </c>
    </row>
    <row r="53" spans="2:34" ht="37.5" hidden="1" customHeight="1" outlineLevel="1" x14ac:dyDescent="0.2">
      <c r="B53" s="2797" t="s">
        <v>951</v>
      </c>
      <c r="C53" s="2797"/>
      <c r="D53" s="2797"/>
      <c r="E53" s="2797"/>
      <c r="AF53" s="55" t="str">
        <f>AF29</f>
        <v>Car</v>
      </c>
      <c r="AG53" s="478">
        <f>AI29</f>
        <v>0.09</v>
      </c>
      <c r="AH53" s="478">
        <f>AJ29</f>
        <v>0.23199750000000002</v>
      </c>
    </row>
    <row r="54" spans="2:34" ht="30.5" hidden="1" customHeight="1" outlineLevel="1" x14ac:dyDescent="0.2">
      <c r="B54" s="409" t="s">
        <v>952</v>
      </c>
      <c r="C54" s="707"/>
      <c r="D54" s="707"/>
      <c r="E54" s="707"/>
      <c r="AF54" s="55" t="str">
        <f>AF30</f>
        <v xml:space="preserve">Train </v>
      </c>
      <c r="AG54" s="478">
        <f>AI30</f>
        <v>0.14000000000000001</v>
      </c>
      <c r="AH54" s="478">
        <f>AJ30</f>
        <v>0.28199750000000001</v>
      </c>
    </row>
    <row r="55" spans="2:34" ht="26" hidden="1" customHeight="1" outlineLevel="1" x14ac:dyDescent="0.2">
      <c r="B55" s="545" t="s">
        <v>953</v>
      </c>
      <c r="C55" s="707"/>
      <c r="D55" s="707"/>
      <c r="E55" s="707"/>
    </row>
    <row r="56" spans="2:34" ht="26" hidden="1" customHeight="1" outlineLevel="1" thickBot="1" x14ac:dyDescent="0.25">
      <c r="B56" s="409" t="s">
        <v>954</v>
      </c>
      <c r="C56" s="707"/>
      <c r="D56" s="707"/>
      <c r="E56" s="707"/>
    </row>
    <row r="57" spans="2:34" ht="30.5" hidden="1" customHeight="1" outlineLevel="1" x14ac:dyDescent="0.2">
      <c r="B57" s="518"/>
      <c r="C57" s="1680" t="s">
        <v>955</v>
      </c>
      <c r="D57" s="707"/>
      <c r="E57" s="707"/>
    </row>
    <row r="58" spans="2:34" ht="23.5" hidden="1" customHeight="1" outlineLevel="1" x14ac:dyDescent="0.2">
      <c r="B58" s="803" t="s">
        <v>748</v>
      </c>
      <c r="C58" s="804">
        <v>0.6367924528301887</v>
      </c>
      <c r="D58" s="707"/>
      <c r="E58" s="707"/>
    </row>
    <row r="59" spans="2:34" ht="30.5" hidden="1" customHeight="1" outlineLevel="1" x14ac:dyDescent="0.2">
      <c r="B59" s="803" t="s">
        <v>956</v>
      </c>
      <c r="C59" s="804">
        <v>14.499999999999998</v>
      </c>
      <c r="D59" s="707"/>
      <c r="E59" s="805"/>
    </row>
    <row r="60" spans="2:34" ht="30.5" hidden="1" customHeight="1" outlineLevel="1" x14ac:dyDescent="0.2">
      <c r="B60" s="803" t="s">
        <v>749</v>
      </c>
      <c r="C60" s="804">
        <v>1.125</v>
      </c>
      <c r="D60" s="707"/>
      <c r="E60" s="707"/>
    </row>
    <row r="61" spans="2:34" ht="30.5" hidden="1" customHeight="1" outlineLevel="1" x14ac:dyDescent="0.2">
      <c r="B61" s="803" t="s">
        <v>913</v>
      </c>
      <c r="C61" s="804">
        <v>1.0952380952380951</v>
      </c>
      <c r="D61" s="707"/>
      <c r="E61" s="707"/>
      <c r="H61" s="539"/>
    </row>
    <row r="62" spans="2:34" ht="30.5" hidden="1" customHeight="1" outlineLevel="1" thickBot="1" x14ac:dyDescent="0.25">
      <c r="B62" s="806" t="s">
        <v>726</v>
      </c>
      <c r="C62" s="807">
        <v>1.326086956521739</v>
      </c>
      <c r="D62" s="707"/>
      <c r="E62" s="707"/>
      <c r="H62" s="539"/>
    </row>
    <row r="63" spans="2:34" ht="36" hidden="1" customHeight="1" outlineLevel="1" x14ac:dyDescent="0.2">
      <c r="B63" s="2685" t="s">
        <v>1884</v>
      </c>
      <c r="C63" s="2685"/>
      <c r="D63" s="2685"/>
      <c r="E63" s="707"/>
      <c r="H63" s="539"/>
    </row>
    <row r="64" spans="2:34" ht="30.5" hidden="1" customHeight="1" outlineLevel="1" x14ac:dyDescent="0.2">
      <c r="B64" s="2685" t="s">
        <v>1885</v>
      </c>
      <c r="C64" s="2685"/>
      <c r="D64" s="2685"/>
      <c r="E64" s="707"/>
      <c r="H64" s="539"/>
    </row>
    <row r="65" spans="2:8" ht="70" hidden="1" customHeight="1" outlineLevel="1" x14ac:dyDescent="0.2">
      <c r="B65" s="2685" t="s">
        <v>1886</v>
      </c>
      <c r="C65" s="2685"/>
      <c r="D65" s="2685"/>
      <c r="E65" s="707"/>
      <c r="H65" s="539"/>
    </row>
    <row r="66" spans="2:8" ht="45" hidden="1" customHeight="1" outlineLevel="1" x14ac:dyDescent="0.2">
      <c r="B66" s="2685" t="s">
        <v>1888</v>
      </c>
      <c r="C66" s="2685"/>
      <c r="D66" s="2685"/>
      <c r="E66" s="707"/>
      <c r="H66" s="539"/>
    </row>
    <row r="67" spans="2:8" ht="36" hidden="1" customHeight="1" outlineLevel="1" x14ac:dyDescent="0.2">
      <c r="B67" s="55" t="s">
        <v>790</v>
      </c>
    </row>
    <row r="68" spans="2:8" ht="31" hidden="1" customHeight="1" outlineLevel="1" x14ac:dyDescent="0.2">
      <c r="B68" s="3002" t="s">
        <v>960</v>
      </c>
      <c r="C68" s="3002"/>
      <c r="D68" s="3002"/>
      <c r="E68" s="3002"/>
      <c r="F68" s="3002"/>
      <c r="G68" s="3002"/>
      <c r="H68" s="3002"/>
    </row>
    <row r="69" spans="2:8" ht="31" hidden="1" customHeight="1" outlineLevel="1" x14ac:dyDescent="0.2">
      <c r="B69" s="808"/>
      <c r="C69" s="3003">
        <v>2022</v>
      </c>
      <c r="D69" s="3004"/>
      <c r="E69" s="3003" t="s">
        <v>1887</v>
      </c>
      <c r="F69" s="3004"/>
      <c r="G69" s="3003" t="s">
        <v>1889</v>
      </c>
      <c r="H69" s="3004"/>
    </row>
    <row r="70" spans="2:8" ht="36" hidden="1" customHeight="1" outlineLevel="1" x14ac:dyDescent="0.2">
      <c r="B70" s="60" t="s">
        <v>721</v>
      </c>
      <c r="C70" s="60" t="s">
        <v>923</v>
      </c>
      <c r="D70" s="60" t="s">
        <v>924</v>
      </c>
      <c r="E70" s="60" t="s">
        <v>923</v>
      </c>
      <c r="F70" s="60" t="s">
        <v>924</v>
      </c>
      <c r="G70" s="60" t="s">
        <v>923</v>
      </c>
      <c r="H70" s="60" t="s">
        <v>924</v>
      </c>
    </row>
    <row r="71" spans="2:8" ht="31" hidden="1" customHeight="1" outlineLevel="1" x14ac:dyDescent="0.2">
      <c r="B71" s="81" t="str">
        <f>'16'!B61</f>
        <v>Voiture</v>
      </c>
      <c r="C71" s="416">
        <f>D25</f>
        <v>0.76200000000000001</v>
      </c>
      <c r="D71" s="369">
        <f>E25</f>
        <v>0.745</v>
      </c>
      <c r="E71" s="809">
        <f>$C$71*$C$58</f>
        <v>0.48523584905660377</v>
      </c>
      <c r="F71" s="673">
        <f>$D$71*(1-35.1%)</f>
        <v>0.48350500000000002</v>
      </c>
      <c r="G71" s="809">
        <v>0.45</v>
      </c>
      <c r="H71" s="673">
        <f>$D$71*(1-35.1%)</f>
        <v>0.48350500000000002</v>
      </c>
    </row>
    <row r="72" spans="2:8" ht="31" hidden="1" customHeight="1" outlineLevel="1" x14ac:dyDescent="0.2">
      <c r="B72" s="81" t="str">
        <f>'16'!B62</f>
        <v>Mobilité douce</v>
      </c>
      <c r="C72" s="416">
        <f>D26</f>
        <v>9.1999999999999998E-2</v>
      </c>
      <c r="D72" s="369"/>
      <c r="E72" s="809">
        <f>100%-$G$71-$G$73-$G$74-$G$75</f>
        <v>0.3</v>
      </c>
      <c r="F72" s="81"/>
      <c r="G72" s="809">
        <v>0.3</v>
      </c>
      <c r="H72" s="81"/>
    </row>
    <row r="73" spans="2:8" ht="31" hidden="1" customHeight="1" outlineLevel="1" x14ac:dyDescent="0.2">
      <c r="B73" s="81" t="str">
        <f>'16'!B63</f>
        <v>Bus</v>
      </c>
      <c r="C73" s="416">
        <f>D27</f>
        <v>6.9999999999999993E-2</v>
      </c>
      <c r="D73" s="369"/>
      <c r="E73" s="809">
        <f>$C$73*$C$60</f>
        <v>7.8749999999999987E-2</v>
      </c>
      <c r="F73" s="81"/>
      <c r="G73" s="809">
        <v>0.15</v>
      </c>
      <c r="H73" s="81"/>
    </row>
    <row r="74" spans="2:8" ht="31" hidden="1" customHeight="1" outlineLevel="1" x14ac:dyDescent="0.2">
      <c r="B74" s="81" t="str">
        <f>'16'!B64</f>
        <v>Métro/tramway</v>
      </c>
      <c r="C74" s="416">
        <f>D28</f>
        <v>6.0000000000000012E-2</v>
      </c>
      <c r="D74" s="369"/>
      <c r="E74" s="809">
        <f>$C$74*$C$61</f>
        <v>6.5714285714285725E-2</v>
      </c>
      <c r="F74" s="81"/>
      <c r="G74" s="809">
        <v>0.08</v>
      </c>
      <c r="H74" s="81"/>
    </row>
    <row r="75" spans="2:8" ht="31" hidden="1" customHeight="1" outlineLevel="1" x14ac:dyDescent="0.2">
      <c r="B75" s="81" t="str">
        <f>'16'!B65</f>
        <v>Train</v>
      </c>
      <c r="C75" s="416">
        <f>D29</f>
        <v>1.6E-2</v>
      </c>
      <c r="D75" s="369">
        <f>E29</f>
        <v>0.14000000000000001</v>
      </c>
      <c r="E75" s="809">
        <f>$C$75*$C$62</f>
        <v>2.1217391304347823E-2</v>
      </c>
      <c r="F75" s="673">
        <f>$D$75+($D$71*35.1%*0.5)+($D$77*90%*0.5)</f>
        <v>0.28199750000000001</v>
      </c>
      <c r="G75" s="809">
        <v>0.02</v>
      </c>
      <c r="H75" s="673">
        <f>$D$75+($D$71*35.1%*0.5)+($D$77*90%*0.5)</f>
        <v>0.28199750000000001</v>
      </c>
    </row>
    <row r="76" spans="2:8" ht="31" hidden="1" customHeight="1" outlineLevel="1" x14ac:dyDescent="0.2">
      <c r="B76" s="81" t="s">
        <v>728</v>
      </c>
      <c r="C76" s="91"/>
      <c r="D76" s="369">
        <f>E30</f>
        <v>0.09</v>
      </c>
      <c r="E76" s="81"/>
      <c r="F76" s="416">
        <f>$D$76+($D$71*35.1%*0.5)+($D$77*90%*0.5)</f>
        <v>0.23199750000000002</v>
      </c>
      <c r="G76" s="81"/>
      <c r="H76" s="416">
        <f>$D$76+($D$71*35.1%*0.5)+($D$77*90%*0.5)</f>
        <v>0.23199750000000002</v>
      </c>
    </row>
    <row r="77" spans="2:8" ht="31" hidden="1" customHeight="1" outlineLevel="1" x14ac:dyDescent="0.2">
      <c r="B77" s="81" t="s">
        <v>742</v>
      </c>
      <c r="C77" s="91"/>
      <c r="D77" s="369">
        <f>E31</f>
        <v>2.5000000000000001E-2</v>
      </c>
      <c r="E77" s="81"/>
      <c r="F77" s="401">
        <f>$D$77*(1-90%)</f>
        <v>2.4999999999999996E-3</v>
      </c>
      <c r="G77" s="81"/>
      <c r="H77" s="401">
        <f>$D$77*(1-90%)</f>
        <v>2.4999999999999996E-3</v>
      </c>
    </row>
    <row r="78" spans="2:8" ht="31" hidden="1" customHeight="1" outlineLevel="1" x14ac:dyDescent="0.2">
      <c r="B78" s="7" t="s">
        <v>13</v>
      </c>
      <c r="C78" s="482">
        <f>SUM(C71:C75)</f>
        <v>1</v>
      </c>
      <c r="D78" s="385">
        <f>C78/$C$78</f>
        <v>1</v>
      </c>
      <c r="E78" s="385">
        <f>D78/$C$78</f>
        <v>1</v>
      </c>
      <c r="F78" s="385">
        <f>E78/$C$78</f>
        <v>1</v>
      </c>
      <c r="G78" s="81"/>
      <c r="H78" s="81"/>
    </row>
    <row r="79" spans="2:8" ht="36" hidden="1" customHeight="1" outlineLevel="1" x14ac:dyDescent="0.2"/>
    <row r="80" spans="2:8" ht="36" customHeight="1" collapsed="1" x14ac:dyDescent="0.2">
      <c r="B80" s="801" t="s">
        <v>796</v>
      </c>
    </row>
    <row r="81" spans="2:8" ht="36" customHeight="1" x14ac:dyDescent="0.2"/>
    <row r="82" spans="2:8" ht="71.5" hidden="1" customHeight="1" outlineLevel="1" x14ac:dyDescent="0.2">
      <c r="B82" s="2797" t="s">
        <v>948</v>
      </c>
      <c r="C82" s="2797"/>
      <c r="D82" s="2797"/>
      <c r="E82" s="2797"/>
    </row>
    <row r="83" spans="2:8" ht="26" hidden="1" customHeight="1" outlineLevel="1" x14ac:dyDescent="0.2">
      <c r="B83" s="545" t="s">
        <v>949</v>
      </c>
      <c r="C83" s="707"/>
      <c r="D83" s="707"/>
      <c r="E83" s="707"/>
    </row>
    <row r="84" spans="2:8" ht="30.5" hidden="1" customHeight="1" outlineLevel="1" x14ac:dyDescent="0.2">
      <c r="B84" s="409" t="s">
        <v>962</v>
      </c>
      <c r="C84" s="707"/>
      <c r="D84" s="707"/>
      <c r="E84" s="707"/>
    </row>
    <row r="85" spans="2:8" ht="67.5" hidden="1" customHeight="1" outlineLevel="1" x14ac:dyDescent="0.2">
      <c r="B85" s="2797" t="s">
        <v>963</v>
      </c>
      <c r="C85" s="2797"/>
      <c r="D85" s="2797"/>
      <c r="E85" s="2797"/>
    </row>
    <row r="86" spans="2:8" ht="30.5" hidden="1" customHeight="1" outlineLevel="1" x14ac:dyDescent="0.2">
      <c r="B86" s="409" t="s">
        <v>952</v>
      </c>
      <c r="C86" s="707"/>
      <c r="D86" s="707"/>
      <c r="E86" s="707"/>
    </row>
    <row r="87" spans="2:8" ht="30.5" hidden="1" customHeight="1" outlineLevel="1" x14ac:dyDescent="0.2">
      <c r="B87" s="409" t="s">
        <v>964</v>
      </c>
      <c r="C87" s="707"/>
      <c r="D87" s="707"/>
      <c r="E87" s="707"/>
    </row>
    <row r="88" spans="2:8" ht="30.5" hidden="1" customHeight="1" outlineLevel="1" x14ac:dyDescent="0.2">
      <c r="B88" s="409" t="s">
        <v>965</v>
      </c>
      <c r="C88" s="707"/>
      <c r="D88" s="707"/>
      <c r="E88" s="707"/>
    </row>
    <row r="89" spans="2:8" ht="26" hidden="1" customHeight="1" outlineLevel="1" x14ac:dyDescent="0.2">
      <c r="B89" s="545" t="s">
        <v>953</v>
      </c>
      <c r="C89" s="707"/>
      <c r="D89" s="707"/>
      <c r="E89" s="707"/>
    </row>
    <row r="90" spans="2:8" ht="26" hidden="1" customHeight="1" outlineLevel="1" thickBot="1" x14ac:dyDescent="0.25">
      <c r="B90" s="409" t="s">
        <v>966</v>
      </c>
      <c r="C90" s="707"/>
      <c r="D90" s="707"/>
      <c r="E90" s="707"/>
    </row>
    <row r="91" spans="2:8" ht="30.5" hidden="1" customHeight="1" outlineLevel="1" x14ac:dyDescent="0.2">
      <c r="B91" s="518"/>
      <c r="C91" s="2191" t="s">
        <v>955</v>
      </c>
      <c r="D91" s="707"/>
      <c r="E91" s="707"/>
    </row>
    <row r="92" spans="2:8" ht="23.5" hidden="1" customHeight="1" outlineLevel="1" x14ac:dyDescent="0.2">
      <c r="B92" s="803" t="s">
        <v>748</v>
      </c>
      <c r="C92" s="804">
        <v>0.6367924528301887</v>
      </c>
      <c r="D92" s="707"/>
      <c r="E92" s="707"/>
    </row>
    <row r="93" spans="2:8" ht="30.5" hidden="1" customHeight="1" outlineLevel="1" x14ac:dyDescent="0.2">
      <c r="B93" s="803" t="s">
        <v>956</v>
      </c>
      <c r="C93" s="804">
        <v>14.499999999999998</v>
      </c>
      <c r="D93" s="707"/>
      <c r="E93" s="707"/>
    </row>
    <row r="94" spans="2:8" ht="30.5" hidden="1" customHeight="1" outlineLevel="1" x14ac:dyDescent="0.2">
      <c r="B94" s="803" t="s">
        <v>749</v>
      </c>
      <c r="C94" s="804">
        <v>1.125</v>
      </c>
      <c r="D94" s="707"/>
      <c r="E94" s="707"/>
    </row>
    <row r="95" spans="2:8" ht="30.5" hidden="1" customHeight="1" outlineLevel="1" x14ac:dyDescent="0.2">
      <c r="B95" s="803" t="s">
        <v>913</v>
      </c>
      <c r="C95" s="804">
        <v>1.0952380952380951</v>
      </c>
      <c r="D95" s="707"/>
      <c r="E95" s="707"/>
      <c r="H95" s="539"/>
    </row>
    <row r="96" spans="2:8" ht="30.5" hidden="1" customHeight="1" outlineLevel="1" thickBot="1" x14ac:dyDescent="0.25">
      <c r="B96" s="806" t="s">
        <v>726</v>
      </c>
      <c r="C96" s="807">
        <v>1.326086956521739</v>
      </c>
      <c r="D96" s="707"/>
      <c r="E96" s="707"/>
      <c r="H96" s="539"/>
    </row>
    <row r="97" spans="2:11" ht="30.5" hidden="1" customHeight="1" outlineLevel="1" x14ac:dyDescent="0.2">
      <c r="B97" s="2685" t="s">
        <v>957</v>
      </c>
      <c r="C97" s="2685"/>
      <c r="D97" s="2685"/>
      <c r="E97" s="707"/>
      <c r="H97" s="539"/>
    </row>
    <row r="98" spans="2:11" ht="30.5" hidden="1" customHeight="1" outlineLevel="1" x14ac:dyDescent="0.2">
      <c r="B98" s="2685" t="s">
        <v>958</v>
      </c>
      <c r="C98" s="2685"/>
      <c r="D98" s="2685"/>
      <c r="E98" s="707"/>
      <c r="H98" s="539"/>
    </row>
    <row r="99" spans="2:11" ht="30.5" hidden="1" customHeight="1" outlineLevel="1" x14ac:dyDescent="0.2">
      <c r="B99" s="2685" t="s">
        <v>959</v>
      </c>
      <c r="C99" s="2685"/>
      <c r="D99" s="2685"/>
      <c r="E99" s="707"/>
      <c r="H99" s="539"/>
    </row>
    <row r="100" spans="2:11" ht="36" hidden="1" customHeight="1" outlineLevel="1" x14ac:dyDescent="0.2">
      <c r="B100" s="55" t="s">
        <v>790</v>
      </c>
    </row>
    <row r="101" spans="2:11" ht="31" hidden="1" customHeight="1" outlineLevel="1" x14ac:dyDescent="0.2">
      <c r="B101" s="3002" t="s">
        <v>960</v>
      </c>
      <c r="C101" s="3002"/>
      <c r="D101" s="3002"/>
      <c r="E101" s="3002"/>
      <c r="F101" s="3002"/>
      <c r="G101" s="3002"/>
      <c r="H101" s="3002"/>
      <c r="I101" s="3002"/>
      <c r="J101" s="3002"/>
    </row>
    <row r="102" spans="2:11" ht="31" hidden="1" customHeight="1" outlineLevel="1" x14ac:dyDescent="0.2">
      <c r="B102" s="808"/>
      <c r="C102" s="3003" t="s">
        <v>967</v>
      </c>
      <c r="D102" s="3005"/>
      <c r="E102" s="3005"/>
      <c r="F102" s="3004"/>
      <c r="G102" s="3003" t="s">
        <v>752</v>
      </c>
      <c r="H102" s="3005"/>
      <c r="I102" s="3005"/>
      <c r="J102" s="3004"/>
    </row>
    <row r="103" spans="2:11" ht="31" hidden="1" customHeight="1" outlineLevel="1" x14ac:dyDescent="0.2">
      <c r="B103" s="808"/>
      <c r="C103" s="3003">
        <v>2022</v>
      </c>
      <c r="D103" s="3004"/>
      <c r="E103" s="3003" t="s">
        <v>961</v>
      </c>
      <c r="F103" s="3004"/>
      <c r="G103" s="3003">
        <v>2022</v>
      </c>
      <c r="H103" s="3004"/>
      <c r="I103" s="3003" t="s">
        <v>961</v>
      </c>
      <c r="J103" s="3004"/>
    </row>
    <row r="104" spans="2:11" ht="36" hidden="1" customHeight="1" outlineLevel="1" x14ac:dyDescent="0.2">
      <c r="B104" s="60" t="s">
        <v>721</v>
      </c>
      <c r="C104" s="60" t="s">
        <v>923</v>
      </c>
      <c r="D104" s="60" t="s">
        <v>924</v>
      </c>
      <c r="E104" s="60" t="s">
        <v>923</v>
      </c>
      <c r="F104" s="60" t="s">
        <v>924</v>
      </c>
      <c r="G104" s="60" t="s">
        <v>923</v>
      </c>
      <c r="H104" s="60" t="s">
        <v>924</v>
      </c>
      <c r="I104" s="60" t="s">
        <v>923</v>
      </c>
      <c r="J104" s="60" t="s">
        <v>924</v>
      </c>
    </row>
    <row r="105" spans="2:11" ht="31" hidden="1" customHeight="1" outlineLevel="1" x14ac:dyDescent="0.2">
      <c r="B105" s="81" t="str">
        <f t="shared" ref="B105:B111" si="10">B71</f>
        <v>Voiture</v>
      </c>
      <c r="C105" s="416">
        <f>F25</f>
        <v>0.67695167982497462</v>
      </c>
      <c r="D105" s="416">
        <f>G25</f>
        <v>0.19666666666666666</v>
      </c>
      <c r="E105" s="809">
        <f>C105*C92</f>
        <v>0.43107772064326216</v>
      </c>
      <c r="F105" s="673">
        <f>D105*(1-50%)</f>
        <v>9.8333333333333328E-2</v>
      </c>
      <c r="G105" s="416">
        <f>H25</f>
        <v>0.65488590443098338</v>
      </c>
      <c r="H105" s="416"/>
      <c r="I105" s="809">
        <f>G105*C92</f>
        <v>0.41702640140652247</v>
      </c>
      <c r="J105" s="673"/>
      <c r="K105" s="220"/>
    </row>
    <row r="106" spans="2:11" ht="31" hidden="1" customHeight="1" outlineLevel="1" x14ac:dyDescent="0.2">
      <c r="B106" s="81" t="str">
        <f t="shared" si="10"/>
        <v>Mobilité douce</v>
      </c>
      <c r="C106" s="416">
        <f>F26</f>
        <v>9.383100541328937E-2</v>
      </c>
      <c r="D106" s="416"/>
      <c r="E106" s="809">
        <f>100%-E105-E107-E108-E109</f>
        <v>0.30368145684532005</v>
      </c>
      <c r="F106" s="81"/>
      <c r="G106" s="416">
        <f>H26</f>
        <v>9.4824959259865615E-2</v>
      </c>
      <c r="H106" s="416"/>
      <c r="I106" s="809">
        <f>100%-I105-I107-I108-I109</f>
        <v>0.29190216898317184</v>
      </c>
      <c r="J106" s="81"/>
      <c r="K106" s="220"/>
    </row>
    <row r="107" spans="2:11" ht="31" hidden="1" customHeight="1" outlineLevel="1" x14ac:dyDescent="0.2">
      <c r="B107" s="81" t="str">
        <f t="shared" si="10"/>
        <v>Bus</v>
      </c>
      <c r="C107" s="416">
        <f>F27</f>
        <v>8.9155027066447082E-2</v>
      </c>
      <c r="D107" s="416"/>
      <c r="E107" s="809">
        <f t="shared" ref="E107:E109" si="11">C107*C94</f>
        <v>0.10029940544975297</v>
      </c>
      <c r="F107" s="81"/>
      <c r="G107" s="416">
        <f>H27</f>
        <v>9.4124796299328059E-2</v>
      </c>
      <c r="H107" s="416"/>
      <c r="I107" s="809">
        <f t="shared" ref="I107:I109" si="12">G107*C94</f>
        <v>0.10589039583674406</v>
      </c>
      <c r="J107" s="81"/>
      <c r="K107" s="220"/>
    </row>
    <row r="108" spans="2:11" ht="31" hidden="1" customHeight="1" outlineLevel="1" x14ac:dyDescent="0.2">
      <c r="B108" s="81" t="str">
        <f t="shared" si="10"/>
        <v>Métro/tramway</v>
      </c>
      <c r="C108" s="416">
        <f>F28</f>
        <v>8.298603247973653E-2</v>
      </c>
      <c r="D108" s="416"/>
      <c r="E108" s="809">
        <f t="shared" si="11"/>
        <v>9.0889464144473325E-2</v>
      </c>
      <c r="F108" s="81"/>
      <c r="G108" s="416">
        <f>H28</f>
        <v>8.8949755559193683E-2</v>
      </c>
      <c r="H108" s="416"/>
      <c r="I108" s="809">
        <f t="shared" si="12"/>
        <v>9.7421160850545446E-2</v>
      </c>
      <c r="J108" s="81"/>
      <c r="K108" s="220"/>
    </row>
    <row r="109" spans="2:11" ht="31" hidden="1" customHeight="1" outlineLevel="1" x14ac:dyDescent="0.2">
      <c r="B109" s="81" t="str">
        <f t="shared" si="10"/>
        <v>Train</v>
      </c>
      <c r="C109" s="416">
        <f>F29</f>
        <v>5.584245629820999E-2</v>
      </c>
      <c r="D109" s="416">
        <f>G29</f>
        <v>0.10000000000000002</v>
      </c>
      <c r="E109" s="809">
        <f t="shared" si="11"/>
        <v>7.4051952917191508E-2</v>
      </c>
      <c r="F109" s="673">
        <f>D109+(D105*50%*0.5)+(D111*50%*0.5)</f>
        <v>0.31</v>
      </c>
      <c r="G109" s="416">
        <f>H29</f>
        <v>6.6179576302602364E-2</v>
      </c>
      <c r="H109" s="416"/>
      <c r="I109" s="809">
        <f t="shared" si="12"/>
        <v>8.7759872923016166E-2</v>
      </c>
      <c r="J109" s="673"/>
      <c r="K109" s="220"/>
    </row>
    <row r="110" spans="2:11" ht="31" hidden="1" customHeight="1" outlineLevel="1" x14ac:dyDescent="0.2">
      <c r="B110" s="81" t="str">
        <f t="shared" si="10"/>
        <v>Car</v>
      </c>
      <c r="C110" s="416"/>
      <c r="D110" s="416">
        <f>G30</f>
        <v>6.0000000000000005E-2</v>
      </c>
      <c r="E110" s="81"/>
      <c r="F110" s="416">
        <f>D110+(D105*50%*0.5)+(D111*50%*0.5)</f>
        <v>0.27</v>
      </c>
      <c r="G110" s="416"/>
      <c r="H110" s="416"/>
      <c r="I110" s="81"/>
      <c r="J110" s="416"/>
      <c r="K110" s="220"/>
    </row>
    <row r="111" spans="2:11" ht="31" hidden="1" customHeight="1" outlineLevel="1" x14ac:dyDescent="0.2">
      <c r="B111" s="81" t="str">
        <f t="shared" si="10"/>
        <v>Avion</v>
      </c>
      <c r="C111" s="416"/>
      <c r="D111" s="416">
        <f>G31</f>
        <v>0.64333333333333331</v>
      </c>
      <c r="E111" s="81"/>
      <c r="F111" s="416">
        <f>D111*(1-50%)</f>
        <v>0.32166666666666666</v>
      </c>
      <c r="G111" s="416"/>
      <c r="H111" s="416">
        <f>I31</f>
        <v>1</v>
      </c>
      <c r="I111" s="81"/>
      <c r="J111" s="416">
        <f>H111</f>
        <v>1</v>
      </c>
      <c r="K111" s="220"/>
    </row>
    <row r="112" spans="2:11" ht="31" hidden="1" customHeight="1" outlineLevel="1" x14ac:dyDescent="0.2">
      <c r="B112" s="7" t="s">
        <v>13</v>
      </c>
      <c r="C112" s="482">
        <f>SUM(C105:C111)</f>
        <v>0.99876620108265757</v>
      </c>
      <c r="D112" s="482">
        <f t="shared" ref="D112:F112" si="13">SUM(D105:D111)</f>
        <v>1</v>
      </c>
      <c r="E112" s="482">
        <f t="shared" si="13"/>
        <v>1</v>
      </c>
      <c r="F112" s="482">
        <f t="shared" si="13"/>
        <v>1</v>
      </c>
      <c r="G112" s="482">
        <f>SUM(G105:G111)</f>
        <v>0.99896499185197307</v>
      </c>
      <c r="H112" s="482">
        <f t="shared" ref="H112:J112" si="14">SUM(H105:H111)</f>
        <v>1</v>
      </c>
      <c r="I112" s="482">
        <f t="shared" si="14"/>
        <v>1</v>
      </c>
      <c r="J112" s="482">
        <f t="shared" si="14"/>
        <v>1</v>
      </c>
    </row>
    <row r="113" spans="2:10" ht="36" hidden="1" customHeight="1" outlineLevel="1" x14ac:dyDescent="0.2"/>
    <row r="114" spans="2:10" ht="36" hidden="1" customHeight="1" outlineLevel="1" thickBot="1" x14ac:dyDescent="0.25">
      <c r="B114" s="75" t="s">
        <v>968</v>
      </c>
    </row>
    <row r="115" spans="2:10" ht="36" hidden="1" customHeight="1" outlineLevel="1" thickBot="1" x14ac:dyDescent="0.25">
      <c r="C115" s="3008" t="s">
        <v>946</v>
      </c>
      <c r="D115" s="3009"/>
      <c r="E115" s="3008" t="s">
        <v>967</v>
      </c>
      <c r="F115" s="3009"/>
      <c r="G115" s="3010" t="s">
        <v>752</v>
      </c>
      <c r="H115" s="3011"/>
    </row>
    <row r="116" spans="2:10" ht="36" hidden="1" customHeight="1" outlineLevel="1" thickBot="1" x14ac:dyDescent="0.25">
      <c r="C116" s="810" t="s">
        <v>923</v>
      </c>
      <c r="D116" s="811" t="s">
        <v>924</v>
      </c>
      <c r="E116" s="810" t="s">
        <v>923</v>
      </c>
      <c r="F116" s="811" t="s">
        <v>924</v>
      </c>
      <c r="G116" s="810" t="s">
        <v>923</v>
      </c>
      <c r="H116" s="811" t="s">
        <v>924</v>
      </c>
      <c r="I116" s="3006" t="s">
        <v>13</v>
      </c>
      <c r="J116" s="3007"/>
    </row>
    <row r="117" spans="2:10" ht="34.5" hidden="1" customHeight="1" outlineLevel="1" x14ac:dyDescent="0.2">
      <c r="B117" s="812" t="s">
        <v>969</v>
      </c>
      <c r="C117" s="813">
        <f>D22*D23*D24*(G71*D32+SUMPRODUCT(G72:G75,D34:D37))/10^3</f>
        <v>50216.136914572977</v>
      </c>
      <c r="D117" s="814">
        <f>E22*E23*E24*(F71*E33+SUMPRODUCT(F75:F77,E37:E39))/10^3</f>
        <v>47978.576324216527</v>
      </c>
      <c r="E117" s="815">
        <f>F22*F23*F24*(E105*F32+SUMPRODUCT(E106:E109,F34:F37))/10^3</f>
        <v>13451.760127702966</v>
      </c>
      <c r="F117" s="816">
        <f>G22*G23*G24*(F105*G33+SUMPRODUCT(F109:F111,G37:G39))/10^3</f>
        <v>34792.121288351416</v>
      </c>
      <c r="G117" s="813">
        <f>H22*H23*H24*(I105*H32+SUMPRODUCT(I106:I109,H34:H37))/10^3</f>
        <v>4239.1741365620219</v>
      </c>
      <c r="H117" s="817">
        <f>I22*I23*I24*(J105*I33+SUMPRODUCT(J109:J111,I37:I39))/10^3</f>
        <v>73915.781666560026</v>
      </c>
      <c r="I117" s="815">
        <f>SUM(C117:H117)</f>
        <v>224593.55045796593</v>
      </c>
      <c r="J117" s="818" t="s">
        <v>19</v>
      </c>
    </row>
    <row r="118" spans="2:10" ht="27" hidden="1" customHeight="1" outlineLevel="1" thickBot="1" x14ac:dyDescent="0.25">
      <c r="B118" s="819" t="s">
        <v>970</v>
      </c>
      <c r="C118" s="820">
        <f t="shared" ref="C118:H118" si="15">1-C117/D40</f>
        <v>0.25899090785652834</v>
      </c>
      <c r="D118" s="821">
        <f t="shared" si="15"/>
        <v>0.31965157414129053</v>
      </c>
      <c r="E118" s="822">
        <f t="shared" si="15"/>
        <v>0.28630138607095668</v>
      </c>
      <c r="F118" s="823">
        <f t="shared" si="15"/>
        <v>0.45685753021643649</v>
      </c>
      <c r="G118" s="820">
        <f t="shared" si="15"/>
        <v>0.27883068113165077</v>
      </c>
      <c r="H118" s="821">
        <f t="shared" si="15"/>
        <v>0</v>
      </c>
      <c r="I118" s="822">
        <f>1-I117/(D41)</f>
        <v>0.25380941222276276</v>
      </c>
      <c r="J118" s="824" t="s">
        <v>971</v>
      </c>
    </row>
    <row r="119" spans="2:10" ht="36" hidden="1" customHeight="1" outlineLevel="1" x14ac:dyDescent="0.2"/>
    <row r="120" spans="2:10" ht="36" customHeight="1" collapsed="1" x14ac:dyDescent="0.2">
      <c r="B120" s="703" t="s">
        <v>972</v>
      </c>
    </row>
    <row r="121" spans="2:10" ht="36" customHeight="1" x14ac:dyDescent="0.2">
      <c r="B121" s="690"/>
    </row>
    <row r="122" spans="2:10" ht="36" hidden="1" customHeight="1" outlineLevel="1" x14ac:dyDescent="0.2">
      <c r="B122" s="825" t="s">
        <v>973</v>
      </c>
    </row>
    <row r="123" spans="2:10" ht="36" hidden="1" customHeight="1" outlineLevel="1" x14ac:dyDescent="0.2">
      <c r="B123" s="551" t="s">
        <v>974</v>
      </c>
    </row>
    <row r="124" spans="2:10" ht="36" hidden="1" customHeight="1" outlineLevel="1" x14ac:dyDescent="0.2">
      <c r="B124" s="551" t="s">
        <v>975</v>
      </c>
    </row>
    <row r="125" spans="2:10" ht="36" hidden="1" customHeight="1" outlineLevel="1" x14ac:dyDescent="0.2">
      <c r="B125" s="551" t="s">
        <v>976</v>
      </c>
    </row>
    <row r="126" spans="2:10" ht="36" hidden="1" customHeight="1" outlineLevel="1" x14ac:dyDescent="0.2">
      <c r="B126" s="551" t="s">
        <v>2189</v>
      </c>
    </row>
    <row r="127" spans="2:10" ht="36" hidden="1" customHeight="1" outlineLevel="1" thickBot="1" x14ac:dyDescent="0.25">
      <c r="B127" s="551"/>
    </row>
    <row r="128" spans="2:10" ht="74.5" hidden="1" customHeight="1" outlineLevel="1" x14ac:dyDescent="0.2">
      <c r="B128" s="708" t="s">
        <v>857</v>
      </c>
      <c r="C128" s="714" t="s">
        <v>858</v>
      </c>
      <c r="D128" s="714" t="s">
        <v>859</v>
      </c>
    </row>
    <row r="129" spans="2:9" ht="36" hidden="1" customHeight="1" outlineLevel="1" x14ac:dyDescent="0.2">
      <c r="B129" s="709" t="s">
        <v>860</v>
      </c>
      <c r="C129" s="723">
        <f>'Fiche levier - 13'!C210</f>
        <v>-8.2560000000000022E-2</v>
      </c>
      <c r="D129" s="723">
        <f>'Fiche levier - 13'!D210</f>
        <v>-8.2560000000000022E-2</v>
      </c>
      <c r="F129" s="443"/>
      <c r="G129" s="443"/>
    </row>
    <row r="130" spans="2:9" ht="36" hidden="1" customHeight="1" outlineLevel="1" x14ac:dyDescent="0.2">
      <c r="B130" s="709" t="s">
        <v>977</v>
      </c>
      <c r="C130" s="725">
        <f>'Fiche levier - 13'!C211</f>
        <v>-0.90044884955752214</v>
      </c>
      <c r="D130" s="725">
        <f>'Fiche levier - 13'!D211</f>
        <v>-0.8542067256637168</v>
      </c>
      <c r="F130" s="443"/>
      <c r="G130" s="443"/>
    </row>
    <row r="131" spans="2:9" ht="36" hidden="1" customHeight="1" outlineLevel="1" x14ac:dyDescent="0.2">
      <c r="B131" s="709" t="s">
        <v>862</v>
      </c>
      <c r="C131" s="725">
        <f>('Fiche levier - 13'!C212 + 1 ) * (1 - 15%) - 1</f>
        <v>-0.86160600917757668</v>
      </c>
      <c r="D131" s="725">
        <f>('Fiche levier - 13'!D212 + 1 ) * (1 - 15%) - 1</f>
        <v>-0.69938008225420534</v>
      </c>
      <c r="F131" s="443"/>
      <c r="G131" s="443"/>
    </row>
    <row r="132" spans="2:9" ht="36" hidden="1" customHeight="1" outlineLevel="1" thickBot="1" x14ac:dyDescent="0.25">
      <c r="B132" s="710" t="s">
        <v>863</v>
      </c>
      <c r="C132" s="636">
        <f>'Fiche levier - 13'!C213</f>
        <v>-0.73726341340880996</v>
      </c>
      <c r="D132" s="636">
        <f>'Fiche levier - 13'!D213</f>
        <v>-0.32608695652173914</v>
      </c>
      <c r="F132" s="443"/>
      <c r="G132" s="443"/>
    </row>
    <row r="133" spans="2:9" ht="36" hidden="1" customHeight="1" outlineLevel="1" x14ac:dyDescent="0.2"/>
    <row r="134" spans="2:9" ht="36" customHeight="1" collapsed="1" x14ac:dyDescent="0.2">
      <c r="B134" s="703" t="s">
        <v>978</v>
      </c>
    </row>
    <row r="135" spans="2:9" ht="36" customHeight="1" x14ac:dyDescent="0.2">
      <c r="B135" s="703"/>
    </row>
    <row r="136" spans="2:9" ht="36" hidden="1" customHeight="1" outlineLevel="1" thickBot="1" x14ac:dyDescent="0.25">
      <c r="B136" s="2951" t="s">
        <v>808</v>
      </c>
      <c r="C136" s="2952"/>
      <c r="D136" s="2952"/>
      <c r="E136" s="2952"/>
      <c r="F136" s="2953"/>
    </row>
    <row r="137" spans="2:9" ht="36" hidden="1" customHeight="1" outlineLevel="1" x14ac:dyDescent="0.2"/>
    <row r="138" spans="2:9" ht="27" hidden="1" customHeight="1" outlineLevel="1" x14ac:dyDescent="0.2">
      <c r="B138" s="55" t="s">
        <v>809</v>
      </c>
    </row>
    <row r="139" spans="2:9" ht="27" hidden="1" customHeight="1" outlineLevel="1" x14ac:dyDescent="0.2">
      <c r="B139" s="55" t="s">
        <v>2590</v>
      </c>
    </row>
    <row r="140" spans="2:9" ht="27" hidden="1" customHeight="1" outlineLevel="1" x14ac:dyDescent="0.2">
      <c r="B140" s="55" t="s">
        <v>2331</v>
      </c>
    </row>
    <row r="141" spans="2:9" ht="27" hidden="1" customHeight="1" outlineLevel="1" x14ac:dyDescent="0.2">
      <c r="B141" s="2"/>
    </row>
    <row r="142" spans="2:9" ht="27" hidden="1" customHeight="1" outlineLevel="1" x14ac:dyDescent="0.2">
      <c r="B142" s="2" t="s">
        <v>810</v>
      </c>
    </row>
    <row r="143" spans="2:9" ht="27" hidden="1" customHeight="1" outlineLevel="1" thickBot="1" x14ac:dyDescent="0.25"/>
    <row r="144" spans="2:9" ht="27" hidden="1" customHeight="1" outlineLevel="1" thickBot="1" x14ac:dyDescent="0.25">
      <c r="C144" s="1698" t="s">
        <v>946</v>
      </c>
      <c r="D144" s="1699" t="s">
        <v>751</v>
      </c>
      <c r="E144" s="1700" t="s">
        <v>811</v>
      </c>
      <c r="G144"/>
      <c r="H144"/>
      <c r="I144"/>
    </row>
    <row r="145" spans="1:9" ht="27" hidden="1" customHeight="1" outlineLevel="1" x14ac:dyDescent="0.2">
      <c r="B145" s="826" t="s">
        <v>979</v>
      </c>
      <c r="C145" s="1701">
        <f>E23</f>
        <v>1369</v>
      </c>
      <c r="D145" s="1590">
        <f>F23</f>
        <v>68</v>
      </c>
      <c r="E145" s="1751">
        <f>H23</f>
        <v>19</v>
      </c>
      <c r="G145"/>
      <c r="H145"/>
      <c r="I145"/>
    </row>
    <row r="146" spans="1:9" ht="27" hidden="1" customHeight="1" outlineLevel="1" thickBot="1" x14ac:dyDescent="0.25">
      <c r="B146" s="1752" t="s">
        <v>813</v>
      </c>
      <c r="C146" s="1753">
        <f>C145</f>
        <v>1369</v>
      </c>
      <c r="D146" s="1561">
        <f>D145*(1-30%)</f>
        <v>47.599999999999994</v>
      </c>
      <c r="E146" s="1754">
        <f>E145/4</f>
        <v>4.75</v>
      </c>
      <c r="G146"/>
      <c r="H146"/>
      <c r="I146"/>
    </row>
    <row r="147" spans="1:9" ht="27" hidden="1" customHeight="1" outlineLevel="1" thickBot="1" x14ac:dyDescent="0.25">
      <c r="B147" s="1755" t="s">
        <v>1998</v>
      </c>
      <c r="C147" s="1757">
        <f>(C145-C146)/C145</f>
        <v>0</v>
      </c>
      <c r="D147" s="1756">
        <f>-(D145-D146)/D145</f>
        <v>-0.3000000000000001</v>
      </c>
      <c r="E147" s="1758">
        <f>-(E145-E146)/E145</f>
        <v>-0.75</v>
      </c>
      <c r="H147"/>
      <c r="I147"/>
    </row>
    <row r="148" spans="1:9" ht="27" hidden="1" customHeight="1" outlineLevel="1" x14ac:dyDescent="0.2">
      <c r="D148" s="220"/>
      <c r="E148" s="220"/>
    </row>
    <row r="149" spans="1:9" ht="27" customHeight="1" collapsed="1" x14ac:dyDescent="0.2">
      <c r="B149" s="133" t="s">
        <v>980</v>
      </c>
    </row>
    <row r="150" spans="1:9" ht="27" customHeight="1" x14ac:dyDescent="0.2"/>
    <row r="151" spans="1:9" ht="27" hidden="1" customHeight="1" outlineLevel="1" x14ac:dyDescent="0.2">
      <c r="B151" s="827" t="s">
        <v>2712</v>
      </c>
    </row>
    <row r="152" spans="1:9" ht="27" hidden="1" customHeight="1" outlineLevel="1" thickBot="1" x14ac:dyDescent="0.25"/>
    <row r="153" spans="1:9" ht="24" hidden="1" customHeight="1" outlineLevel="1" x14ac:dyDescent="0.2">
      <c r="B153" s="2427"/>
      <c r="C153" s="2428"/>
      <c r="D153" s="2191">
        <v>2050</v>
      </c>
    </row>
    <row r="154" spans="1:9" ht="24" hidden="1" customHeight="1" outlineLevel="1" x14ac:dyDescent="0.2">
      <c r="B154" s="831" t="s">
        <v>981</v>
      </c>
      <c r="C154" s="428">
        <f>D41</f>
        <v>300986.84456338198</v>
      </c>
      <c r="D154" s="488"/>
    </row>
    <row r="155" spans="1:9" ht="24" hidden="1" customHeight="1" outlineLevel="1" x14ac:dyDescent="0.2">
      <c r="A155" s="2444">
        <f>D155/$C$154</f>
        <v>0.38664960669778481</v>
      </c>
      <c r="B155" s="831" t="s">
        <v>2714</v>
      </c>
      <c r="C155" s="428">
        <f>D22*D23*D24*(D25*D32+SUMPRODUCT(D26:D29,D34:D37))/10^3
+ E22*E23*E24*(E25*E33+SUMPRODUCT(E29:E31,E37:E39))/10^3
+ F22*X23*F24*(F25*F32+SUMPRODUCT(F26:F29,F34:F37))/10^3
+ G22*Y23*G24*(G25*G33+SUMPRODUCT(G29:G31,G37:G39))/10^3
+ H22*Z23*H24*(H25*H32+SUMPRODUCT(H26:H29,H34:H37))/10^3
+ I22*AA23*I24*(I25*I33+SUMPRODUCT(I29:I31,I37:I39))/10^3</f>
        <v>184610.39949174304</v>
      </c>
      <c r="D155" s="488">
        <f>C154-C155</f>
        <v>116376.44507163894</v>
      </c>
    </row>
    <row r="156" spans="1:9" ht="24" hidden="1" customHeight="1" outlineLevel="1" x14ac:dyDescent="0.2">
      <c r="A156" s="2444">
        <f t="shared" ref="A156:A159" si="16">D156/$C$154</f>
        <v>4.5289602287236795E-2</v>
      </c>
      <c r="B156" s="831" t="s">
        <v>982</v>
      </c>
      <c r="C156" s="428">
        <f>D22*D23*D24*(D25*D32*(1-10%)+SUMPRODUCT(D26:D29,D34:D37))/10^3
+ E22*E23*E24*(E25*E33*(1-10%)+SUMPRODUCT(E29:E31,E37:E39))/10^3
+ F22*X23*F24*(F25*F32*(1-10%)+SUMPRODUCT(F26:F29,F34:F37))/10^3
+ G22*Y23*G24*(G25*G33*(1-10%)+SUMPRODUCT(G29:G31,G37:G39))/10^3
+ H22*Z23*H24*(H25*H32*(1-10%)+SUMPRODUCT(H26:H29,H34:H37))/10^3
+ I22*AA23*I24*(I25*I33*(1-10%)+SUMPRODUCT(I29:I31,I37:I39))/10^3</f>
        <v>170978.82500777711</v>
      </c>
      <c r="D156" s="488">
        <f>C155-C156</f>
        <v>13631.574483965931</v>
      </c>
    </row>
    <row r="157" spans="1:9" ht="24" hidden="1" customHeight="1" outlineLevel="1" x14ac:dyDescent="0.2">
      <c r="A157" s="2444">
        <f t="shared" si="16"/>
        <v>0.16605552619802025</v>
      </c>
      <c r="B157" s="831" t="s">
        <v>983</v>
      </c>
      <c r="C157" s="428">
        <f>D22*D23*D24*(J25*D32*(1-10%)+SUMPRODUCT(J26:J29,D34:D37))/10^3
+ E22*E23*E24*(K25*E33*(1-10%)+SUMPRODUCT(K29:K31,E37:E39))/10^3
+ F22*X23*F24*(L25*F32*(1-10%)+SUMPRODUCT(L26:L29,F34:F37))/10^3
+ G22*Y23*G24*(M25*G33*(1-10%)+SUMPRODUCT(M29:M31,G37:G39))/10^3
+ H22*Z23*H24*(N25*H32*(1-10%)+SUMPRODUCT(N26:N29,H34:H37))/10^3
+ I22*AA23*I24*(O25*I33*(1-10%)+SUMPRODUCT(O29:O31,I37:I39))/10^3</f>
        <v>120998.29615512298</v>
      </c>
      <c r="D157" s="488">
        <f>C156-C157</f>
        <v>49980.528852654126</v>
      </c>
    </row>
    <row r="158" spans="1:9" ht="24" hidden="1" customHeight="1" outlineLevel="1" x14ac:dyDescent="0.2">
      <c r="A158" s="2444">
        <f t="shared" si="16"/>
        <v>0.14112909981863589</v>
      </c>
      <c r="B158" s="831" t="s">
        <v>984</v>
      </c>
      <c r="C158" s="428">
        <f>D22*D23*D24*(J25*D32*(1-10%)*'Fiche levier - 13'!C163+SUMPRODUCT(J26:J29,D34:D37))/10^3
+ E22*E23*E24*(K25*E33*(1-10%)*'Fiche levier - 13'!C163+SUMPRODUCT(K29:K31,E37:E39))/10^3
+ F22*X23*F24*(L25*F32*(1-10%)*'Fiche levier - 13'!C163+SUMPRODUCT(L26:L29,F34:F37))/10^3
+ G22*Y23*G24*(M25*G33*(1-10%)*'Fiche levier - 13'!C163+SUMPRODUCT(M29:M31,G37:G39))/10^3
+ H22*Z23*H24*(N25*H32*(1-10%)*'Fiche levier - 13'!C163+SUMPRODUCT(N26:N29,H34:H37))/10^3
+ I22*AA23*I24*(O25*I33*(1-10%)*'Fiche levier - 13'!C163+SUMPRODUCT(O29:O31,I37:I39))/10^3</f>
        <v>78520.293724641204</v>
      </c>
      <c r="D158" s="488">
        <f>C157-C158</f>
        <v>42478.002430481778</v>
      </c>
    </row>
    <row r="159" spans="1:9" ht="24" hidden="1" customHeight="1" outlineLevel="1" x14ac:dyDescent="0.2">
      <c r="A159" s="2444">
        <f t="shared" si="16"/>
        <v>0.11526361160992245</v>
      </c>
      <c r="B159" s="831" t="s">
        <v>985</v>
      </c>
      <c r="C159" s="428">
        <f>W41</f>
        <v>43827.462973191447</v>
      </c>
      <c r="D159" s="488">
        <f>C158-C159</f>
        <v>34692.830751449757</v>
      </c>
    </row>
    <row r="160" spans="1:9" ht="24" hidden="1" customHeight="1" outlineLevel="1" thickBot="1" x14ac:dyDescent="0.25">
      <c r="A160" s="2444"/>
      <c r="B160" s="834" t="s">
        <v>986</v>
      </c>
      <c r="C160" s="2431">
        <f>C159</f>
        <v>43827.462973191447</v>
      </c>
      <c r="D160" s="2432"/>
    </row>
    <row r="161" spans="2:4" hidden="1" outlineLevel="1" x14ac:dyDescent="0.2"/>
    <row r="162" spans="2:4" hidden="1" outlineLevel="1" x14ac:dyDescent="0.2"/>
    <row r="163" spans="2:4" hidden="1" outlineLevel="1" x14ac:dyDescent="0.2">
      <c r="D163" s="449"/>
    </row>
    <row r="164" spans="2:4" hidden="1" outlineLevel="1" x14ac:dyDescent="0.2">
      <c r="D164" s="449"/>
    </row>
    <row r="165" spans="2:4" hidden="1" outlineLevel="1" x14ac:dyDescent="0.2"/>
    <row r="166" spans="2:4" hidden="1" outlineLevel="1" x14ac:dyDescent="0.2"/>
    <row r="167" spans="2:4" hidden="1" outlineLevel="1" x14ac:dyDescent="0.2">
      <c r="D167" s="220"/>
    </row>
    <row r="168" spans="2:4" hidden="1" outlineLevel="1" x14ac:dyDescent="0.2"/>
    <row r="169" spans="2:4" hidden="1" outlineLevel="1" x14ac:dyDescent="0.2">
      <c r="B169" s="55" t="s">
        <v>2713</v>
      </c>
      <c r="C169" s="346">
        <f>P40+Q40+(R22*R23*1.5*R24*(R25*R32+SUMPRODUCT(R26:R29,R34:R37)))/1000
+S22*S23*1.5*S24*(S25*S33+SUMPRODUCT(S29:S31,S37:S39))/1000
+T22*T23*1.5*T24*(T25*T32+SUMPRODUCT(T26:T29,T34:T37))/1000
+U22*U23*1.5*U24*U31*U39/1000</f>
        <v>141253.40137832693</v>
      </c>
    </row>
    <row r="170" spans="2:4" hidden="1" outlineLevel="1" x14ac:dyDescent="0.2"/>
    <row r="171" spans="2:4" hidden="1" outlineLevel="1" x14ac:dyDescent="0.2"/>
    <row r="172" spans="2:4" collapsed="1" x14ac:dyDescent="0.2"/>
  </sheetData>
  <mergeCells count="60">
    <mergeCell ref="B32:B39"/>
    <mergeCell ref="B40:C40"/>
    <mergeCell ref="C69:D69"/>
    <mergeCell ref="E69:F69"/>
    <mergeCell ref="B25:B31"/>
    <mergeCell ref="B23:B24"/>
    <mergeCell ref="AM23:AN23"/>
    <mergeCell ref="AF22:AJ22"/>
    <mergeCell ref="AI23:AJ23"/>
    <mergeCell ref="AG23:AH23"/>
    <mergeCell ref="AL22:AN22"/>
    <mergeCell ref="I116:J116"/>
    <mergeCell ref="B136:F136"/>
    <mergeCell ref="C103:D103"/>
    <mergeCell ref="E103:F103"/>
    <mergeCell ref="G103:H103"/>
    <mergeCell ref="I103:J103"/>
    <mergeCell ref="C115:D115"/>
    <mergeCell ref="E115:F115"/>
    <mergeCell ref="G115:H115"/>
    <mergeCell ref="B97:D97"/>
    <mergeCell ref="B98:D98"/>
    <mergeCell ref="B99:D99"/>
    <mergeCell ref="B101:J101"/>
    <mergeCell ref="C102:F102"/>
    <mergeCell ref="G102:J102"/>
    <mergeCell ref="B82:E82"/>
    <mergeCell ref="B85:E85"/>
    <mergeCell ref="B50:E50"/>
    <mergeCell ref="B53:E53"/>
    <mergeCell ref="B63:D63"/>
    <mergeCell ref="B64:D64"/>
    <mergeCell ref="B65:D65"/>
    <mergeCell ref="B66:D66"/>
    <mergeCell ref="B68:H68"/>
    <mergeCell ref="G69:H69"/>
    <mergeCell ref="P19:U19"/>
    <mergeCell ref="V19:AA19"/>
    <mergeCell ref="D20:E20"/>
    <mergeCell ref="F20:G20"/>
    <mergeCell ref="H20:I20"/>
    <mergeCell ref="J20:K20"/>
    <mergeCell ref="L20:M20"/>
    <mergeCell ref="N20:O20"/>
    <mergeCell ref="P20:Q20"/>
    <mergeCell ref="R20:S20"/>
    <mergeCell ref="T20:U20"/>
    <mergeCell ref="V20:W20"/>
    <mergeCell ref="X20:Y20"/>
    <mergeCell ref="Z20:AA20"/>
    <mergeCell ref="C9:D9"/>
    <mergeCell ref="E9:F9"/>
    <mergeCell ref="G9:H9"/>
    <mergeCell ref="D19:I19"/>
    <mergeCell ref="J19:O19"/>
    <mergeCell ref="B2:D2"/>
    <mergeCell ref="B5:D5"/>
    <mergeCell ref="C7:D7"/>
    <mergeCell ref="E7:F7"/>
    <mergeCell ref="G7:H7"/>
  </mergeCells>
  <conditionalFormatting sqref="D10">
    <cfRule type="containsText" dxfId="62" priority="18" operator="containsText" text="Pas ok">
      <formula>NOT(ISERROR(SEARCH("Pas ok",D10)))</formula>
    </cfRule>
    <cfRule type="containsText" dxfId="61" priority="19" operator="containsText" text="Calcul brouillon, ordre de grandeur">
      <formula>NOT(ISERROR(SEARCH("Calcul brouillon, ordre de grandeur",D10)))</formula>
    </cfRule>
    <cfRule type="containsText" dxfId="60" priority="20" operator="containsText" text="Bon ordre de grandeur">
      <formula>NOT(ISERROR(SEARCH("Bon ordre de grandeur",D10)))</formula>
    </cfRule>
    <cfRule type="containsText" dxfId="59" priority="21" operator="containsText" text="Calcul validé">
      <formula>NOT(ISERROR(SEARCH("Calcul validé",D10)))</formula>
    </cfRule>
    <cfRule type="containsText" dxfId="58" priority="22" operator="containsText" text="Pas ok">
      <formula>NOT(ISERROR(SEARCH("Pas ok",D10)))</formula>
    </cfRule>
    <cfRule type="containsText" dxfId="57" priority="23" operator="containsText" text="Calcul brouillon, ordre de grandeur">
      <formula>NOT(ISERROR(SEARCH("Calcul brouillon, ordre de grandeur",D10)))</formula>
    </cfRule>
    <cfRule type="containsText" dxfId="56" priority="24" operator="containsText" text="Bon ordre de grandeur">
      <formula>NOT(ISERROR(SEARCH("Bon ordre de grandeur",D10)))</formula>
    </cfRule>
    <cfRule type="containsText" dxfId="55" priority="25" operator="containsText" text="Calcul validé">
      <formula>NOT(ISERROR(SEARCH("Calcul validé",D10)))</formula>
    </cfRule>
  </conditionalFormatting>
  <conditionalFormatting sqref="D10:E10">
    <cfRule type="containsText" dxfId="54" priority="26" operator="containsText" text="Calcul brouillon, odg">
      <formula>NOT(ISERROR(SEARCH("Calcul brouillon, odg",D10)))</formula>
    </cfRule>
  </conditionalFormatting>
  <conditionalFormatting sqref="D32:I39">
    <cfRule type="colorScale" priority="1">
      <colorScale>
        <cfvo type="min"/>
        <cfvo type="percentile" val="50"/>
        <cfvo type="max"/>
        <color rgb="FF63BE7B"/>
        <color rgb="FFFFEB84"/>
        <color rgb="FFF8696B"/>
      </colorScale>
    </cfRule>
  </conditionalFormatting>
  <conditionalFormatting sqref="J32:AA39">
    <cfRule type="colorScale" priority="2">
      <colorScale>
        <cfvo type="min"/>
        <cfvo type="percentile" val="50"/>
        <cfvo type="max"/>
        <color rgb="FF63BE7B"/>
        <color rgb="FFFFEB84"/>
        <color rgb="FFF8696B"/>
      </colorScale>
    </cfRule>
  </conditionalFormatting>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DQ303"/>
  <sheetViews>
    <sheetView zoomScale="50" zoomScaleNormal="149" workbookViewId="0">
      <selection activeCell="E28" sqref="E28"/>
    </sheetView>
  </sheetViews>
  <sheetFormatPr baseColWidth="10" defaultColWidth="10.85546875" defaultRowHeight="16" outlineLevelRow="1" x14ac:dyDescent="0.2"/>
  <cols>
    <col min="1" max="1" width="10.85546875" style="55"/>
    <col min="2" max="2" width="28.140625" style="55" customWidth="1"/>
    <col min="3" max="3" width="31.28515625" style="55" customWidth="1"/>
    <col min="4" max="4" width="20.85546875" style="55" customWidth="1"/>
    <col min="5" max="5" width="22.28515625" style="55" customWidth="1"/>
    <col min="6" max="6" width="18.28515625" style="55" customWidth="1"/>
    <col min="7" max="7" width="18.42578125" style="55" customWidth="1"/>
    <col min="8" max="8" width="17.42578125" style="55" customWidth="1"/>
    <col min="9" max="11" width="15.5703125" style="55" customWidth="1"/>
    <col min="12" max="12" width="18.85546875" style="55" customWidth="1"/>
    <col min="13" max="13" width="41.28515625" style="55" customWidth="1"/>
    <col min="14" max="14" width="22.7109375" style="55" customWidth="1"/>
    <col min="15" max="15" width="21.7109375" style="55" customWidth="1"/>
    <col min="16" max="16" width="28.5703125" style="55" customWidth="1"/>
    <col min="17" max="17" width="14.85546875" style="55" customWidth="1"/>
    <col min="18" max="18" width="30.85546875" style="55" customWidth="1"/>
    <col min="19" max="19" width="17.85546875" style="55" customWidth="1"/>
    <col min="20" max="20" width="30.5703125" style="55" customWidth="1"/>
    <col min="21" max="114" width="14.28515625" style="55" customWidth="1"/>
    <col min="115" max="115" width="10.85546875" style="55"/>
    <col min="116" max="116" width="10.85546875" style="55" customWidth="1"/>
    <col min="117" max="16384" width="10.85546875" style="55"/>
  </cols>
  <sheetData>
    <row r="1" spans="2:16" ht="22" customHeight="1" x14ac:dyDescent="0.2"/>
    <row r="2" spans="2:16" ht="20" x14ac:dyDescent="0.2">
      <c r="B2" s="2559" t="s">
        <v>987</v>
      </c>
      <c r="C2" s="2560"/>
      <c r="D2" s="2560"/>
      <c r="E2" s="2561"/>
    </row>
    <row r="3" spans="2:16" ht="22" customHeight="1" thickBot="1" x14ac:dyDescent="0.25">
      <c r="B3" s="75"/>
    </row>
    <row r="4" spans="2:16" ht="17" thickBot="1" x14ac:dyDescent="0.25">
      <c r="B4" s="2607" t="s">
        <v>17</v>
      </c>
      <c r="C4" s="2608"/>
      <c r="D4" s="2609"/>
      <c r="F4"/>
      <c r="G4"/>
      <c r="H4"/>
      <c r="I4"/>
      <c r="J4"/>
      <c r="K4"/>
      <c r="L4"/>
      <c r="M4"/>
      <c r="N4"/>
      <c r="O4"/>
      <c r="P4"/>
    </row>
    <row r="5" spans="2:16" ht="16" customHeight="1" x14ac:dyDescent="0.2">
      <c r="B5" s="320" t="s">
        <v>18</v>
      </c>
      <c r="C5" s="1159">
        <f>C127</f>
        <v>21544.913294058635</v>
      </c>
      <c r="D5" s="441" t="s">
        <v>19</v>
      </c>
      <c r="F5"/>
      <c r="G5"/>
      <c r="H5"/>
      <c r="I5"/>
      <c r="J5"/>
      <c r="K5"/>
      <c r="L5"/>
      <c r="M5"/>
      <c r="N5"/>
      <c r="O5"/>
      <c r="P5"/>
    </row>
    <row r="6" spans="2:16" ht="16" customHeight="1" x14ac:dyDescent="0.2">
      <c r="B6" s="442" t="s">
        <v>20</v>
      </c>
      <c r="C6" s="2658" t="str">
        <f>C9</f>
        <v>vFinale</v>
      </c>
      <c r="D6" s="2566"/>
      <c r="F6"/>
      <c r="G6"/>
      <c r="H6"/>
      <c r="I6"/>
      <c r="J6"/>
      <c r="K6"/>
      <c r="L6"/>
      <c r="M6"/>
      <c r="N6"/>
      <c r="O6"/>
      <c r="P6"/>
    </row>
    <row r="7" spans="2:16" ht="17" thickBot="1" x14ac:dyDescent="0.25">
      <c r="B7" s="321" t="s">
        <v>21</v>
      </c>
      <c r="C7" s="3028"/>
      <c r="D7" s="3029"/>
      <c r="F7"/>
      <c r="G7"/>
      <c r="H7"/>
      <c r="I7"/>
      <c r="J7"/>
      <c r="K7"/>
      <c r="L7"/>
      <c r="M7"/>
      <c r="N7"/>
      <c r="O7"/>
      <c r="P7"/>
    </row>
    <row r="8" spans="2:16" ht="22" customHeight="1" thickBot="1" x14ac:dyDescent="0.25"/>
    <row r="9" spans="2:16" x14ac:dyDescent="0.2">
      <c r="B9" s="979" t="s">
        <v>22</v>
      </c>
      <c r="C9" s="2569" t="s">
        <v>1602</v>
      </c>
      <c r="D9" s="2570"/>
      <c r="E9" s="62"/>
      <c r="F9" s="62"/>
      <c r="G9" s="62"/>
      <c r="H9" s="62"/>
      <c r="I9" s="62"/>
      <c r="J9" s="62"/>
      <c r="K9" s="62"/>
      <c r="L9" s="62"/>
      <c r="M9" s="62"/>
      <c r="N9" s="62"/>
      <c r="O9" s="62"/>
      <c r="P9" s="63"/>
    </row>
    <row r="10" spans="2:16" ht="17" thickBot="1" x14ac:dyDescent="0.25">
      <c r="B10" s="980" t="s">
        <v>1905</v>
      </c>
      <c r="C10" s="1016">
        <f>C5/'ANNEXE A'!$C$248</f>
        <v>14.797330559106205</v>
      </c>
      <c r="D10" s="977" t="s">
        <v>24</v>
      </c>
      <c r="E10" s="64"/>
      <c r="F10" s="64"/>
      <c r="G10" s="64"/>
      <c r="H10" s="64"/>
      <c r="I10" s="64"/>
      <c r="J10" s="64"/>
      <c r="K10" s="64"/>
      <c r="L10" s="64"/>
      <c r="M10" s="64"/>
      <c r="N10" s="64"/>
      <c r="O10" s="64"/>
      <c r="P10" s="65"/>
    </row>
    <row r="11" spans="2:16" ht="17" thickBot="1" x14ac:dyDescent="0.25">
      <c r="B11" s="66"/>
      <c r="C11" s="67"/>
      <c r="D11" s="67"/>
      <c r="E11" s="67"/>
      <c r="F11" s="67"/>
      <c r="G11" s="67"/>
      <c r="H11" s="67"/>
      <c r="I11" s="67"/>
      <c r="J11" s="67"/>
      <c r="K11" s="67"/>
      <c r="L11" s="67"/>
      <c r="M11" s="67"/>
      <c r="N11" s="67"/>
      <c r="O11" s="67"/>
      <c r="P11" s="68"/>
    </row>
    <row r="12" spans="2:16" ht="23" customHeight="1" x14ac:dyDescent="0.2">
      <c r="B12" s="2642" t="s">
        <v>25</v>
      </c>
      <c r="C12" s="2643"/>
      <c r="D12" s="2643"/>
      <c r="E12" s="2643"/>
      <c r="F12" s="2643"/>
      <c r="G12" s="2643"/>
      <c r="H12" s="2643"/>
      <c r="I12" s="2643"/>
      <c r="J12" s="2643"/>
      <c r="K12" s="2643"/>
      <c r="L12" s="2643"/>
      <c r="M12" s="2643"/>
      <c r="N12" s="2643"/>
      <c r="O12" s="2643"/>
      <c r="P12" s="2644"/>
    </row>
    <row r="13" spans="2:16" ht="118" customHeight="1" x14ac:dyDescent="0.2">
      <c r="B13" s="69" t="s">
        <v>26</v>
      </c>
      <c r="C13" s="2574" t="s">
        <v>2338</v>
      </c>
      <c r="D13" s="2575"/>
      <c r="E13" s="2575"/>
      <c r="F13" s="2575"/>
      <c r="G13" s="2575"/>
      <c r="H13" s="2575"/>
      <c r="I13" s="2575"/>
      <c r="J13" s="2575"/>
      <c r="K13" s="2575"/>
      <c r="L13" s="2575"/>
      <c r="M13" s="2575"/>
      <c r="N13" s="2575"/>
      <c r="O13" s="2575"/>
      <c r="P13" s="2576"/>
    </row>
    <row r="14" spans="2:16" ht="105" customHeight="1" x14ac:dyDescent="0.2">
      <c r="B14" s="70" t="s">
        <v>27</v>
      </c>
      <c r="C14" s="2577" t="s">
        <v>988</v>
      </c>
      <c r="D14" s="3030"/>
      <c r="E14" s="3030"/>
      <c r="F14" s="3030"/>
      <c r="G14" s="3030"/>
      <c r="H14" s="3030"/>
      <c r="I14" s="3030"/>
      <c r="J14" s="3030"/>
      <c r="K14" s="3030"/>
      <c r="L14" s="3030"/>
      <c r="M14" s="3030"/>
      <c r="N14" s="3030"/>
      <c r="O14" s="3030"/>
      <c r="P14" s="3031"/>
    </row>
    <row r="15" spans="2:16" ht="53" customHeight="1" x14ac:dyDescent="0.2">
      <c r="B15" s="70" t="s">
        <v>28</v>
      </c>
      <c r="C15" s="2600" t="s">
        <v>2370</v>
      </c>
      <c r="D15" s="2578"/>
      <c r="E15" s="2578"/>
      <c r="F15" s="2578"/>
      <c r="G15" s="2578"/>
      <c r="H15" s="2578"/>
      <c r="I15" s="2578"/>
      <c r="J15" s="2578"/>
      <c r="K15" s="2578"/>
      <c r="L15" s="2578"/>
      <c r="M15" s="2578"/>
      <c r="N15" s="2578"/>
      <c r="O15" s="2578"/>
      <c r="P15" s="2579"/>
    </row>
    <row r="16" spans="2:16" ht="22" customHeight="1" x14ac:dyDescent="0.2">
      <c r="B16" s="70" t="s">
        <v>29</v>
      </c>
      <c r="C16" s="2600" t="s">
        <v>989</v>
      </c>
      <c r="D16" s="2578"/>
      <c r="E16" s="2578"/>
      <c r="F16" s="2578"/>
      <c r="G16" s="2578"/>
      <c r="H16" s="2578"/>
      <c r="I16" s="2578"/>
      <c r="J16" s="2578"/>
      <c r="K16" s="2578"/>
      <c r="L16" s="2578"/>
      <c r="M16" s="2578"/>
      <c r="N16" s="2578"/>
      <c r="O16" s="2578"/>
      <c r="P16" s="2579"/>
    </row>
    <row r="17" spans="2:16" ht="24" customHeight="1" x14ac:dyDescent="0.2">
      <c r="B17" s="70" t="s">
        <v>30</v>
      </c>
      <c r="C17" s="2600" t="s">
        <v>990</v>
      </c>
      <c r="D17" s="2578"/>
      <c r="E17" s="2578"/>
      <c r="F17" s="2578"/>
      <c r="G17" s="2578"/>
      <c r="H17" s="2578"/>
      <c r="I17" s="2578"/>
      <c r="J17" s="2578"/>
      <c r="K17" s="2578"/>
      <c r="L17" s="2578"/>
      <c r="M17" s="2578"/>
      <c r="N17" s="2578"/>
      <c r="O17" s="2578"/>
      <c r="P17" s="2579"/>
    </row>
    <row r="18" spans="2:16" ht="27" customHeight="1" x14ac:dyDescent="0.2">
      <c r="B18" s="70" t="s">
        <v>31</v>
      </c>
      <c r="C18" s="2600" t="s">
        <v>2371</v>
      </c>
      <c r="D18" s="2578"/>
      <c r="E18" s="2578"/>
      <c r="F18" s="2578"/>
      <c r="G18" s="2578"/>
      <c r="H18" s="2578"/>
      <c r="I18" s="2578"/>
      <c r="J18" s="2578"/>
      <c r="K18" s="2578"/>
      <c r="L18" s="2578"/>
      <c r="M18" s="2578"/>
      <c r="N18" s="2578"/>
      <c r="O18" s="2578"/>
      <c r="P18" s="2579"/>
    </row>
    <row r="19" spans="2:16" ht="27" customHeight="1" x14ac:dyDescent="0.2">
      <c r="B19" s="71" t="s">
        <v>33</v>
      </c>
      <c r="C19" s="2580"/>
      <c r="D19" s="2581"/>
      <c r="E19" s="2581"/>
      <c r="F19" s="2581"/>
      <c r="G19" s="2581"/>
      <c r="H19" s="2581"/>
      <c r="I19" s="2581"/>
      <c r="J19" s="2581"/>
      <c r="K19" s="2581"/>
      <c r="L19" s="2581"/>
      <c r="M19" s="2581"/>
      <c r="N19" s="2581"/>
      <c r="O19" s="2581"/>
      <c r="P19" s="2582"/>
    </row>
    <row r="20" spans="2:16" ht="23" customHeight="1" x14ac:dyDescent="0.2"/>
    <row r="21" spans="2:16" ht="23" x14ac:dyDescent="0.2">
      <c r="B21" s="433" t="s">
        <v>1353</v>
      </c>
    </row>
    <row r="23" spans="2:16" ht="20" x14ac:dyDescent="0.2">
      <c r="B23" s="325" t="s">
        <v>1873</v>
      </c>
    </row>
    <row r="24" spans="2:16" ht="21" customHeight="1" x14ac:dyDescent="0.2"/>
    <row r="25" spans="2:16" ht="34" customHeight="1" x14ac:dyDescent="0.2">
      <c r="B25" s="336" t="s">
        <v>991</v>
      </c>
      <c r="C25" s="74" t="s">
        <v>992</v>
      </c>
    </row>
    <row r="26" spans="2:16" ht="21" customHeight="1" x14ac:dyDescent="0.2">
      <c r="B26" s="58" t="s">
        <v>993</v>
      </c>
      <c r="C26" s="1160">
        <f>'9.1 Alimentaire'!C31</f>
        <v>53.380098993002221</v>
      </c>
      <c r="G26" s="86"/>
    </row>
    <row r="27" spans="2:16" ht="33" customHeight="1" x14ac:dyDescent="0.2">
      <c r="B27" s="58" t="s">
        <v>994</v>
      </c>
      <c r="C27" s="1160">
        <f>'9.1 Alimentaire'!C32</f>
        <v>450.24953063662747</v>
      </c>
    </row>
    <row r="28" spans="2:16" ht="39" customHeight="1" x14ac:dyDescent="0.2">
      <c r="B28" s="76" t="s">
        <v>996</v>
      </c>
      <c r="C28" s="329">
        <f>CZ155*2</f>
        <v>41.595245732871298</v>
      </c>
    </row>
    <row r="29" spans="2:16" ht="21" customHeight="1" x14ac:dyDescent="0.2">
      <c r="B29" s="81" t="s">
        <v>496</v>
      </c>
      <c r="C29" s="78">
        <f>'ANNEXE A'!$C$238</f>
        <v>18</v>
      </c>
    </row>
    <row r="30" spans="2:16" ht="21" customHeight="1" x14ac:dyDescent="0.2"/>
    <row r="31" spans="2:16" ht="18" x14ac:dyDescent="0.2">
      <c r="B31" s="75" t="s">
        <v>1876</v>
      </c>
    </row>
    <row r="32" spans="2:16" hidden="1" outlineLevel="1" x14ac:dyDescent="0.2">
      <c r="B32" s="118" t="s">
        <v>1357</v>
      </c>
    </row>
    <row r="33" spans="1:121" ht="24" hidden="1" customHeight="1" outlineLevel="1" x14ac:dyDescent="0.2">
      <c r="B33" s="86" t="s">
        <v>1950</v>
      </c>
    </row>
    <row r="34" spans="1:121" ht="24" hidden="1" customHeight="1" outlineLevel="1" x14ac:dyDescent="0.2">
      <c r="B34" s="55" t="s">
        <v>998</v>
      </c>
    </row>
    <row r="35" spans="1:121" ht="23" hidden="1" customHeight="1" outlineLevel="1" x14ac:dyDescent="0.2">
      <c r="B35" s="86" t="s">
        <v>1951</v>
      </c>
    </row>
    <row r="36" spans="1:121" ht="26" hidden="1" customHeight="1" outlineLevel="1" x14ac:dyDescent="0.2">
      <c r="B36" s="86" t="s">
        <v>1952</v>
      </c>
    </row>
    <row r="37" spans="1:121" ht="25" hidden="1" customHeight="1" outlineLevel="1" x14ac:dyDescent="0.2"/>
    <row r="38" spans="1:121" ht="33" hidden="1" customHeight="1" outlineLevel="1" x14ac:dyDescent="0.2">
      <c r="B38" s="444" t="s">
        <v>1126</v>
      </c>
      <c r="C38" s="1274">
        <f>'ANNEXE A'!$C$238</f>
        <v>18</v>
      </c>
      <c r="D38" s="405"/>
      <c r="E38" s="405"/>
      <c r="F38" s="447"/>
      <c r="G38" s="86"/>
    </row>
    <row r="39" spans="1:121" ht="31" hidden="1" customHeight="1" outlineLevel="1" x14ac:dyDescent="0.2">
      <c r="B39" s="448" t="s">
        <v>1105</v>
      </c>
      <c r="C39" s="1161">
        <f>$C$28</f>
        <v>41.595245732871298</v>
      </c>
      <c r="D39" s="55" t="s">
        <v>685</v>
      </c>
      <c r="F39" s="450"/>
    </row>
    <row r="40" spans="1:121" ht="26" hidden="1" customHeight="1" outlineLevel="1" x14ac:dyDescent="0.2">
      <c r="B40" s="1162" t="s">
        <v>1107</v>
      </c>
      <c r="C40" s="452">
        <f>C26</f>
        <v>53.380098993002221</v>
      </c>
      <c r="D40" s="453"/>
      <c r="E40" s="453"/>
      <c r="F40" s="454"/>
    </row>
    <row r="41" spans="1:121" s="112" customFormat="1" ht="25" hidden="1" customHeight="1" outlineLevel="1" x14ac:dyDescent="0.2">
      <c r="A41" s="55"/>
      <c r="B41" s="55"/>
      <c r="C41" s="55"/>
      <c r="D41" s="55"/>
      <c r="E41" s="55"/>
      <c r="F41" s="55"/>
      <c r="G41" s="55"/>
      <c r="H41" s="55"/>
      <c r="I41" s="55"/>
      <c r="K41" s="55"/>
      <c r="L41" s="55"/>
      <c r="DN41" s="55"/>
      <c r="DO41" s="55"/>
      <c r="DP41" s="55"/>
      <c r="DQ41" s="55"/>
    </row>
    <row r="42" spans="1:121" ht="34" hidden="1" customHeight="1" outlineLevel="1" x14ac:dyDescent="0.2">
      <c r="B42" s="74" t="s">
        <v>911</v>
      </c>
      <c r="C42" s="74" t="s">
        <v>722</v>
      </c>
      <c r="D42" s="74" t="s">
        <v>1943</v>
      </c>
      <c r="E42" s="74" t="s">
        <v>1109</v>
      </c>
      <c r="F42" s="74" t="s">
        <v>59</v>
      </c>
      <c r="G42" s="74" t="s">
        <v>61</v>
      </c>
      <c r="H42" s="74" t="s">
        <v>59</v>
      </c>
      <c r="I42" s="74" t="s">
        <v>724</v>
      </c>
    </row>
    <row r="43" spans="1:121" ht="26" hidden="1" customHeight="1" outlineLevel="1" x14ac:dyDescent="0.2">
      <c r="B43" s="89" t="s">
        <v>748</v>
      </c>
      <c r="C43" s="1270">
        <f>DA157+DA158</f>
        <v>0.82511216926442388</v>
      </c>
      <c r="D43" s="457">
        <f>C43*$C$40*$C$39*$C$38</f>
        <v>32976.804279956224</v>
      </c>
      <c r="E43" s="1271">
        <f>$C$170</f>
        <v>0.17280000000000001</v>
      </c>
      <c r="F43" s="81" t="s">
        <v>696</v>
      </c>
      <c r="G43" s="1272">
        <f>E43*D43</f>
        <v>5698.3917795764355</v>
      </c>
      <c r="H43" s="81" t="s">
        <v>67</v>
      </c>
      <c r="I43" s="1270">
        <f>G43/($G$47*1000)</f>
        <v>0.95501615790307726</v>
      </c>
    </row>
    <row r="44" spans="1:121" ht="26" hidden="1" customHeight="1" outlineLevel="1" x14ac:dyDescent="0.2">
      <c r="B44" s="89" t="s">
        <v>749</v>
      </c>
      <c r="C44" s="1270">
        <f>DA159/2</f>
        <v>4.4467154023389771E-2</v>
      </c>
      <c r="D44" s="457">
        <f t="shared" ref="D44:D46" si="0">C44*$C$40*$C$39*$C$38</f>
        <v>1777.1942891392018</v>
      </c>
      <c r="E44" s="1271">
        <f>$C$172</f>
        <v>0.14599999999999999</v>
      </c>
      <c r="F44" s="81" t="s">
        <v>696</v>
      </c>
      <c r="G44" s="1272">
        <f t="shared" ref="G44:G45" si="1">E44*D44</f>
        <v>259.47036621432346</v>
      </c>
      <c r="H44" s="81" t="s">
        <v>67</v>
      </c>
      <c r="I44" s="1270">
        <f>G44/($G$47*1000)</f>
        <v>4.3485671364303174E-2</v>
      </c>
    </row>
    <row r="45" spans="1:121" ht="26" hidden="1" customHeight="1" outlineLevel="1" x14ac:dyDescent="0.2">
      <c r="B45" s="89" t="s">
        <v>913</v>
      </c>
      <c r="C45" s="1270">
        <f>DA159/2</f>
        <v>4.4467154023389771E-2</v>
      </c>
      <c r="D45" s="457">
        <f t="shared" si="0"/>
        <v>1777.1942891392018</v>
      </c>
      <c r="E45" s="1271">
        <f>$C$173</f>
        <v>5.0299999999999997E-3</v>
      </c>
      <c r="F45" s="81" t="s">
        <v>696</v>
      </c>
      <c r="G45" s="1272">
        <f t="shared" si="1"/>
        <v>8.9392872743701854</v>
      </c>
      <c r="H45" s="81" t="s">
        <v>67</v>
      </c>
      <c r="I45" s="1270">
        <f>G45/($G$47*1000)</f>
        <v>1.4981707326194862E-3</v>
      </c>
    </row>
    <row r="46" spans="1:121" ht="26" hidden="1" customHeight="1" outlineLevel="1" x14ac:dyDescent="0.2">
      <c r="B46" s="89" t="s">
        <v>750</v>
      </c>
      <c r="C46" s="1270">
        <f>DA160+DA161</f>
        <v>8.5954512787806123E-2</v>
      </c>
      <c r="D46" s="457">
        <f t="shared" si="0"/>
        <v>3435.2967399685776</v>
      </c>
      <c r="E46" s="1271">
        <v>0</v>
      </c>
      <c r="F46" s="81" t="s">
        <v>696</v>
      </c>
      <c r="G46" s="1272">
        <f>E46*D46</f>
        <v>0</v>
      </c>
      <c r="H46" s="81" t="s">
        <v>67</v>
      </c>
      <c r="I46" s="1270">
        <f>G46/($G$47*1000)</f>
        <v>0</v>
      </c>
    </row>
    <row r="47" spans="1:121" ht="32" hidden="1" customHeight="1" outlineLevel="1" x14ac:dyDescent="0.2">
      <c r="C47" s="478"/>
      <c r="F47" s="575" t="s">
        <v>198</v>
      </c>
      <c r="G47" s="1653">
        <f>SUM(G43:G46)/1000</f>
        <v>5.9668014330651298</v>
      </c>
      <c r="H47" s="7" t="s">
        <v>71</v>
      </c>
    </row>
    <row r="48" spans="1:121" ht="33" hidden="1" customHeight="1" outlineLevel="1" x14ac:dyDescent="0.2">
      <c r="F48"/>
      <c r="G48"/>
      <c r="H48"/>
    </row>
    <row r="49" spans="2:12" ht="37" customHeight="1" collapsed="1" x14ac:dyDescent="0.2">
      <c r="B49" s="75" t="s">
        <v>1877</v>
      </c>
    </row>
    <row r="50" spans="2:12" ht="30" hidden="1" customHeight="1" outlineLevel="1" x14ac:dyDescent="0.2">
      <c r="B50" s="1273" t="s">
        <v>1115</v>
      </c>
    </row>
    <row r="51" spans="2:12" ht="22" hidden="1" customHeight="1" outlineLevel="1" x14ac:dyDescent="0.2">
      <c r="B51" s="118" t="s">
        <v>1357</v>
      </c>
    </row>
    <row r="52" spans="2:12" ht="22" hidden="1" customHeight="1" outlineLevel="1" x14ac:dyDescent="0.2">
      <c r="B52" s="86" t="s">
        <v>2337</v>
      </c>
    </row>
    <row r="53" spans="2:12" ht="22" hidden="1" customHeight="1" outlineLevel="1" x14ac:dyDescent="0.2">
      <c r="B53" s="86" t="s">
        <v>1121</v>
      </c>
      <c r="L53" s="1163"/>
    </row>
    <row r="54" spans="2:12" ht="22" hidden="1" customHeight="1" outlineLevel="1" x14ac:dyDescent="0.2">
      <c r="B54" s="86" t="s">
        <v>1124</v>
      </c>
    </row>
    <row r="55" spans="2:12" ht="23" hidden="1" customHeight="1" outlineLevel="1" x14ac:dyDescent="0.2"/>
    <row r="56" spans="2:12" ht="26" hidden="1" customHeight="1" outlineLevel="1" x14ac:dyDescent="0.2">
      <c r="B56" s="444" t="s">
        <v>1126</v>
      </c>
      <c r="C56" s="1274">
        <f>'ANNEXE A'!$C$238</f>
        <v>18</v>
      </c>
      <c r="D56" s="405"/>
      <c r="E56" s="405"/>
      <c r="F56" s="447"/>
      <c r="G56" s="86"/>
    </row>
    <row r="57" spans="2:12" hidden="1" outlineLevel="1" x14ac:dyDescent="0.2">
      <c r="B57" s="448" t="s">
        <v>1105</v>
      </c>
      <c r="C57" s="1161">
        <f>$C$28</f>
        <v>41.595245732871298</v>
      </c>
      <c r="D57" s="55" t="s">
        <v>685</v>
      </c>
      <c r="F57" s="450"/>
    </row>
    <row r="58" spans="2:12" ht="28" hidden="1" customHeight="1" outlineLevel="1" x14ac:dyDescent="0.2">
      <c r="B58" s="1162" t="s">
        <v>1127</v>
      </c>
      <c r="C58" s="1275">
        <f>C27*G186</f>
        <v>403.36468278203887</v>
      </c>
      <c r="D58" s="453"/>
      <c r="E58" s="453"/>
      <c r="F58" s="454"/>
    </row>
    <row r="59" spans="2:12" ht="27" hidden="1" customHeight="1" outlineLevel="1" x14ac:dyDescent="0.2"/>
    <row r="60" spans="2:12" ht="36" hidden="1" customHeight="1" outlineLevel="1" x14ac:dyDescent="0.2">
      <c r="B60" s="74" t="s">
        <v>911</v>
      </c>
      <c r="C60" s="74" t="s">
        <v>722</v>
      </c>
      <c r="D60" s="74" t="s">
        <v>1943</v>
      </c>
      <c r="E60" s="74" t="s">
        <v>1109</v>
      </c>
      <c r="F60" s="74" t="s">
        <v>59</v>
      </c>
      <c r="G60" s="74" t="s">
        <v>61</v>
      </c>
      <c r="H60" s="74" t="s">
        <v>59</v>
      </c>
      <c r="I60" s="74" t="s">
        <v>724</v>
      </c>
    </row>
    <row r="61" spans="2:12" ht="24" hidden="1" customHeight="1" outlineLevel="1" x14ac:dyDescent="0.2">
      <c r="B61" s="89" t="s">
        <v>748</v>
      </c>
      <c r="C61" s="1270">
        <f>C43</f>
        <v>0.82511216926442388</v>
      </c>
      <c r="D61" s="457">
        <f>C61*$C$58*$C$57*$C$56</f>
        <v>249187.96421291176</v>
      </c>
      <c r="E61" s="1271">
        <f>$C$170</f>
        <v>0.17280000000000001</v>
      </c>
      <c r="F61" s="81" t="s">
        <v>696</v>
      </c>
      <c r="G61" s="1272">
        <f t="shared" ref="G61:G64" si="2">E61*D61</f>
        <v>43059.680215991153</v>
      </c>
      <c r="H61" s="81" t="s">
        <v>67</v>
      </c>
      <c r="I61" s="1270">
        <f t="shared" ref="I61:I64" si="3">G61/($G$65*1000)</f>
        <v>0.95501615790307726</v>
      </c>
    </row>
    <row r="62" spans="2:12" ht="24" hidden="1" customHeight="1" outlineLevel="1" x14ac:dyDescent="0.2">
      <c r="B62" s="89" t="s">
        <v>749</v>
      </c>
      <c r="C62" s="1270">
        <f>C44</f>
        <v>4.4467154023389771E-2</v>
      </c>
      <c r="D62" s="457">
        <f t="shared" ref="D62:D64" si="4">C62*$C$58*$C$57*$C$56</f>
        <v>13429.300885610206</v>
      </c>
      <c r="E62" s="1271">
        <f>$C$172</f>
        <v>0.14599999999999999</v>
      </c>
      <c r="F62" s="81" t="s">
        <v>696</v>
      </c>
      <c r="G62" s="1272">
        <f t="shared" si="2"/>
        <v>1960.67792929909</v>
      </c>
      <c r="H62" s="81" t="s">
        <v>67</v>
      </c>
      <c r="I62" s="1270">
        <f t="shared" si="3"/>
        <v>4.3485671364303174E-2</v>
      </c>
    </row>
    <row r="63" spans="2:12" ht="24" hidden="1" customHeight="1" outlineLevel="1" x14ac:dyDescent="0.2">
      <c r="B63" s="89" t="s">
        <v>913</v>
      </c>
      <c r="C63" s="1270">
        <f>C45</f>
        <v>4.4467154023389771E-2</v>
      </c>
      <c r="D63" s="457">
        <f t="shared" si="4"/>
        <v>13429.300885610206</v>
      </c>
      <c r="E63" s="1271">
        <f>$C$173</f>
        <v>5.0299999999999997E-3</v>
      </c>
      <c r="F63" s="81" t="s">
        <v>696</v>
      </c>
      <c r="G63" s="1272">
        <f t="shared" si="2"/>
        <v>67.549383454619331</v>
      </c>
      <c r="H63" s="81" t="s">
        <v>67</v>
      </c>
      <c r="I63" s="1270">
        <f t="shared" si="3"/>
        <v>1.498170732619486E-3</v>
      </c>
    </row>
    <row r="64" spans="2:12" ht="24" hidden="1" customHeight="1" outlineLevel="1" x14ac:dyDescent="0.2">
      <c r="B64" s="89" t="s">
        <v>750</v>
      </c>
      <c r="C64" s="1270">
        <f>C46</f>
        <v>8.5954512787806123E-2</v>
      </c>
      <c r="D64" s="457">
        <f t="shared" si="4"/>
        <v>25958.68883572604</v>
      </c>
      <c r="E64" s="1271">
        <v>0</v>
      </c>
      <c r="F64" s="81" t="s">
        <v>696</v>
      </c>
      <c r="G64" s="1272">
        <f t="shared" si="2"/>
        <v>0</v>
      </c>
      <c r="H64" s="81" t="s">
        <v>67</v>
      </c>
      <c r="I64" s="1270">
        <f t="shared" si="3"/>
        <v>0</v>
      </c>
    </row>
    <row r="65" spans="2:11" ht="24" hidden="1" customHeight="1" outlineLevel="1" x14ac:dyDescent="0.2">
      <c r="C65" s="478"/>
      <c r="F65" s="575" t="s">
        <v>198</v>
      </c>
      <c r="G65" s="1653">
        <f>SUM(G61:G64)/1000</f>
        <v>45.087907528744864</v>
      </c>
      <c r="H65" s="7" t="s">
        <v>71</v>
      </c>
    </row>
    <row r="66" spans="2:11" ht="24" hidden="1" customHeight="1" outlineLevel="1" x14ac:dyDescent="0.2">
      <c r="F66"/>
      <c r="G66"/>
      <c r="H66"/>
      <c r="I66"/>
    </row>
    <row r="67" spans="2:11" ht="19" hidden="1" customHeight="1" outlineLevel="1" x14ac:dyDescent="0.2">
      <c r="B67" s="1276" t="s">
        <v>1132</v>
      </c>
    </row>
    <row r="68" spans="2:11" ht="24" hidden="1" customHeight="1" outlineLevel="1" x14ac:dyDescent="0.2">
      <c r="B68" s="118" t="s">
        <v>1357</v>
      </c>
    </row>
    <row r="69" spans="2:11" ht="24" hidden="1" customHeight="1" outlineLevel="1" x14ac:dyDescent="0.2">
      <c r="B69" s="86" t="s">
        <v>2366</v>
      </c>
    </row>
    <row r="70" spans="2:11" ht="24" hidden="1" customHeight="1" outlineLevel="1" x14ac:dyDescent="0.2">
      <c r="B70" s="86" t="s">
        <v>1133</v>
      </c>
    </row>
    <row r="71" spans="2:11" ht="24" hidden="1" customHeight="1" outlineLevel="1" x14ac:dyDescent="0.2">
      <c r="B71" s="86" t="s">
        <v>1134</v>
      </c>
    </row>
    <row r="72" spans="2:11" ht="24" hidden="1" customHeight="1" outlineLevel="1" x14ac:dyDescent="0.2"/>
    <row r="73" spans="2:11" ht="24" hidden="1" customHeight="1" outlineLevel="1" x14ac:dyDescent="0.2">
      <c r="B73" s="444" t="s">
        <v>711</v>
      </c>
      <c r="C73" s="1274">
        <f>'ANNEXE A'!$C$238</f>
        <v>18</v>
      </c>
      <c r="D73" s="405" t="s">
        <v>580</v>
      </c>
      <c r="E73" s="405"/>
      <c r="F73" s="447"/>
    </row>
    <row r="74" spans="2:11" ht="24" hidden="1" customHeight="1" outlineLevel="1" x14ac:dyDescent="0.2">
      <c r="B74" s="448" t="s">
        <v>1135</v>
      </c>
      <c r="C74" s="1161">
        <f>'ANNEXE A'!C239</f>
        <v>1120</v>
      </c>
      <c r="D74" s="55" t="s">
        <v>685</v>
      </c>
      <c r="E74" s="86"/>
      <c r="F74" s="450"/>
    </row>
    <row r="75" spans="2:11" ht="24" hidden="1" customHeight="1" outlineLevel="1" x14ac:dyDescent="0.2">
      <c r="B75" s="1162" t="s">
        <v>1127</v>
      </c>
      <c r="C75" s="1275">
        <f>G185*C27</f>
        <v>46.884847854588571</v>
      </c>
      <c r="D75" s="453"/>
      <c r="E75" s="1277"/>
      <c r="F75" s="454"/>
    </row>
    <row r="76" spans="2:11" ht="24" hidden="1" customHeight="1" outlineLevel="1" x14ac:dyDescent="0.2"/>
    <row r="77" spans="2:11" ht="27" hidden="1" customHeight="1" outlineLevel="1" x14ac:dyDescent="0.2">
      <c r="B77" s="74" t="s">
        <v>911</v>
      </c>
      <c r="C77" s="74" t="s">
        <v>722</v>
      </c>
      <c r="D77" s="74" t="s">
        <v>1943</v>
      </c>
      <c r="E77" s="74" t="s">
        <v>1109</v>
      </c>
      <c r="F77" s="74" t="s">
        <v>59</v>
      </c>
      <c r="G77" s="74" t="s">
        <v>61</v>
      </c>
      <c r="H77" s="74" t="s">
        <v>59</v>
      </c>
      <c r="I77" s="74" t="s">
        <v>724</v>
      </c>
    </row>
    <row r="78" spans="2:11" ht="23" hidden="1" customHeight="1" outlineLevel="1" x14ac:dyDescent="0.2">
      <c r="B78" s="81" t="s">
        <v>748</v>
      </c>
      <c r="C78" s="1270">
        <f>'16'!E264</f>
        <v>0.745</v>
      </c>
      <c r="D78" s="329">
        <f>C78*$C$74*$C$75*$C$73</f>
        <v>704172.90689763671</v>
      </c>
      <c r="E78" s="1278">
        <f>C137</f>
        <v>9.8181818181818176E-2</v>
      </c>
      <c r="F78" s="81" t="s">
        <v>696</v>
      </c>
      <c r="G78" s="1272">
        <f t="shared" ref="G78:G81" si="5">E78*D78</f>
        <v>69136.976313586143</v>
      </c>
      <c r="H78" s="81" t="s">
        <v>67</v>
      </c>
      <c r="I78" s="1270">
        <f t="shared" ref="I78:I81" si="6">G78/($G$82*1000)</f>
        <v>0.88427435760424289</v>
      </c>
    </row>
    <row r="79" spans="2:11" ht="23" hidden="1" customHeight="1" outlineLevel="1" x14ac:dyDescent="0.2">
      <c r="B79" s="81" t="s">
        <v>726</v>
      </c>
      <c r="C79" s="1270">
        <f>'16'!E265</f>
        <v>0.14000000000000001</v>
      </c>
      <c r="D79" s="329">
        <f t="shared" ref="D79:D81" si="7">C79*$C$74*$C$75*$C$73</f>
        <v>132327.7945847908</v>
      </c>
      <c r="E79" s="216">
        <f>C146</f>
        <v>3.3400000000000001E-3</v>
      </c>
      <c r="F79" s="81" t="s">
        <v>696</v>
      </c>
      <c r="G79" s="1272">
        <f t="shared" si="5"/>
        <v>441.97483391320128</v>
      </c>
      <c r="H79" s="81" t="s">
        <v>67</v>
      </c>
      <c r="I79" s="1270">
        <f t="shared" si="6"/>
        <v>5.6529375910678407E-3</v>
      </c>
    </row>
    <row r="80" spans="2:11" ht="23" hidden="1" customHeight="1" outlineLevel="1" x14ac:dyDescent="0.2">
      <c r="B80" s="81" t="s">
        <v>728</v>
      </c>
      <c r="C80" s="1270">
        <f>'16'!E266</f>
        <v>0.09</v>
      </c>
      <c r="D80" s="329">
        <f t="shared" si="7"/>
        <v>85067.867947365507</v>
      </c>
      <c r="E80" s="1278">
        <f>C141</f>
        <v>2.9499999999999998E-2</v>
      </c>
      <c r="F80" s="81" t="s">
        <v>696</v>
      </c>
      <c r="G80" s="1272">
        <f t="shared" si="5"/>
        <v>2509.5021044472824</v>
      </c>
      <c r="H80" s="81" t="s">
        <v>67</v>
      </c>
      <c r="I80" s="1270">
        <f t="shared" si="6"/>
        <v>3.2096983114382194E-2</v>
      </c>
      <c r="J80" s="1164"/>
      <c r="K80" s="1164"/>
    </row>
    <row r="81" spans="2:16" ht="23" hidden="1" customHeight="1" outlineLevel="1" x14ac:dyDescent="0.2">
      <c r="B81" s="81" t="s">
        <v>742</v>
      </c>
      <c r="C81" s="1270">
        <f>'16'!E267</f>
        <v>2.5000000000000001E-2</v>
      </c>
      <c r="D81" s="329">
        <f t="shared" si="7"/>
        <v>23629.963318712642</v>
      </c>
      <c r="E81" s="1278">
        <f>C142</f>
        <v>0.25800000000000001</v>
      </c>
      <c r="F81" s="81" t="s">
        <v>696</v>
      </c>
      <c r="G81" s="1272">
        <f t="shared" si="5"/>
        <v>6096.5305362278614</v>
      </c>
      <c r="H81" s="81" t="s">
        <v>67</v>
      </c>
      <c r="I81" s="1270">
        <f t="shared" si="6"/>
        <v>7.7975721690307032E-2</v>
      </c>
      <c r="J81" s="1164"/>
      <c r="K81" s="1164"/>
    </row>
    <row r="82" spans="2:16" ht="23" hidden="1" customHeight="1" outlineLevel="1" x14ac:dyDescent="0.2">
      <c r="D82" s="1279"/>
      <c r="F82" s="575" t="s">
        <v>198</v>
      </c>
      <c r="G82" s="1653">
        <f>SUM(G78:G81)/1000</f>
        <v>78.184983788174492</v>
      </c>
      <c r="H82" s="7" t="s">
        <v>71</v>
      </c>
    </row>
    <row r="83" spans="2:16" ht="23" hidden="1" customHeight="1" outlineLevel="1" x14ac:dyDescent="0.2">
      <c r="F83"/>
      <c r="G83"/>
      <c r="H83"/>
      <c r="I83"/>
      <c r="M83"/>
      <c r="N83"/>
      <c r="O83"/>
      <c r="P83"/>
    </row>
    <row r="84" spans="2:16" ht="23" customHeight="1" collapsed="1" x14ac:dyDescent="0.2">
      <c r="B84" s="75" t="s">
        <v>1878</v>
      </c>
    </row>
    <row r="85" spans="2:16" ht="23" hidden="1" customHeight="1" outlineLevel="1" x14ac:dyDescent="0.2">
      <c r="B85" s="118" t="s">
        <v>1357</v>
      </c>
    </row>
    <row r="86" spans="2:16" ht="23" hidden="1" customHeight="1" outlineLevel="1" x14ac:dyDescent="0.2">
      <c r="B86" s="86" t="s">
        <v>2111</v>
      </c>
    </row>
    <row r="87" spans="2:16" ht="92" hidden="1" customHeight="1" outlineLevel="1" x14ac:dyDescent="0.2">
      <c r="B87" s="2685" t="s">
        <v>2372</v>
      </c>
      <c r="C87" s="2685"/>
      <c r="D87" s="2685"/>
      <c r="E87" s="2685"/>
      <c r="F87" s="2685"/>
      <c r="G87" s="2685"/>
      <c r="H87" s="2685"/>
    </row>
    <row r="88" spans="2:16" ht="24" hidden="1" customHeight="1" outlineLevel="1" x14ac:dyDescent="0.2">
      <c r="B88" s="55" t="s">
        <v>2114</v>
      </c>
    </row>
    <row r="89" spans="2:16" ht="39" hidden="1" customHeight="1" outlineLevel="1" x14ac:dyDescent="0.2">
      <c r="B89" s="1778" t="s">
        <v>2112</v>
      </c>
      <c r="C89" s="449">
        <f>(200*20+75*20+125*14+70*16+50*12)/(20+20+14+16+12)</f>
        <v>109.39024390243902</v>
      </c>
      <c r="D89" s="2685" t="s">
        <v>916</v>
      </c>
      <c r="E89" s="2685"/>
      <c r="F89" s="2685"/>
      <c r="G89" s="2685"/>
      <c r="H89" s="2685"/>
      <c r="I89" s="2685"/>
    </row>
    <row r="90" spans="2:16" ht="23" hidden="1" customHeight="1" outlineLevel="1" x14ac:dyDescent="0.2">
      <c r="B90" s="86" t="s">
        <v>1879</v>
      </c>
      <c r="C90" s="346">
        <f>218-C38</f>
        <v>200</v>
      </c>
      <c r="D90" s="55" t="s">
        <v>2113</v>
      </c>
    </row>
    <row r="91" spans="2:16" ht="23" hidden="1" customHeight="1" outlineLevel="1" x14ac:dyDescent="0.2">
      <c r="B91" s="86" t="s">
        <v>1953</v>
      </c>
      <c r="C91" s="449">
        <f>C39</f>
        <v>41.595245732871298</v>
      </c>
      <c r="D91" s="55" t="s">
        <v>685</v>
      </c>
    </row>
    <row r="92" spans="2:16" ht="23" hidden="1" customHeight="1" outlineLevel="1" x14ac:dyDescent="0.2">
      <c r="B92" s="1999" t="s">
        <v>2110</v>
      </c>
    </row>
    <row r="93" spans="2:16" ht="23" hidden="1" customHeight="1" outlineLevel="1" x14ac:dyDescent="0.2">
      <c r="B93" s="1999"/>
    </row>
    <row r="94" spans="2:16" ht="23" hidden="1" customHeight="1" outlineLevel="1" x14ac:dyDescent="0.2">
      <c r="B94" s="74" t="s">
        <v>911</v>
      </c>
      <c r="C94" s="74" t="s">
        <v>722</v>
      </c>
      <c r="D94" s="74" t="s">
        <v>1875</v>
      </c>
      <c r="E94" s="74" t="s">
        <v>1109</v>
      </c>
      <c r="F94" s="74" t="s">
        <v>59</v>
      </c>
      <c r="G94" s="74" t="s">
        <v>149</v>
      </c>
      <c r="H94" s="74" t="s">
        <v>59</v>
      </c>
      <c r="I94" s="74" t="s">
        <v>724</v>
      </c>
    </row>
    <row r="95" spans="2:16" ht="23" hidden="1" customHeight="1" outlineLevel="1" x14ac:dyDescent="0.2">
      <c r="B95" s="89" t="s">
        <v>748</v>
      </c>
      <c r="C95" s="1270">
        <f>C43</f>
        <v>0.82511216926442388</v>
      </c>
      <c r="D95" s="457">
        <f>C95*$C$90*$C$91*$C$89</f>
        <v>750870.89911339944</v>
      </c>
      <c r="E95" s="1271">
        <f>$C$170</f>
        <v>0.17280000000000001</v>
      </c>
      <c r="F95" s="81" t="s">
        <v>696</v>
      </c>
      <c r="G95" s="502">
        <f>E95*D95</f>
        <v>129750.49136679542</v>
      </c>
      <c r="H95" s="81" t="s">
        <v>67</v>
      </c>
      <c r="I95" s="1270">
        <f>G95/($G$99*1000)</f>
        <v>0.95501615790307726</v>
      </c>
    </row>
    <row r="96" spans="2:16" ht="23" hidden="1" customHeight="1" outlineLevel="1" x14ac:dyDescent="0.2">
      <c r="B96" s="89" t="s">
        <v>749</v>
      </c>
      <c r="C96" s="1270">
        <f>C44</f>
        <v>4.4467154023389771E-2</v>
      </c>
      <c r="D96" s="457">
        <f>C96*$C$90*$C$91*$C$89</f>
        <v>40466.124687413852</v>
      </c>
      <c r="E96" s="1271">
        <f>$C$172</f>
        <v>0.14599999999999999</v>
      </c>
      <c r="F96" s="81" t="s">
        <v>696</v>
      </c>
      <c r="G96" s="502">
        <f t="shared" ref="G96:G98" si="8">E96*D96</f>
        <v>5908.0542043624218</v>
      </c>
      <c r="H96" s="81" t="s">
        <v>67</v>
      </c>
      <c r="I96" s="1270">
        <f t="shared" ref="I96:I98" si="9">G96/($G$99*1000)</f>
        <v>4.3485671364303174E-2</v>
      </c>
    </row>
    <row r="97" spans="2:12" ht="23" hidden="1" customHeight="1" outlineLevel="1" x14ac:dyDescent="0.2">
      <c r="B97" s="89" t="s">
        <v>913</v>
      </c>
      <c r="C97" s="1270">
        <f>C45</f>
        <v>4.4467154023389771E-2</v>
      </c>
      <c r="D97" s="457">
        <f>C97*$C$90*$C$91*$C$89</f>
        <v>40466.124687413852</v>
      </c>
      <c r="E97" s="1271">
        <f>$C$173</f>
        <v>5.0299999999999997E-3</v>
      </c>
      <c r="F97" s="81" t="s">
        <v>696</v>
      </c>
      <c r="G97" s="502">
        <f t="shared" si="8"/>
        <v>203.54460717769166</v>
      </c>
      <c r="H97" s="81" t="s">
        <v>67</v>
      </c>
      <c r="I97" s="1270">
        <f t="shared" si="9"/>
        <v>1.4981707326194862E-3</v>
      </c>
    </row>
    <row r="98" spans="2:12" ht="23" hidden="1" customHeight="1" outlineLevel="1" x14ac:dyDescent="0.2">
      <c r="B98" s="89" t="s">
        <v>750</v>
      </c>
      <c r="C98" s="1270">
        <f>C46</f>
        <v>8.5954512787806123E-2</v>
      </c>
      <c r="D98" s="457">
        <f>C98*$C$90*$C$91*$C$89</f>
        <v>78220.56770459628</v>
      </c>
      <c r="E98" s="1271">
        <v>0</v>
      </c>
      <c r="F98" s="81" t="s">
        <v>696</v>
      </c>
      <c r="G98" s="502">
        <f t="shared" si="8"/>
        <v>0</v>
      </c>
      <c r="H98" s="81" t="s">
        <v>67</v>
      </c>
      <c r="I98" s="1270">
        <f t="shared" si="9"/>
        <v>0</v>
      </c>
    </row>
    <row r="99" spans="2:12" ht="23" hidden="1" customHeight="1" outlineLevel="1" x14ac:dyDescent="0.2">
      <c r="C99" s="478"/>
      <c r="F99" s="575" t="s">
        <v>198</v>
      </c>
      <c r="G99" s="1653">
        <f>SUM(G95:G98)/1000</f>
        <v>135.86209017833556</v>
      </c>
      <c r="H99" s="7" t="s">
        <v>71</v>
      </c>
    </row>
    <row r="100" spans="2:12" ht="23" hidden="1" customHeight="1" outlineLevel="1" x14ac:dyDescent="0.2">
      <c r="F100" s="1591"/>
      <c r="G100" s="1591"/>
      <c r="H100" s="1591"/>
    </row>
    <row r="101" spans="2:12" ht="23" customHeight="1" collapsed="1" x14ac:dyDescent="0.2">
      <c r="F101" s="474"/>
      <c r="G101" s="1571"/>
      <c r="H101" s="328"/>
    </row>
    <row r="102" spans="2:12" ht="23" customHeight="1" x14ac:dyDescent="0.2">
      <c r="B102" s="325" t="s">
        <v>1651</v>
      </c>
    </row>
    <row r="103" spans="2:12" ht="23" customHeight="1" x14ac:dyDescent="0.2">
      <c r="B103" s="232" t="s">
        <v>1365</v>
      </c>
      <c r="C103"/>
      <c r="D103"/>
    </row>
    <row r="104" spans="2:12" ht="23" customHeight="1" x14ac:dyDescent="0.2">
      <c r="B104" s="1570" t="s">
        <v>1880</v>
      </c>
      <c r="C104"/>
      <c r="D104"/>
    </row>
    <row r="105" spans="2:12" ht="23" customHeight="1" thickBot="1" x14ac:dyDescent="0.25">
      <c r="B105" s="1280"/>
      <c r="C105"/>
      <c r="D105"/>
    </row>
    <row r="106" spans="2:12" ht="40" customHeight="1" thickBot="1" x14ac:dyDescent="0.25">
      <c r="B106" s="112"/>
      <c r="C106" s="1266"/>
      <c r="D106" s="1267" t="s">
        <v>1653</v>
      </c>
      <c r="E106" s="1268" t="s">
        <v>1652</v>
      </c>
      <c r="F106" s="1269" t="s">
        <v>1158</v>
      </c>
    </row>
    <row r="107" spans="2:12" ht="29" customHeight="1" thickBot="1" x14ac:dyDescent="0.25">
      <c r="B107" s="1287" t="s">
        <v>1546</v>
      </c>
      <c r="C107" s="737" t="s">
        <v>1546</v>
      </c>
      <c r="D107" s="844">
        <f>$C$40/'ANNEXE A'!$C$242*'ANNEXE A'!$C$247+$C$89*'ANNEXE A'!$C$237*$C$90</f>
        <v>1871350.9352750094</v>
      </c>
      <c r="E107" s="1281">
        <f>$C$58/'ANNEXE A'!$C$242*'ANNEXE A'!$C$247</f>
        <v>584499.39319498779</v>
      </c>
      <c r="F107" s="850">
        <f>$C$75/'ANNEXE A'!$C$242*'ANNEXE A'!$C$247</f>
        <v>67938.930429004351</v>
      </c>
      <c r="G107"/>
      <c r="H107"/>
      <c r="I107"/>
    </row>
    <row r="108" spans="2:12" ht="29" customHeight="1" thickBot="1" x14ac:dyDescent="0.25">
      <c r="B108" s="1286" t="s">
        <v>773</v>
      </c>
      <c r="C108" s="1228" t="s">
        <v>1654</v>
      </c>
      <c r="D108" s="1247">
        <f>C39</f>
        <v>41.595245732871298</v>
      </c>
      <c r="E108" s="1248">
        <f>C57</f>
        <v>41.595245732871298</v>
      </c>
      <c r="F108" s="1259">
        <f>C74</f>
        <v>1120</v>
      </c>
    </row>
    <row r="109" spans="2:12" ht="29" customHeight="1" x14ac:dyDescent="0.2">
      <c r="B109" s="3038" t="s">
        <v>722</v>
      </c>
      <c r="C109" s="1105" t="s">
        <v>1648</v>
      </c>
      <c r="D109" s="1243">
        <f>$C$43</f>
        <v>0.82511216926442388</v>
      </c>
      <c r="E109" s="1244">
        <f>$C$61</f>
        <v>0.82511216926442388</v>
      </c>
      <c r="F109" s="855">
        <f>$C$78</f>
        <v>0.745</v>
      </c>
    </row>
    <row r="110" spans="2:12" ht="29" customHeight="1" x14ac:dyDescent="0.2">
      <c r="B110" s="3039"/>
      <c r="C110" s="1107" t="s">
        <v>1649</v>
      </c>
      <c r="D110" s="1229">
        <f>$C$44</f>
        <v>4.4467154023389771E-2</v>
      </c>
      <c r="E110" s="1230">
        <f>$C$62</f>
        <v>4.4467154023389771E-2</v>
      </c>
      <c r="F110" s="276"/>
      <c r="L110" s="483"/>
    </row>
    <row r="111" spans="2:12" ht="29" customHeight="1" x14ac:dyDescent="0.2">
      <c r="B111" s="3039"/>
      <c r="C111" s="1107" t="s">
        <v>930</v>
      </c>
      <c r="D111" s="1229">
        <f>$C$45</f>
        <v>4.4467154023389771E-2</v>
      </c>
      <c r="E111" s="1230">
        <f>$C$63</f>
        <v>4.4467154023389771E-2</v>
      </c>
      <c r="F111" s="276"/>
    </row>
    <row r="112" spans="2:12" ht="29" customHeight="1" x14ac:dyDescent="0.2">
      <c r="B112" s="3039"/>
      <c r="C112" s="1107" t="s">
        <v>1650</v>
      </c>
      <c r="D112" s="1229">
        <f>$C$46</f>
        <v>8.5954512787806123E-2</v>
      </c>
      <c r="E112" s="1230">
        <f>$C$64</f>
        <v>8.5954512787806123E-2</v>
      </c>
      <c r="F112" s="276"/>
    </row>
    <row r="113" spans="2:6" ht="29" customHeight="1" x14ac:dyDescent="0.2">
      <c r="B113" s="3039"/>
      <c r="C113" s="1107" t="s">
        <v>931</v>
      </c>
      <c r="D113" s="1229"/>
      <c r="E113" s="1230"/>
      <c r="F113" s="725">
        <f>$C$79</f>
        <v>0.14000000000000001</v>
      </c>
    </row>
    <row r="114" spans="2:6" ht="29" customHeight="1" x14ac:dyDescent="0.2">
      <c r="B114" s="3039"/>
      <c r="C114" s="1107" t="s">
        <v>1159</v>
      </c>
      <c r="D114" s="1229"/>
      <c r="E114" s="1230"/>
      <c r="F114" s="725">
        <f>$C$80</f>
        <v>0.09</v>
      </c>
    </row>
    <row r="115" spans="2:6" ht="29" customHeight="1" thickBot="1" x14ac:dyDescent="0.25">
      <c r="B115" s="3040"/>
      <c r="C115" s="1232" t="s">
        <v>1160</v>
      </c>
      <c r="D115" s="1233"/>
      <c r="E115" s="1234"/>
      <c r="F115" s="636">
        <f>$C$81</f>
        <v>2.5000000000000001E-2</v>
      </c>
    </row>
    <row r="116" spans="2:6" ht="29" customHeight="1" x14ac:dyDescent="0.2">
      <c r="B116" s="3038" t="s">
        <v>775</v>
      </c>
      <c r="C116" s="1260" t="s">
        <v>1161</v>
      </c>
      <c r="D116" s="1039">
        <f>$E$43</f>
        <v>0.17280000000000001</v>
      </c>
      <c r="E116" s="1236">
        <f>$E$61</f>
        <v>0.17280000000000001</v>
      </c>
      <c r="F116" s="1195">
        <f>$E$78</f>
        <v>9.8181818181818176E-2</v>
      </c>
    </row>
    <row r="117" spans="2:6" ht="29" customHeight="1" x14ac:dyDescent="0.2">
      <c r="B117" s="3039"/>
      <c r="C117" s="1261" t="s">
        <v>1162</v>
      </c>
      <c r="D117" s="1238">
        <f>$E$44</f>
        <v>0.14599999999999999</v>
      </c>
      <c r="E117" s="1239">
        <f>$E$62</f>
        <v>0.14599999999999999</v>
      </c>
      <c r="F117" s="57"/>
    </row>
    <row r="118" spans="2:6" ht="29" customHeight="1" x14ac:dyDescent="0.2">
      <c r="B118" s="3039"/>
      <c r="C118" s="1261" t="s">
        <v>1163</v>
      </c>
      <c r="D118" s="1238">
        <f>$E$45</f>
        <v>5.0299999999999997E-3</v>
      </c>
      <c r="E118" s="1239">
        <f>$E$63</f>
        <v>5.0299999999999997E-3</v>
      </c>
      <c r="F118" s="57"/>
    </row>
    <row r="119" spans="2:6" ht="29" customHeight="1" x14ac:dyDescent="0.2">
      <c r="B119" s="3039"/>
      <c r="C119" s="1261" t="s">
        <v>1164</v>
      </c>
      <c r="D119" s="1238">
        <f>$E$46</f>
        <v>0</v>
      </c>
      <c r="E119" s="1239">
        <f>$E$64</f>
        <v>0</v>
      </c>
      <c r="F119" s="57"/>
    </row>
    <row r="120" spans="2:6" ht="29" customHeight="1" x14ac:dyDescent="0.2">
      <c r="B120" s="3039"/>
      <c r="C120" s="1262" t="s">
        <v>758</v>
      </c>
      <c r="D120" s="1041"/>
      <c r="E120" s="748"/>
      <c r="F120" s="1196">
        <f>$E$79</f>
        <v>3.3400000000000001E-3</v>
      </c>
    </row>
    <row r="121" spans="2:6" ht="29" customHeight="1" x14ac:dyDescent="0.2">
      <c r="B121" s="3039"/>
      <c r="C121" s="1262" t="s">
        <v>759</v>
      </c>
      <c r="D121" s="1041"/>
      <c r="E121" s="750"/>
      <c r="F121" s="1197">
        <f>$E$80</f>
        <v>2.9499999999999998E-2</v>
      </c>
    </row>
    <row r="122" spans="2:6" ht="29" customHeight="1" thickBot="1" x14ac:dyDescent="0.25">
      <c r="B122" s="3040"/>
      <c r="C122" s="1263" t="s">
        <v>761</v>
      </c>
      <c r="D122" s="1264"/>
      <c r="E122" s="1234"/>
      <c r="F122" s="1265">
        <f>$E$81</f>
        <v>0.25800000000000001</v>
      </c>
    </row>
    <row r="123" spans="2:6" ht="29" customHeight="1" thickBot="1" x14ac:dyDescent="0.25">
      <c r="C123" s="1255" t="s">
        <v>764</v>
      </c>
      <c r="D123" s="1282">
        <f>D107*D108*SUMPRODUCT(D109:D115,D116:D122)/10^3</f>
        <v>11621.038606989388</v>
      </c>
      <c r="E123" s="1283">
        <f>E107*E108*SUMPRODUCT(E109:E115,E116:E122)/10^3</f>
        <v>3629.7253957246753</v>
      </c>
      <c r="F123" s="1284">
        <f>F107*F108*SUMPRODUCT(F109:F115,F116:F122)/10^3</f>
        <v>6294.14929134457</v>
      </c>
    </row>
    <row r="124" spans="2:6" ht="29" customHeight="1" thickBot="1" x14ac:dyDescent="0.25">
      <c r="C124" s="1256" t="s">
        <v>783</v>
      </c>
      <c r="D124" s="1288">
        <f>D123+E123+F123</f>
        <v>21544.913294058635</v>
      </c>
      <c r="E124" s="1285"/>
      <c r="F124" s="1285"/>
    </row>
    <row r="125" spans="2:6" customFormat="1" ht="20" customHeight="1" x14ac:dyDescent="0.2"/>
    <row r="126" spans="2:6" ht="20" customHeight="1" thickBot="1" x14ac:dyDescent="0.25">
      <c r="B126" s="2"/>
      <c r="C126" s="2"/>
      <c r="D126" s="2"/>
    </row>
    <row r="127" spans="2:6" ht="39" customHeight="1" thickBot="1" x14ac:dyDescent="0.25">
      <c r="B127" s="862" t="s">
        <v>765</v>
      </c>
      <c r="C127" s="863">
        <f>D124</f>
        <v>21544.913294058635</v>
      </c>
      <c r="D127" s="864" t="s">
        <v>71</v>
      </c>
    </row>
    <row r="128" spans="2:6" ht="20" customHeight="1" x14ac:dyDescent="0.2"/>
    <row r="129" spans="2:9" ht="20" customHeight="1" x14ac:dyDescent="0.2"/>
    <row r="130" spans="2:9" ht="20" customHeight="1" x14ac:dyDescent="0.2"/>
    <row r="131" spans="2:9" ht="20" customHeight="1" x14ac:dyDescent="0.2">
      <c r="B131" s="433" t="s">
        <v>1352</v>
      </c>
    </row>
    <row r="132" spans="2:9" ht="20" hidden="1" customHeight="1" outlineLevel="1" x14ac:dyDescent="0.2"/>
    <row r="133" spans="2:9" ht="20" hidden="1" customHeight="1" outlineLevel="1" x14ac:dyDescent="0.2">
      <c r="B133" s="1634" t="s">
        <v>692</v>
      </c>
    </row>
    <row r="134" spans="2:9" ht="20" hidden="1" customHeight="1" outlineLevel="1" x14ac:dyDescent="0.2">
      <c r="B134" s="474"/>
    </row>
    <row r="135" spans="2:9" ht="20" hidden="1" customHeight="1" outlineLevel="1" x14ac:dyDescent="0.2">
      <c r="B135" s="60" t="s">
        <v>124</v>
      </c>
      <c r="C135" s="60" t="s">
        <v>36</v>
      </c>
      <c r="D135" s="60" t="s">
        <v>59</v>
      </c>
      <c r="E135" s="60" t="s">
        <v>125</v>
      </c>
      <c r="G135" s="328" t="s">
        <v>693</v>
      </c>
    </row>
    <row r="136" spans="2:9" ht="20" hidden="1" customHeight="1" outlineLevel="1" x14ac:dyDescent="0.2">
      <c r="B136" s="81" t="s">
        <v>695</v>
      </c>
      <c r="C136" s="217">
        <f>H139</f>
        <v>0.17280000000000001</v>
      </c>
      <c r="D136" s="81" t="s">
        <v>730</v>
      </c>
      <c r="E136" s="77" t="s">
        <v>697</v>
      </c>
      <c r="G136" s="1165"/>
      <c r="H136" s="1166" t="s">
        <v>713</v>
      </c>
      <c r="I136" s="475" t="s">
        <v>37</v>
      </c>
    </row>
    <row r="137" spans="2:9" ht="20" hidden="1" customHeight="1" outlineLevel="1" x14ac:dyDescent="0.2">
      <c r="B137" s="81" t="s">
        <v>698</v>
      </c>
      <c r="C137" s="267">
        <f>H145</f>
        <v>9.8181818181818176E-2</v>
      </c>
      <c r="D137" s="81" t="s">
        <v>730</v>
      </c>
      <c r="E137" s="77" t="s">
        <v>699</v>
      </c>
      <c r="G137" s="1167" t="s">
        <v>867</v>
      </c>
      <c r="H137" s="216">
        <v>0.216</v>
      </c>
      <c r="I137" s="298"/>
    </row>
    <row r="138" spans="2:9" ht="20" hidden="1" customHeight="1" outlineLevel="1" x14ac:dyDescent="0.2">
      <c r="B138" s="81" t="s">
        <v>704</v>
      </c>
      <c r="C138" s="216">
        <v>0.14599999999999999</v>
      </c>
      <c r="D138" s="81" t="s">
        <v>696</v>
      </c>
      <c r="E138" s="81" t="s">
        <v>127</v>
      </c>
      <c r="G138" s="1167" t="s">
        <v>868</v>
      </c>
      <c r="H138" s="216">
        <v>1.25</v>
      </c>
      <c r="I138" s="94" t="s">
        <v>995</v>
      </c>
    </row>
    <row r="139" spans="2:9" ht="20" hidden="1" customHeight="1" outlineLevel="1" x14ac:dyDescent="0.2">
      <c r="B139" s="81" t="s">
        <v>706</v>
      </c>
      <c r="C139" s="216">
        <v>0.13700000000000001</v>
      </c>
      <c r="D139" s="81" t="s">
        <v>696</v>
      </c>
      <c r="E139" s="81" t="s">
        <v>127</v>
      </c>
      <c r="G139" s="1167" t="s">
        <v>707</v>
      </c>
      <c r="H139" s="1168">
        <f>H137/H138</f>
        <v>0.17280000000000001</v>
      </c>
      <c r="I139" s="298"/>
    </row>
    <row r="140" spans="2:9" ht="20" hidden="1" customHeight="1" outlineLevel="1" x14ac:dyDescent="0.2">
      <c r="B140" s="81" t="s">
        <v>708</v>
      </c>
      <c r="C140" s="216">
        <v>0.129</v>
      </c>
      <c r="D140" s="81" t="s">
        <v>696</v>
      </c>
      <c r="E140" s="81" t="s">
        <v>127</v>
      </c>
    </row>
    <row r="141" spans="2:9" ht="20" hidden="1" customHeight="1" outlineLevel="1" x14ac:dyDescent="0.2">
      <c r="B141" s="81" t="s">
        <v>709</v>
      </c>
      <c r="C141" s="216">
        <v>2.9499999999999998E-2</v>
      </c>
      <c r="D141" s="81" t="s">
        <v>696</v>
      </c>
      <c r="E141" s="81" t="s">
        <v>127</v>
      </c>
      <c r="G141" s="328" t="s">
        <v>710</v>
      </c>
    </row>
    <row r="142" spans="2:9" ht="20" hidden="1" customHeight="1" outlineLevel="1" x14ac:dyDescent="0.2">
      <c r="B142" s="81" t="s">
        <v>715</v>
      </c>
      <c r="C142" s="216">
        <v>0.25800000000000001</v>
      </c>
      <c r="D142" s="81" t="s">
        <v>696</v>
      </c>
      <c r="E142" s="81" t="s">
        <v>127</v>
      </c>
      <c r="H142" s="1166" t="s">
        <v>713</v>
      </c>
      <c r="I142" s="475" t="s">
        <v>37</v>
      </c>
    </row>
    <row r="143" spans="2:9" ht="20" hidden="1" customHeight="1" outlineLevel="1" x14ac:dyDescent="0.2">
      <c r="B143" s="81" t="s">
        <v>718</v>
      </c>
      <c r="C143" s="216">
        <v>0.187</v>
      </c>
      <c r="D143" s="81" t="s">
        <v>696</v>
      </c>
      <c r="E143" s="81" t="s">
        <v>127</v>
      </c>
      <c r="G143" s="1167" t="s">
        <v>867</v>
      </c>
      <c r="H143" s="216">
        <v>0.216</v>
      </c>
      <c r="I143" s="298"/>
    </row>
    <row r="144" spans="2:9" ht="20" hidden="1" customHeight="1" outlineLevel="1" x14ac:dyDescent="0.2">
      <c r="B144" s="81" t="s">
        <v>719</v>
      </c>
      <c r="C144" s="216">
        <v>0.152</v>
      </c>
      <c r="D144" s="81" t="s">
        <v>696</v>
      </c>
      <c r="E144" s="81" t="s">
        <v>127</v>
      </c>
      <c r="G144" s="1167" t="s">
        <v>868</v>
      </c>
      <c r="H144" s="216">
        <v>2.2000000000000002</v>
      </c>
      <c r="I144" s="494" t="s">
        <v>997</v>
      </c>
    </row>
    <row r="145" spans="2:105" ht="20" hidden="1" customHeight="1" outlineLevel="1" x14ac:dyDescent="0.2">
      <c r="B145" s="81" t="s">
        <v>720</v>
      </c>
      <c r="C145" s="216">
        <v>3.1699999999999999E-2</v>
      </c>
      <c r="D145" s="81" t="s">
        <v>696</v>
      </c>
      <c r="E145" s="81" t="s">
        <v>127</v>
      </c>
      <c r="G145" s="1167" t="s">
        <v>707</v>
      </c>
      <c r="H145" s="1168">
        <f>H143/H144</f>
        <v>9.8181818181818176E-2</v>
      </c>
      <c r="I145" s="298"/>
    </row>
    <row r="146" spans="2:105" ht="20" hidden="1" customHeight="1" outlineLevel="1" x14ac:dyDescent="0.2">
      <c r="B146" s="81" t="s">
        <v>725</v>
      </c>
      <c r="C146" s="268">
        <f>3.34*10^-3</f>
        <v>3.3400000000000001E-3</v>
      </c>
      <c r="D146" s="81" t="s">
        <v>696</v>
      </c>
      <c r="E146" s="81" t="s">
        <v>127</v>
      </c>
    </row>
    <row r="147" spans="2:105" ht="20" hidden="1" customHeight="1" outlineLevel="1" x14ac:dyDescent="0.2">
      <c r="B147" s="81" t="s">
        <v>727</v>
      </c>
      <c r="C147" s="216">
        <f>7.68*10^-3</f>
        <v>7.6800000000000002E-3</v>
      </c>
      <c r="D147" s="81" t="s">
        <v>696</v>
      </c>
      <c r="E147" s="81" t="s">
        <v>127</v>
      </c>
    </row>
    <row r="148" spans="2:105" ht="20" hidden="1" customHeight="1" outlineLevel="1" x14ac:dyDescent="0.2">
      <c r="B148" s="58" t="s">
        <v>878</v>
      </c>
      <c r="C148" s="216">
        <v>7.6300000000000007E-2</v>
      </c>
      <c r="D148" s="81" t="s">
        <v>730</v>
      </c>
      <c r="E148" s="81" t="s">
        <v>127</v>
      </c>
    </row>
    <row r="149" spans="2:105" ht="20" hidden="1" customHeight="1" outlineLevel="1" x14ac:dyDescent="0.2">
      <c r="C149" s="1169"/>
    </row>
    <row r="150" spans="2:105" ht="20" hidden="1" customHeight="1" outlineLevel="1" x14ac:dyDescent="0.2">
      <c r="B150" s="1996"/>
    </row>
    <row r="151" spans="2:105" ht="20" hidden="1" customHeight="1" outlineLevel="1" x14ac:dyDescent="0.2">
      <c r="B151" s="1634" t="s">
        <v>999</v>
      </c>
      <c r="C151" s="1169"/>
    </row>
    <row r="152" spans="2:105" ht="20" hidden="1" customHeight="1" outlineLevel="1" x14ac:dyDescent="0.2">
      <c r="B152" s="112"/>
    </row>
    <row r="153" spans="2:105" ht="20" hidden="1" customHeight="1" outlineLevel="1" thickBot="1" x14ac:dyDescent="0.25">
      <c r="B153" s="55" t="s">
        <v>1000</v>
      </c>
      <c r="C153" s="1170"/>
      <c r="D153" s="1170"/>
      <c r="E153" s="1170"/>
      <c r="F153" s="1170"/>
      <c r="G153" s="1170"/>
      <c r="H153" s="1170"/>
      <c r="I153" s="1170"/>
      <c r="J153" s="1170"/>
      <c r="K153" s="1170"/>
      <c r="L153" s="1170"/>
      <c r="M153" s="1170"/>
      <c r="N153" s="1170"/>
      <c r="O153" s="1170"/>
      <c r="P153" s="1170"/>
      <c r="Q153" s="1170"/>
      <c r="R153" s="1170"/>
      <c r="S153" s="1170"/>
      <c r="T153" s="1170"/>
      <c r="U153" s="1170"/>
      <c r="V153" s="1170"/>
      <c r="W153" s="1170"/>
      <c r="X153" s="1170"/>
      <c r="Y153" s="1170"/>
      <c r="Z153" s="1170"/>
      <c r="AA153" s="1170"/>
      <c r="AB153" s="1170"/>
      <c r="AC153" s="1170"/>
      <c r="AD153" s="1170"/>
      <c r="AE153" s="1170"/>
      <c r="AF153" s="1170"/>
      <c r="AG153" s="1170"/>
      <c r="AH153" s="1170"/>
      <c r="AI153" s="1170"/>
      <c r="AJ153" s="1170"/>
      <c r="AK153" s="1170"/>
      <c r="AL153" s="1170"/>
      <c r="AM153" s="1170"/>
      <c r="AN153" s="1170"/>
      <c r="AO153" s="1170"/>
      <c r="AP153" s="1170"/>
      <c r="AQ153" s="1170"/>
      <c r="AR153" s="1170"/>
      <c r="AS153" s="1170"/>
      <c r="AT153" s="1170"/>
      <c r="AU153" s="1170"/>
      <c r="AV153" s="1170"/>
      <c r="AW153" s="1170"/>
      <c r="AX153" s="1170"/>
      <c r="AY153" s="1170"/>
      <c r="AZ153" s="1170"/>
      <c r="BA153" s="1170"/>
      <c r="BB153" s="1170"/>
      <c r="BC153" s="1170"/>
      <c r="BD153" s="1170"/>
      <c r="BE153" s="1170"/>
      <c r="BF153" s="1170"/>
      <c r="BG153" s="1170"/>
      <c r="BH153" s="1170"/>
      <c r="BI153" s="1170"/>
      <c r="BJ153" s="1170"/>
      <c r="BK153" s="1170"/>
      <c r="BL153" s="1170"/>
      <c r="BM153" s="1170"/>
      <c r="BN153" s="1170"/>
      <c r="BO153" s="1170"/>
      <c r="BP153" s="1170"/>
      <c r="BQ153" s="1170"/>
      <c r="BR153" s="1170"/>
      <c r="BS153" s="1170"/>
      <c r="BT153" s="1170"/>
      <c r="BU153" s="1170"/>
      <c r="BV153" s="1170"/>
      <c r="BW153" s="1170"/>
      <c r="BX153" s="1170"/>
      <c r="BY153" s="1170"/>
      <c r="BZ153" s="1170"/>
      <c r="CA153" s="1170"/>
      <c r="CB153" s="1170"/>
      <c r="CC153" s="1170"/>
      <c r="CD153" s="1170"/>
      <c r="CE153" s="1170"/>
      <c r="CF153" s="1170"/>
      <c r="CG153" s="1170"/>
      <c r="CH153" s="1170"/>
      <c r="CI153" s="1170"/>
      <c r="CJ153" s="1170"/>
      <c r="CK153" s="1170"/>
      <c r="CL153" s="1170"/>
      <c r="CM153" s="1170"/>
      <c r="CN153" s="1170"/>
      <c r="CO153" s="1170"/>
      <c r="CP153" s="1170"/>
      <c r="CQ153" s="1170"/>
      <c r="CR153" s="1170"/>
      <c r="CS153" s="1170"/>
      <c r="CT153" s="1170"/>
      <c r="CU153" s="1170"/>
      <c r="CV153" s="1170"/>
      <c r="CW153" s="1170"/>
      <c r="CX153" s="1170"/>
      <c r="CY153" s="1170"/>
    </row>
    <row r="154" spans="2:105" s="112" customFormat="1" ht="43" hidden="1" customHeight="1" outlineLevel="1" x14ac:dyDescent="0.2">
      <c r="B154" s="1895" t="s">
        <v>1001</v>
      </c>
      <c r="C154" s="1896" t="s">
        <v>1002</v>
      </c>
      <c r="D154" s="1896" t="s">
        <v>1003</v>
      </c>
      <c r="E154" s="1896" t="s">
        <v>1004</v>
      </c>
      <c r="F154" s="1896" t="s">
        <v>1005</v>
      </c>
      <c r="G154" s="1896" t="s">
        <v>1006</v>
      </c>
      <c r="H154" s="1896" t="s">
        <v>1007</v>
      </c>
      <c r="I154" s="1896" t="s">
        <v>1008</v>
      </c>
      <c r="J154" s="1896" t="s">
        <v>1009</v>
      </c>
      <c r="K154" s="1896" t="s">
        <v>1010</v>
      </c>
      <c r="L154" s="1896" t="s">
        <v>1011</v>
      </c>
      <c r="M154" s="1896" t="s">
        <v>1012</v>
      </c>
      <c r="N154" s="1896" t="s">
        <v>1013</v>
      </c>
      <c r="O154" s="1896" t="s">
        <v>1014</v>
      </c>
      <c r="P154" s="1896" t="s">
        <v>1015</v>
      </c>
      <c r="Q154" s="1896" t="s">
        <v>1016</v>
      </c>
      <c r="R154" s="1896" t="s">
        <v>1017</v>
      </c>
      <c r="S154" s="1896" t="s">
        <v>1018</v>
      </c>
      <c r="T154" s="1896" t="s">
        <v>1019</v>
      </c>
      <c r="U154" s="1896" t="s">
        <v>1020</v>
      </c>
      <c r="V154" s="1896" t="s">
        <v>1021</v>
      </c>
      <c r="W154" s="1896" t="s">
        <v>1022</v>
      </c>
      <c r="X154" s="1896" t="s">
        <v>1023</v>
      </c>
      <c r="Y154" s="1896" t="s">
        <v>1024</v>
      </c>
      <c r="Z154" s="1896" t="s">
        <v>1025</v>
      </c>
      <c r="AA154" s="1896" t="s">
        <v>1026</v>
      </c>
      <c r="AB154" s="1896" t="s">
        <v>1027</v>
      </c>
      <c r="AC154" s="1896" t="s">
        <v>1028</v>
      </c>
      <c r="AD154" s="1896" t="s">
        <v>1029</v>
      </c>
      <c r="AE154" s="1896" t="s">
        <v>1030</v>
      </c>
      <c r="AF154" s="1896" t="s">
        <v>1031</v>
      </c>
      <c r="AG154" s="1896" t="s">
        <v>1032</v>
      </c>
      <c r="AH154" s="1896" t="s">
        <v>1033</v>
      </c>
      <c r="AI154" s="1896" t="s">
        <v>1034</v>
      </c>
      <c r="AJ154" s="1896" t="s">
        <v>1035</v>
      </c>
      <c r="AK154" s="1896" t="s">
        <v>1036</v>
      </c>
      <c r="AL154" s="1896" t="s">
        <v>1037</v>
      </c>
      <c r="AM154" s="1896" t="s">
        <v>1038</v>
      </c>
      <c r="AN154" s="1896" t="s">
        <v>1039</v>
      </c>
      <c r="AO154" s="1896" t="s">
        <v>1040</v>
      </c>
      <c r="AP154" s="1896" t="s">
        <v>1041</v>
      </c>
      <c r="AQ154" s="1896" t="s">
        <v>1042</v>
      </c>
      <c r="AR154" s="1896" t="s">
        <v>1043</v>
      </c>
      <c r="AS154" s="1896" t="s">
        <v>1044</v>
      </c>
      <c r="AT154" s="1896" t="s">
        <v>1045</v>
      </c>
      <c r="AU154" s="1896" t="s">
        <v>1046</v>
      </c>
      <c r="AV154" s="1896" t="s">
        <v>1047</v>
      </c>
      <c r="AW154" s="1896" t="s">
        <v>1048</v>
      </c>
      <c r="AX154" s="1896" t="s">
        <v>1049</v>
      </c>
      <c r="AY154" s="1896" t="s">
        <v>1050</v>
      </c>
      <c r="AZ154" s="1896" t="s">
        <v>1051</v>
      </c>
      <c r="BA154" s="1896" t="s">
        <v>1052</v>
      </c>
      <c r="BB154" s="1896" t="s">
        <v>1053</v>
      </c>
      <c r="BC154" s="1896" t="s">
        <v>1054</v>
      </c>
      <c r="BD154" s="1896" t="s">
        <v>1055</v>
      </c>
      <c r="BE154" s="1896" t="s">
        <v>1056</v>
      </c>
      <c r="BF154" s="1896" t="s">
        <v>1057</v>
      </c>
      <c r="BG154" s="1896" t="s">
        <v>1058</v>
      </c>
      <c r="BH154" s="1896" t="s">
        <v>1059</v>
      </c>
      <c r="BI154" s="1896" t="s">
        <v>1060</v>
      </c>
      <c r="BJ154" s="1896" t="s">
        <v>1061</v>
      </c>
      <c r="BK154" s="1896" t="s">
        <v>1062</v>
      </c>
      <c r="BL154" s="1896" t="s">
        <v>1063</v>
      </c>
      <c r="BM154" s="1896" t="s">
        <v>1064</v>
      </c>
      <c r="BN154" s="1896" t="s">
        <v>1065</v>
      </c>
      <c r="BO154" s="1896" t="s">
        <v>1066</v>
      </c>
      <c r="BP154" s="1896" t="s">
        <v>1067</v>
      </c>
      <c r="BQ154" s="1896" t="s">
        <v>1068</v>
      </c>
      <c r="BR154" s="1896" t="s">
        <v>1069</v>
      </c>
      <c r="BS154" s="1896" t="s">
        <v>1070</v>
      </c>
      <c r="BT154" s="1896" t="s">
        <v>1071</v>
      </c>
      <c r="BU154" s="1896" t="s">
        <v>1072</v>
      </c>
      <c r="BV154" s="1896" t="s">
        <v>1073</v>
      </c>
      <c r="BW154" s="1896" t="s">
        <v>1074</v>
      </c>
      <c r="BX154" s="1896" t="s">
        <v>1075</v>
      </c>
      <c r="BY154" s="1896" t="s">
        <v>1076</v>
      </c>
      <c r="BZ154" s="1896" t="s">
        <v>1077</v>
      </c>
      <c r="CA154" s="1896" t="s">
        <v>1078</v>
      </c>
      <c r="CB154" s="1896" t="s">
        <v>1079</v>
      </c>
      <c r="CC154" s="1896" t="s">
        <v>1080</v>
      </c>
      <c r="CD154" s="1896" t="s">
        <v>1081</v>
      </c>
      <c r="CE154" s="1896" t="s">
        <v>1082</v>
      </c>
      <c r="CF154" s="1896" t="s">
        <v>1083</v>
      </c>
      <c r="CG154" s="1896" t="s">
        <v>1084</v>
      </c>
      <c r="CH154" s="1896" t="s">
        <v>1085</v>
      </c>
      <c r="CI154" s="1896" t="s">
        <v>1086</v>
      </c>
      <c r="CJ154" s="1896" t="s">
        <v>1087</v>
      </c>
      <c r="CK154" s="1896" t="s">
        <v>1088</v>
      </c>
      <c r="CL154" s="1896" t="s">
        <v>1089</v>
      </c>
      <c r="CM154" s="1896" t="s">
        <v>1090</v>
      </c>
      <c r="CN154" s="1896" t="s">
        <v>1091</v>
      </c>
      <c r="CO154" s="1896" t="s">
        <v>1092</v>
      </c>
      <c r="CP154" s="1896" t="s">
        <v>1093</v>
      </c>
      <c r="CQ154" s="1896" t="s">
        <v>1094</v>
      </c>
      <c r="CR154" s="1896" t="s">
        <v>1095</v>
      </c>
      <c r="CS154" s="1896" t="s">
        <v>1096</v>
      </c>
      <c r="CT154" s="1896" t="s">
        <v>1097</v>
      </c>
      <c r="CU154" s="1896" t="s">
        <v>1098</v>
      </c>
      <c r="CV154" s="1896" t="s">
        <v>1099</v>
      </c>
      <c r="CW154" s="1896" t="s">
        <v>1100</v>
      </c>
      <c r="CX154" s="1896" t="s">
        <v>1101</v>
      </c>
      <c r="CY154" s="1896" t="s">
        <v>1102</v>
      </c>
      <c r="CZ154" s="1989" t="s">
        <v>374</v>
      </c>
      <c r="DA154" s="1990" t="s">
        <v>1103</v>
      </c>
    </row>
    <row r="155" spans="2:105" ht="40" hidden="1" customHeight="1" outlineLevel="1" x14ac:dyDescent="0.2">
      <c r="B155" s="1171" t="s">
        <v>1104</v>
      </c>
      <c r="C155" s="1986">
        <v>21.527175199999999</v>
      </c>
      <c r="D155" s="1986">
        <v>24.06863169</v>
      </c>
      <c r="E155" s="1986">
        <v>19.356667439999999</v>
      </c>
      <c r="F155" s="1986">
        <v>23.018696760000001</v>
      </c>
      <c r="G155" s="1986">
        <v>21.839111320000001</v>
      </c>
      <c r="H155" s="1986">
        <v>19.247357180000002</v>
      </c>
      <c r="I155" s="1986">
        <v>19.536306</v>
      </c>
      <c r="J155" s="1986">
        <v>22.707844000000001</v>
      </c>
      <c r="K155" s="1986">
        <v>20.092339970000001</v>
      </c>
      <c r="L155" s="1986">
        <v>22.12090779</v>
      </c>
      <c r="M155" s="1986">
        <v>18.22990588</v>
      </c>
      <c r="N155" s="1986">
        <v>20.265296450000001</v>
      </c>
      <c r="O155" s="1986">
        <v>26.229607980000001</v>
      </c>
      <c r="P155" s="1986">
        <v>21.373648880000001</v>
      </c>
      <c r="Q155" s="1986">
        <v>17.035075290000002</v>
      </c>
      <c r="R155" s="1986">
        <v>19.831795289999999</v>
      </c>
      <c r="S155" s="1986">
        <v>22.452425909999999</v>
      </c>
      <c r="T155" s="1986">
        <v>20.539236280000001</v>
      </c>
      <c r="U155" s="1986">
        <v>21.801353679999998</v>
      </c>
      <c r="V155" s="1986">
        <v>25.71200322</v>
      </c>
      <c r="W155" s="1986">
        <v>21.10930355</v>
      </c>
      <c r="X155" s="1986">
        <v>22.00540492</v>
      </c>
      <c r="Y155" s="1986">
        <v>21.790572319999999</v>
      </c>
      <c r="Z155" s="1986">
        <v>19.147486239999999</v>
      </c>
      <c r="AA155" s="1986">
        <v>20.04232155</v>
      </c>
      <c r="AB155" s="1986">
        <v>18.09234374</v>
      </c>
      <c r="AC155" s="1986">
        <v>20.854535630000001</v>
      </c>
      <c r="AD155" s="1986">
        <v>20.30273382</v>
      </c>
      <c r="AE155" s="1986">
        <v>25.280025739999999</v>
      </c>
      <c r="AF155" s="1986">
        <v>26.245824519999999</v>
      </c>
      <c r="AG155" s="1986">
        <v>24.03840606</v>
      </c>
      <c r="AH155" s="1986">
        <v>24.083950690000002</v>
      </c>
      <c r="AI155" s="1986">
        <v>23.404514559999999</v>
      </c>
      <c r="AJ155" s="1986">
        <v>24.29406238</v>
      </c>
      <c r="AK155" s="1986">
        <v>13.737966309999999</v>
      </c>
      <c r="AL155" s="1986">
        <v>12.75366998</v>
      </c>
      <c r="AM155" s="1986">
        <v>18.711291549999999</v>
      </c>
      <c r="AN155" s="1986">
        <v>22.884744699999999</v>
      </c>
      <c r="AO155" s="1986">
        <v>21.97449404</v>
      </c>
      <c r="AP155" s="1986">
        <v>18.823871199999999</v>
      </c>
      <c r="AQ155" s="1986">
        <v>20.27483016</v>
      </c>
      <c r="AR155" s="1986">
        <v>20.189158809999999</v>
      </c>
      <c r="AS155" s="1986">
        <v>18.312978399999999</v>
      </c>
      <c r="AT155" s="1986">
        <v>19.861555160000002</v>
      </c>
      <c r="AU155" s="1986">
        <v>20.084456589999998</v>
      </c>
      <c r="AV155" s="1986">
        <v>20.144861200000001</v>
      </c>
      <c r="AW155" s="1986">
        <v>12.83806126</v>
      </c>
      <c r="AX155" s="1986">
        <v>24.165730700000001</v>
      </c>
      <c r="AY155" s="1986">
        <v>23.439572630000001</v>
      </c>
      <c r="AZ155" s="1986">
        <v>19.954195070000001</v>
      </c>
      <c r="BA155" s="1986">
        <v>22.55350425</v>
      </c>
      <c r="BB155" s="1986">
        <v>20.818789049999999</v>
      </c>
      <c r="BC155" s="1986">
        <v>19.026624269999999</v>
      </c>
      <c r="BD155" s="1986">
        <v>15.524779390000001</v>
      </c>
      <c r="BE155" s="1986">
        <v>25.56738816</v>
      </c>
      <c r="BF155" s="1986">
        <v>21.66132472</v>
      </c>
      <c r="BG155" s="1986">
        <v>20.368427950000001</v>
      </c>
      <c r="BH155" s="1986">
        <v>23.62758655</v>
      </c>
      <c r="BI155" s="1986">
        <v>21.825803310000001</v>
      </c>
      <c r="BJ155" s="1986">
        <v>20.785394780000001</v>
      </c>
      <c r="BK155" s="1986">
        <v>20.8131208</v>
      </c>
      <c r="BL155" s="1986">
        <v>17.886108400000001</v>
      </c>
      <c r="BM155" s="1986">
        <v>22.707851080000001</v>
      </c>
      <c r="BN155" s="1986">
        <v>22.25426861</v>
      </c>
      <c r="BO155" s="1986">
        <v>20.135328829999999</v>
      </c>
      <c r="BP155" s="1986">
        <v>13.84930357</v>
      </c>
      <c r="BQ155" s="1986">
        <v>18.269976029999999</v>
      </c>
      <c r="BR155" s="1986">
        <v>11.84751822</v>
      </c>
      <c r="BS155" s="1986">
        <v>21.43295346</v>
      </c>
      <c r="BT155" s="1986">
        <v>21.0509542</v>
      </c>
      <c r="BU155" s="1986">
        <v>23.742412000000002</v>
      </c>
      <c r="BV155" s="1986">
        <v>20.764785150000002</v>
      </c>
      <c r="BW155" s="1986">
        <v>19.865898980000001</v>
      </c>
      <c r="BX155" s="1986">
        <v>19.361576509999999</v>
      </c>
      <c r="BY155" s="1986">
        <v>27.60323305</v>
      </c>
      <c r="BZ155" s="1986">
        <v>20.614907389999999</v>
      </c>
      <c r="CA155" s="1986">
        <v>16.069775409999998</v>
      </c>
      <c r="CB155" s="1986">
        <v>21.285310760000002</v>
      </c>
      <c r="CC155" s="1986">
        <v>19.050063170000001</v>
      </c>
      <c r="CD155" s="1986">
        <v>23.03244789</v>
      </c>
      <c r="CE155" s="1986">
        <v>19.84157549</v>
      </c>
      <c r="CF155" s="1986">
        <v>19.635052089999999</v>
      </c>
      <c r="CG155" s="1986">
        <v>20.450099659999999</v>
      </c>
      <c r="CH155" s="1986">
        <v>21.559866419999999</v>
      </c>
      <c r="CI155" s="1986">
        <v>20.19827119</v>
      </c>
      <c r="CJ155" s="1986">
        <v>26.346592090000001</v>
      </c>
      <c r="CK155" s="1986">
        <v>20.963789890000001</v>
      </c>
      <c r="CL155" s="1986">
        <v>14.91245518</v>
      </c>
      <c r="CM155" s="1986">
        <v>22.282500880000001</v>
      </c>
      <c r="CN155" s="1986">
        <v>22.370924179999999</v>
      </c>
      <c r="CO155" s="1986">
        <v>24.212706900000001</v>
      </c>
      <c r="CP155" s="1986">
        <v>18.38367161</v>
      </c>
      <c r="CQ155" s="1986">
        <v>19.10217604</v>
      </c>
      <c r="CR155" s="1986">
        <v>14.74023336</v>
      </c>
      <c r="CS155" s="1986">
        <v>25.396857350000001</v>
      </c>
      <c r="CT155" s="1986">
        <v>23.25870355</v>
      </c>
      <c r="CU155" s="1986">
        <v>21.233317960000001</v>
      </c>
      <c r="CV155" s="1986">
        <v>21.872104960000001</v>
      </c>
      <c r="CW155" s="1986">
        <v>20.603910750000001</v>
      </c>
      <c r="CX155" s="1986">
        <v>23.040651660000002</v>
      </c>
      <c r="CY155" s="1986">
        <v>20.928722669999999</v>
      </c>
      <c r="CZ155" s="1987">
        <f>AVERAGE(C155:CY155)</f>
        <v>20.797622866435649</v>
      </c>
      <c r="DA155" s="1991">
        <f>AVERAGE(C155:CY155)</f>
        <v>20.797622866435649</v>
      </c>
    </row>
    <row r="156" spans="2:105" ht="32" hidden="1" customHeight="1" outlineLevel="1" x14ac:dyDescent="0.2">
      <c r="B156" s="1172" t="s">
        <v>1106</v>
      </c>
      <c r="C156" s="1986"/>
      <c r="D156" s="1986"/>
      <c r="E156" s="1986"/>
      <c r="F156" s="1986"/>
      <c r="G156" s="1986"/>
      <c r="H156" s="1986"/>
      <c r="I156" s="1986"/>
      <c r="J156" s="1986"/>
      <c r="K156" s="1986"/>
      <c r="L156" s="1986"/>
      <c r="M156" s="1986"/>
      <c r="N156" s="1986"/>
      <c r="O156" s="1986"/>
      <c r="P156" s="1986"/>
      <c r="Q156" s="1986"/>
      <c r="R156" s="1986"/>
      <c r="S156" s="1986"/>
      <c r="T156" s="1986"/>
      <c r="U156" s="1986"/>
      <c r="V156" s="1986"/>
      <c r="W156" s="1986"/>
      <c r="X156" s="1986"/>
      <c r="Y156" s="1986"/>
      <c r="Z156" s="1986"/>
      <c r="AA156" s="1986"/>
      <c r="AB156" s="1986"/>
      <c r="AC156" s="1986"/>
      <c r="AD156" s="1986"/>
      <c r="AE156" s="1986"/>
      <c r="AF156" s="1986"/>
      <c r="AG156" s="1986"/>
      <c r="AH156" s="1986"/>
      <c r="AI156" s="1986"/>
      <c r="AJ156" s="1986"/>
      <c r="AK156" s="1986"/>
      <c r="AL156" s="1986"/>
      <c r="AM156" s="1986"/>
      <c r="AN156" s="1986"/>
      <c r="AO156" s="1986"/>
      <c r="AP156" s="1986"/>
      <c r="AQ156" s="1986"/>
      <c r="AR156" s="1986"/>
      <c r="AS156" s="1986"/>
      <c r="AT156" s="1986"/>
      <c r="AU156" s="1986"/>
      <c r="AV156" s="1986"/>
      <c r="AW156" s="1986"/>
      <c r="AX156" s="1986"/>
      <c r="AY156" s="1986"/>
      <c r="AZ156" s="1986"/>
      <c r="BA156" s="1986"/>
      <c r="BB156" s="1986"/>
      <c r="BC156" s="1986"/>
      <c r="BD156" s="1986"/>
      <c r="BE156" s="1986"/>
      <c r="BF156" s="1986"/>
      <c r="BG156" s="1986"/>
      <c r="BH156" s="1986"/>
      <c r="BI156" s="1986"/>
      <c r="BJ156" s="1986"/>
      <c r="BK156" s="1986"/>
      <c r="BL156" s="1986"/>
      <c r="BM156" s="1986"/>
      <c r="BN156" s="1986"/>
      <c r="BO156" s="1986"/>
      <c r="BP156" s="1986"/>
      <c r="BQ156" s="1986"/>
      <c r="BR156" s="1986"/>
      <c r="BS156" s="1986"/>
      <c r="BT156" s="1986"/>
      <c r="BU156" s="1986"/>
      <c r="BV156" s="1986"/>
      <c r="BW156" s="1986"/>
      <c r="BX156" s="1986"/>
      <c r="BY156" s="1986"/>
      <c r="BZ156" s="1986"/>
      <c r="CA156" s="1986"/>
      <c r="CB156" s="1986"/>
      <c r="CC156" s="1986"/>
      <c r="CD156" s="1986"/>
      <c r="CE156" s="1986"/>
      <c r="CF156" s="1986"/>
      <c r="CG156" s="1986"/>
      <c r="CH156" s="1986"/>
      <c r="CI156" s="1986"/>
      <c r="CJ156" s="1986"/>
      <c r="CK156" s="1986"/>
      <c r="CL156" s="1986"/>
      <c r="CM156" s="1986"/>
      <c r="CN156" s="1986"/>
      <c r="CO156" s="1986"/>
      <c r="CP156" s="1986"/>
      <c r="CQ156" s="1986"/>
      <c r="CR156" s="1986"/>
      <c r="CS156" s="1986"/>
      <c r="CT156" s="1986"/>
      <c r="CU156" s="1986"/>
      <c r="CV156" s="1986"/>
      <c r="CW156" s="1986"/>
      <c r="CX156" s="1986"/>
      <c r="CY156" s="1986"/>
      <c r="CZ156" s="1987"/>
      <c r="DA156" s="1991"/>
    </row>
    <row r="157" spans="2:105" ht="20" hidden="1" customHeight="1" outlineLevel="1" x14ac:dyDescent="0.2">
      <c r="B157" s="1172" t="s">
        <v>748</v>
      </c>
      <c r="C157" s="1986">
        <v>82.21</v>
      </c>
      <c r="D157" s="1986">
        <v>80.989999999999995</v>
      </c>
      <c r="E157" s="1986">
        <v>81.03</v>
      </c>
      <c r="F157" s="1986">
        <v>80.8</v>
      </c>
      <c r="G157" s="1986">
        <v>64.63</v>
      </c>
      <c r="H157" s="1986">
        <v>84.74</v>
      </c>
      <c r="I157" s="1986">
        <v>82.47</v>
      </c>
      <c r="J157" s="1986">
        <v>82.78</v>
      </c>
      <c r="K157" s="1986">
        <v>80.790000000000006</v>
      </c>
      <c r="L157" s="1986">
        <v>81.510000000000005</v>
      </c>
      <c r="M157" s="1986">
        <v>79.37</v>
      </c>
      <c r="N157" s="1986">
        <v>69.89</v>
      </c>
      <c r="O157" s="1986">
        <v>70.55</v>
      </c>
      <c r="P157" s="1986">
        <v>80.8</v>
      </c>
      <c r="Q157" s="1986">
        <v>79.13</v>
      </c>
      <c r="R157" s="1986">
        <v>84.21</v>
      </c>
      <c r="S157" s="1986">
        <v>81.98</v>
      </c>
      <c r="T157" s="1986">
        <v>82.49</v>
      </c>
      <c r="U157" s="1986">
        <v>84.12</v>
      </c>
      <c r="V157" s="1986">
        <v>81.239999999999995</v>
      </c>
      <c r="W157" s="1986">
        <v>73.27</v>
      </c>
      <c r="X157" s="1986">
        <v>84.93</v>
      </c>
      <c r="Y157" s="1986">
        <v>80.94</v>
      </c>
      <c r="Z157" s="1986">
        <v>84.07</v>
      </c>
      <c r="AA157" s="1986">
        <v>83.64</v>
      </c>
      <c r="AB157" s="1986">
        <v>79.83</v>
      </c>
      <c r="AC157" s="1986">
        <v>81.98</v>
      </c>
      <c r="AD157" s="1986">
        <v>61.19</v>
      </c>
      <c r="AE157" s="1986">
        <v>83.49</v>
      </c>
      <c r="AF157" s="1986">
        <v>78.260000000000005</v>
      </c>
      <c r="AG157" s="1986">
        <v>83.26</v>
      </c>
      <c r="AH157" s="1986">
        <v>82.81</v>
      </c>
      <c r="AI157" s="1986">
        <v>83.82</v>
      </c>
      <c r="AJ157" s="1986">
        <v>73.7</v>
      </c>
      <c r="AK157" s="1986">
        <v>84.52</v>
      </c>
      <c r="AL157" s="1986">
        <v>75</v>
      </c>
      <c r="AM157" s="1986">
        <v>79.86</v>
      </c>
      <c r="AN157" s="1986">
        <v>82.92</v>
      </c>
      <c r="AO157" s="1986">
        <v>72.680000000000007</v>
      </c>
      <c r="AP157" s="1986">
        <v>83.9</v>
      </c>
      <c r="AQ157" s="1986">
        <v>80.569999999999993</v>
      </c>
      <c r="AR157" s="1986">
        <v>85.4</v>
      </c>
      <c r="AS157" s="1986">
        <v>78.11</v>
      </c>
      <c r="AT157" s="1986">
        <v>82.9</v>
      </c>
      <c r="AU157" s="1986">
        <v>75.2</v>
      </c>
      <c r="AV157" s="1986">
        <v>83.93</v>
      </c>
      <c r="AW157" s="1986">
        <v>31.24</v>
      </c>
      <c r="AX157" s="1986">
        <v>74.959999999999994</v>
      </c>
      <c r="AY157" s="1986">
        <v>75.930000000000007</v>
      </c>
      <c r="AZ157" s="1986">
        <v>82.08</v>
      </c>
      <c r="BA157" s="1986">
        <v>76.680000000000007</v>
      </c>
      <c r="BB157" s="1986">
        <v>74.5</v>
      </c>
      <c r="BC157" s="1986">
        <v>83.35</v>
      </c>
      <c r="BD157" s="1986">
        <v>79.69</v>
      </c>
      <c r="BE157" s="1986">
        <v>86.98</v>
      </c>
      <c r="BF157" s="1986">
        <v>83.12</v>
      </c>
      <c r="BG157" s="1986">
        <v>79.98</v>
      </c>
      <c r="BH157" s="1986">
        <v>74.290000000000006</v>
      </c>
      <c r="BI157" s="1986">
        <v>78.17</v>
      </c>
      <c r="BJ157" s="1986">
        <v>82.24</v>
      </c>
      <c r="BK157" s="1986">
        <v>84.1</v>
      </c>
      <c r="BL157" s="1986">
        <v>77.84</v>
      </c>
      <c r="BM157" s="1986">
        <v>79.97</v>
      </c>
      <c r="BN157" s="1986">
        <v>83.1</v>
      </c>
      <c r="BO157" s="1986">
        <v>76.8</v>
      </c>
      <c r="BP157" s="1986">
        <v>83.57</v>
      </c>
      <c r="BQ157" s="1986">
        <v>82.09</v>
      </c>
      <c r="BR157" s="1986">
        <v>46.29</v>
      </c>
      <c r="BS157" s="1986">
        <v>77.83</v>
      </c>
      <c r="BT157" s="1986">
        <v>82.44</v>
      </c>
      <c r="BU157" s="1986">
        <v>84.23</v>
      </c>
      <c r="BV157" s="1986">
        <v>82.12</v>
      </c>
      <c r="BW157" s="1986">
        <v>80.97</v>
      </c>
      <c r="BX157" s="1986">
        <v>75.489999999999995</v>
      </c>
      <c r="BY157" s="1986">
        <v>78.53</v>
      </c>
      <c r="BZ157" s="1986">
        <v>82.23</v>
      </c>
      <c r="CA157" s="1986">
        <v>10.62</v>
      </c>
      <c r="CB157" s="1986">
        <v>83.89</v>
      </c>
      <c r="CC157" s="1986">
        <v>79.11</v>
      </c>
      <c r="CD157" s="1986">
        <v>83.35</v>
      </c>
      <c r="CE157" s="1986">
        <v>82.22</v>
      </c>
      <c r="CF157" s="1986">
        <v>59.08</v>
      </c>
      <c r="CG157" s="1986">
        <v>83.13</v>
      </c>
      <c r="CH157" s="1986">
        <v>78.900000000000006</v>
      </c>
      <c r="CI157" s="1986">
        <v>77.08</v>
      </c>
      <c r="CJ157" s="1986">
        <v>63.69</v>
      </c>
      <c r="CK157" s="1986">
        <v>76.67</v>
      </c>
      <c r="CL157" s="1986">
        <v>35.61</v>
      </c>
      <c r="CM157" s="1986">
        <v>78.62</v>
      </c>
      <c r="CN157" s="1986">
        <v>83.73</v>
      </c>
      <c r="CO157" s="1986">
        <v>85.09</v>
      </c>
      <c r="CP157" s="1986">
        <v>79.959999999999994</v>
      </c>
      <c r="CQ157" s="1986">
        <v>53.86</v>
      </c>
      <c r="CR157" s="1986">
        <v>37.49</v>
      </c>
      <c r="CS157" s="1986">
        <v>78.489999999999995</v>
      </c>
      <c r="CT157" s="1986">
        <v>82.64</v>
      </c>
      <c r="CU157" s="1986">
        <v>86.37</v>
      </c>
      <c r="CV157" s="1986">
        <v>82.66</v>
      </c>
      <c r="CW157" s="1986">
        <v>83.72</v>
      </c>
      <c r="CX157" s="1986">
        <v>80.2</v>
      </c>
      <c r="CY157" s="1986">
        <v>55.61</v>
      </c>
      <c r="CZ157" s="1988">
        <f t="shared" ref="CZ157:CZ162" si="10">AVERAGE(C157:CY157)/100</f>
        <v>0.77014950495049472</v>
      </c>
      <c r="DA157" s="1992">
        <f>(AVERAGE(C157:CY157)/100)*$CZ$163/SUM($CZ$157:$CZ$161)</f>
        <v>0.80873577180312217</v>
      </c>
    </row>
    <row r="158" spans="2:105" ht="20" hidden="1" customHeight="1" outlineLevel="1" x14ac:dyDescent="0.2">
      <c r="B158" s="1172" t="s">
        <v>1108</v>
      </c>
      <c r="C158" s="1986">
        <v>1.28</v>
      </c>
      <c r="D158" s="1986">
        <v>1.08</v>
      </c>
      <c r="E158" s="1986">
        <v>1.23</v>
      </c>
      <c r="F158" s="1986">
        <v>1</v>
      </c>
      <c r="G158" s="1986">
        <v>7.5</v>
      </c>
      <c r="H158" s="1986">
        <v>1.07</v>
      </c>
      <c r="I158" s="1986">
        <v>0.88</v>
      </c>
      <c r="J158" s="1986">
        <v>0.85</v>
      </c>
      <c r="K158" s="1986">
        <v>1.07</v>
      </c>
      <c r="L158" s="1986">
        <v>1.32</v>
      </c>
      <c r="M158" s="1986">
        <v>0.92</v>
      </c>
      <c r="N158" s="1986">
        <v>0.87</v>
      </c>
      <c r="O158" s="1986">
        <v>3.31</v>
      </c>
      <c r="P158" s="1986">
        <v>1.19</v>
      </c>
      <c r="Q158" s="1986">
        <v>0.6</v>
      </c>
      <c r="R158" s="1986">
        <v>1.06</v>
      </c>
      <c r="S158" s="1986">
        <v>1.66</v>
      </c>
      <c r="T158" s="1986">
        <v>1.1399999999999999</v>
      </c>
      <c r="U158" s="1986">
        <v>1.08</v>
      </c>
      <c r="V158" s="1986">
        <v>5.46</v>
      </c>
      <c r="W158" s="1986">
        <v>0.99</v>
      </c>
      <c r="X158" s="1986">
        <v>1.25</v>
      </c>
      <c r="Y158" s="1986">
        <v>0.79</v>
      </c>
      <c r="Z158" s="1986">
        <v>1.49</v>
      </c>
      <c r="AA158" s="1986">
        <v>1.28</v>
      </c>
      <c r="AB158" s="1986">
        <v>0.75</v>
      </c>
      <c r="AC158" s="1986">
        <v>1.1200000000000001</v>
      </c>
      <c r="AD158" s="1986">
        <v>1.89</v>
      </c>
      <c r="AE158" s="1986">
        <v>1.05</v>
      </c>
      <c r="AF158" s="1986">
        <v>1.0900000000000001</v>
      </c>
      <c r="AG158" s="1986">
        <v>1.1100000000000001</v>
      </c>
      <c r="AH158" s="1986">
        <v>1.39</v>
      </c>
      <c r="AI158" s="1986">
        <v>0.9</v>
      </c>
      <c r="AJ158" s="1986">
        <v>2.0299999999999998</v>
      </c>
      <c r="AK158" s="1986">
        <v>1.33</v>
      </c>
      <c r="AL158" s="1986">
        <v>5.09</v>
      </c>
      <c r="AM158" s="1986">
        <v>0.85</v>
      </c>
      <c r="AN158" s="1986">
        <v>2.14</v>
      </c>
      <c r="AO158" s="1986">
        <v>2.2000000000000002</v>
      </c>
      <c r="AP158" s="1986">
        <v>0.73</v>
      </c>
      <c r="AQ158" s="1986">
        <v>0.85</v>
      </c>
      <c r="AR158" s="1986">
        <v>0.92</v>
      </c>
      <c r="AS158" s="1986">
        <v>2.2599999999999998</v>
      </c>
      <c r="AT158" s="1986">
        <v>1</v>
      </c>
      <c r="AU158" s="1986">
        <v>0.79</v>
      </c>
      <c r="AV158" s="1986">
        <v>0.93</v>
      </c>
      <c r="AW158" s="1986">
        <v>4.8099999999999996</v>
      </c>
      <c r="AX158" s="1986">
        <v>2.33</v>
      </c>
      <c r="AY158" s="1986">
        <v>1.23</v>
      </c>
      <c r="AZ158" s="1986">
        <v>1.19</v>
      </c>
      <c r="BA158" s="1986">
        <v>1.45</v>
      </c>
      <c r="BB158" s="1986">
        <v>0.82</v>
      </c>
      <c r="BC158" s="1986">
        <v>0.82</v>
      </c>
      <c r="BD158" s="1986">
        <v>2.54</v>
      </c>
      <c r="BE158" s="1986">
        <v>1.26</v>
      </c>
      <c r="BF158" s="1986">
        <v>1.32</v>
      </c>
      <c r="BG158" s="1986">
        <v>0.77</v>
      </c>
      <c r="BH158" s="1986">
        <v>1.79</v>
      </c>
      <c r="BI158" s="1986">
        <v>1.1499999999999999</v>
      </c>
      <c r="BJ158" s="1986">
        <v>1.03</v>
      </c>
      <c r="BK158" s="1986">
        <v>1.19</v>
      </c>
      <c r="BL158" s="1986">
        <v>0.51</v>
      </c>
      <c r="BM158" s="1986">
        <v>1.59</v>
      </c>
      <c r="BN158" s="1986">
        <v>1.52</v>
      </c>
      <c r="BO158" s="1986">
        <v>0.91</v>
      </c>
      <c r="BP158" s="1986">
        <v>1.05</v>
      </c>
      <c r="BQ158" s="1986">
        <v>1.08</v>
      </c>
      <c r="BR158" s="1986">
        <v>8.35</v>
      </c>
      <c r="BS158" s="1986">
        <v>0.67</v>
      </c>
      <c r="BT158" s="1986">
        <v>0.76</v>
      </c>
      <c r="BU158" s="1986">
        <v>1.1599999999999999</v>
      </c>
      <c r="BV158" s="1986">
        <v>0.49</v>
      </c>
      <c r="BW158" s="1986">
        <v>1.17</v>
      </c>
      <c r="BX158" s="1986">
        <v>0.97</v>
      </c>
      <c r="BY158" s="1986">
        <v>0.88</v>
      </c>
      <c r="BZ158" s="1986">
        <v>1.1299999999999999</v>
      </c>
      <c r="CA158" s="1986">
        <v>4.43</v>
      </c>
      <c r="CB158" s="1986">
        <v>1.1299999999999999</v>
      </c>
      <c r="CC158" s="1986">
        <v>1.02</v>
      </c>
      <c r="CD158" s="1986">
        <v>1.8</v>
      </c>
      <c r="CE158" s="1986">
        <v>1.82</v>
      </c>
      <c r="CF158" s="1986">
        <v>1.39</v>
      </c>
      <c r="CG158" s="1986">
        <v>1.1299999999999999</v>
      </c>
      <c r="CH158" s="1986">
        <v>1.59</v>
      </c>
      <c r="CI158" s="1986">
        <v>0.8</v>
      </c>
      <c r="CJ158" s="1986">
        <v>1</v>
      </c>
      <c r="CK158" s="1986">
        <v>1.31</v>
      </c>
      <c r="CL158" s="1986">
        <v>2.1800000000000002</v>
      </c>
      <c r="CM158" s="1986">
        <v>1.1299999999999999</v>
      </c>
      <c r="CN158" s="1986">
        <v>0.95</v>
      </c>
      <c r="CO158" s="1986">
        <v>1.1000000000000001</v>
      </c>
      <c r="CP158" s="1986">
        <v>0.66</v>
      </c>
      <c r="CQ158" s="1986">
        <v>1.94</v>
      </c>
      <c r="CR158" s="1986">
        <v>3.15</v>
      </c>
      <c r="CS158" s="1986">
        <v>3.54</v>
      </c>
      <c r="CT158" s="1986">
        <v>1.39</v>
      </c>
      <c r="CU158" s="1986">
        <v>1.53</v>
      </c>
      <c r="CV158" s="1986">
        <v>1.35</v>
      </c>
      <c r="CW158" s="1986">
        <v>0.79</v>
      </c>
      <c r="CX158" s="1986">
        <v>1.42</v>
      </c>
      <c r="CY158" s="1986">
        <v>2.23</v>
      </c>
      <c r="CZ158" s="1988">
        <f t="shared" si="10"/>
        <v>1.5595049504950487E-2</v>
      </c>
      <c r="DA158" s="1992">
        <f>(AVERAGE(C158:CY158)/100)*$CZ$163/SUM($CZ$157:$CZ$161)</f>
        <v>1.6376397461301685E-2</v>
      </c>
    </row>
    <row r="159" spans="2:105" ht="20" hidden="1" customHeight="1" outlineLevel="1" x14ac:dyDescent="0.2">
      <c r="B159" s="1172" t="s">
        <v>1110</v>
      </c>
      <c r="C159" s="1986">
        <v>6.24</v>
      </c>
      <c r="D159" s="1986">
        <v>5.26</v>
      </c>
      <c r="E159" s="1986">
        <v>2.92</v>
      </c>
      <c r="F159" s="1986">
        <v>2.8</v>
      </c>
      <c r="G159" s="1986">
        <v>13.54</v>
      </c>
      <c r="H159" s="1986">
        <v>2.41</v>
      </c>
      <c r="I159" s="1986">
        <v>2.96</v>
      </c>
      <c r="J159" s="1986">
        <v>2.3199999999999998</v>
      </c>
      <c r="K159" s="1986">
        <v>4.67</v>
      </c>
      <c r="L159" s="1986">
        <v>2.75</v>
      </c>
      <c r="M159" s="1986">
        <v>1.71</v>
      </c>
      <c r="N159" s="1986">
        <v>13.26</v>
      </c>
      <c r="O159" s="1986">
        <v>14.59</v>
      </c>
      <c r="P159" s="1986">
        <v>5.34</v>
      </c>
      <c r="Q159" s="1986">
        <v>1.53</v>
      </c>
      <c r="R159" s="1986">
        <v>3.1</v>
      </c>
      <c r="S159" s="1986">
        <v>3.25</v>
      </c>
      <c r="T159" s="1986">
        <v>3.43</v>
      </c>
      <c r="U159" s="1986">
        <v>1.89</v>
      </c>
      <c r="V159" s="1986">
        <v>2.63</v>
      </c>
      <c r="W159" s="1986">
        <v>10.92</v>
      </c>
      <c r="X159" s="1986">
        <v>2.4500000000000002</v>
      </c>
      <c r="Y159" s="1986">
        <v>1.52</v>
      </c>
      <c r="Z159" s="1986">
        <v>2.3199999999999998</v>
      </c>
      <c r="AA159" s="1986">
        <v>1.97</v>
      </c>
      <c r="AB159" s="1986">
        <v>6.43</v>
      </c>
      <c r="AC159" s="1986">
        <v>4.18</v>
      </c>
      <c r="AD159" s="1986">
        <v>28.37</v>
      </c>
      <c r="AE159" s="1986">
        <v>5.58</v>
      </c>
      <c r="AF159" s="1986">
        <v>9.5</v>
      </c>
      <c r="AG159" s="1986">
        <v>4.79</v>
      </c>
      <c r="AH159" s="1986">
        <v>3.81</v>
      </c>
      <c r="AI159" s="1986">
        <v>1.67</v>
      </c>
      <c r="AJ159" s="1986">
        <v>11.77</v>
      </c>
      <c r="AK159" s="1986">
        <v>5.85</v>
      </c>
      <c r="AL159" s="1986">
        <v>3.05</v>
      </c>
      <c r="AM159" s="1986">
        <v>7.06</v>
      </c>
      <c r="AN159" s="1986">
        <v>2.11</v>
      </c>
      <c r="AO159" s="1986">
        <v>13.26</v>
      </c>
      <c r="AP159" s="1986">
        <v>1.58</v>
      </c>
      <c r="AQ159" s="1986">
        <v>2.13</v>
      </c>
      <c r="AR159" s="1986">
        <v>2.44</v>
      </c>
      <c r="AS159" s="1986">
        <v>6.73</v>
      </c>
      <c r="AT159" s="1986">
        <v>4.8600000000000003</v>
      </c>
      <c r="AU159" s="1986">
        <v>3.93</v>
      </c>
      <c r="AV159" s="1986">
        <v>1.83</v>
      </c>
      <c r="AW159" s="1986">
        <v>48.01</v>
      </c>
      <c r="AX159" s="1986">
        <v>8.98</v>
      </c>
      <c r="AY159" s="1986">
        <v>9.81</v>
      </c>
      <c r="AZ159" s="1986">
        <v>2.73</v>
      </c>
      <c r="BA159" s="1986">
        <v>9.31</v>
      </c>
      <c r="BB159" s="1986">
        <v>11.27</v>
      </c>
      <c r="BC159" s="1986">
        <v>2.4500000000000002</v>
      </c>
      <c r="BD159" s="1986">
        <v>5.76</v>
      </c>
      <c r="BE159" s="1986">
        <v>1.84</v>
      </c>
      <c r="BF159" s="1986">
        <v>3.94</v>
      </c>
      <c r="BG159" s="1986">
        <v>7.8</v>
      </c>
      <c r="BH159" s="1986">
        <v>11.64</v>
      </c>
      <c r="BI159" s="1986">
        <v>9.3000000000000007</v>
      </c>
      <c r="BJ159" s="1986">
        <v>1.85</v>
      </c>
      <c r="BK159" s="1986">
        <v>2.0699999999999998</v>
      </c>
      <c r="BL159" s="1986">
        <v>1.22</v>
      </c>
      <c r="BM159" s="1986">
        <v>5.37</v>
      </c>
      <c r="BN159" s="1986">
        <v>2.65</v>
      </c>
      <c r="BO159" s="1986">
        <v>7.35</v>
      </c>
      <c r="BP159" s="1986">
        <v>7.83</v>
      </c>
      <c r="BQ159" s="1986">
        <v>2.5099999999999998</v>
      </c>
      <c r="BR159" s="1986">
        <v>22.09</v>
      </c>
      <c r="BS159" s="1986">
        <v>9.93</v>
      </c>
      <c r="BT159" s="1986">
        <v>2.2200000000000002</v>
      </c>
      <c r="BU159" s="1986">
        <v>3.26</v>
      </c>
      <c r="BV159" s="1986">
        <v>8.3699999999999992</v>
      </c>
      <c r="BW159" s="1986">
        <v>3.07</v>
      </c>
      <c r="BX159" s="1986">
        <v>11.85</v>
      </c>
      <c r="BY159" s="1986">
        <v>10.81</v>
      </c>
      <c r="BZ159" s="1986">
        <v>2.0299999999999998</v>
      </c>
      <c r="CA159" s="1986">
        <v>64.33</v>
      </c>
      <c r="CB159" s="1986">
        <v>4.71</v>
      </c>
      <c r="CC159" s="1986">
        <v>6.67</v>
      </c>
      <c r="CD159" s="1986">
        <v>3.72</v>
      </c>
      <c r="CE159" s="1986">
        <v>3.37</v>
      </c>
      <c r="CF159" s="1986">
        <v>24.01</v>
      </c>
      <c r="CG159" s="1986">
        <v>3.12</v>
      </c>
      <c r="CH159" s="1986">
        <v>7.14</v>
      </c>
      <c r="CI159" s="1986">
        <v>6.11</v>
      </c>
      <c r="CJ159" s="1986">
        <v>27</v>
      </c>
      <c r="CK159" s="1986">
        <v>10.35</v>
      </c>
      <c r="CL159" s="1986">
        <v>51.9</v>
      </c>
      <c r="CM159" s="1986">
        <v>6.39</v>
      </c>
      <c r="CN159" s="1986">
        <v>3.27</v>
      </c>
      <c r="CO159" s="1986">
        <v>2.68</v>
      </c>
      <c r="CP159" s="1986">
        <v>7.21</v>
      </c>
      <c r="CQ159" s="1986">
        <v>36.1</v>
      </c>
      <c r="CR159" s="1986">
        <v>48.04</v>
      </c>
      <c r="CS159" s="1986">
        <v>5.52</v>
      </c>
      <c r="CT159" s="1986">
        <v>3.63</v>
      </c>
      <c r="CU159" s="1986">
        <v>1.58</v>
      </c>
      <c r="CV159" s="1986">
        <v>4.71</v>
      </c>
      <c r="CW159" s="1986">
        <v>2.48</v>
      </c>
      <c r="CX159" s="1986">
        <v>5.14</v>
      </c>
      <c r="CY159" s="1986">
        <v>32.17</v>
      </c>
      <c r="CZ159" s="1988">
        <f t="shared" si="10"/>
        <v>8.4691089108910905E-2</v>
      </c>
      <c r="DA159" s="1992">
        <f>(AVERAGE(C159:CY159)/100)*$CZ$163/SUM($CZ$157:$CZ$161)</f>
        <v>8.8934308046779542E-2</v>
      </c>
    </row>
    <row r="160" spans="2:105" ht="20" hidden="1" customHeight="1" outlineLevel="1" x14ac:dyDescent="0.2">
      <c r="B160" s="1172" t="s">
        <v>1111</v>
      </c>
      <c r="C160" s="1986">
        <v>1.6</v>
      </c>
      <c r="D160" s="1986">
        <v>1.04</v>
      </c>
      <c r="E160" s="1986">
        <v>1.69</v>
      </c>
      <c r="F160" s="1986">
        <v>1.28</v>
      </c>
      <c r="G160" s="1986">
        <v>1.44</v>
      </c>
      <c r="H160" s="1986">
        <v>1.44</v>
      </c>
      <c r="I160" s="1986">
        <v>1.07</v>
      </c>
      <c r="J160" s="1986">
        <v>1.27</v>
      </c>
      <c r="K160" s="1986">
        <v>2.46</v>
      </c>
      <c r="L160" s="1986">
        <v>1.66</v>
      </c>
      <c r="M160" s="1986">
        <v>1.1299999999999999</v>
      </c>
      <c r="N160" s="1986">
        <v>6.58</v>
      </c>
      <c r="O160" s="1986">
        <v>1.45</v>
      </c>
      <c r="P160" s="1986">
        <v>2.0699999999999998</v>
      </c>
      <c r="Q160" s="1986">
        <v>0.94</v>
      </c>
      <c r="R160" s="1986">
        <v>1.1399999999999999</v>
      </c>
      <c r="S160" s="1986">
        <v>3.14</v>
      </c>
      <c r="T160" s="1986">
        <v>1.84</v>
      </c>
      <c r="U160" s="1986">
        <v>0.89</v>
      </c>
      <c r="V160" s="1986">
        <v>0.4</v>
      </c>
      <c r="W160" s="1986">
        <v>2.96</v>
      </c>
      <c r="X160" s="1986">
        <v>1.26</v>
      </c>
      <c r="Y160" s="1986">
        <v>0.55000000000000004</v>
      </c>
      <c r="Z160" s="1986">
        <v>1.76</v>
      </c>
      <c r="AA160" s="1986">
        <v>1.08</v>
      </c>
      <c r="AB160" s="1986">
        <v>1.89</v>
      </c>
      <c r="AC160" s="1986">
        <v>2.25</v>
      </c>
      <c r="AD160" s="1986">
        <v>0.94</v>
      </c>
      <c r="AE160" s="1986">
        <v>0.95</v>
      </c>
      <c r="AF160" s="1986">
        <v>1.51</v>
      </c>
      <c r="AG160" s="1986">
        <v>1.32</v>
      </c>
      <c r="AH160" s="1986">
        <v>1.66</v>
      </c>
      <c r="AI160" s="1986">
        <v>0.89</v>
      </c>
      <c r="AJ160" s="1986">
        <v>4.57</v>
      </c>
      <c r="AK160" s="1986">
        <v>0.5</v>
      </c>
      <c r="AL160" s="1986">
        <v>4.17</v>
      </c>
      <c r="AM160" s="1986">
        <v>3.14</v>
      </c>
      <c r="AN160" s="1986">
        <v>0.41</v>
      </c>
      <c r="AO160" s="1986">
        <v>4.28</v>
      </c>
      <c r="AP160" s="1986">
        <v>0.77</v>
      </c>
      <c r="AQ160" s="1986">
        <v>1.94</v>
      </c>
      <c r="AR160" s="1986">
        <v>1.17</v>
      </c>
      <c r="AS160" s="1986">
        <v>2.69</v>
      </c>
      <c r="AT160" s="1986">
        <v>0.79</v>
      </c>
      <c r="AU160" s="1986">
        <v>1.97</v>
      </c>
      <c r="AV160" s="1986">
        <v>1.86</v>
      </c>
      <c r="AW160" s="1986">
        <v>3.18</v>
      </c>
      <c r="AX160" s="1986">
        <v>3.24</v>
      </c>
      <c r="AY160" s="1986">
        <v>3.19</v>
      </c>
      <c r="AZ160" s="1986">
        <v>1.57</v>
      </c>
      <c r="BA160" s="1986">
        <v>2.92</v>
      </c>
      <c r="BB160" s="1986">
        <v>4.1900000000000004</v>
      </c>
      <c r="BC160" s="1986">
        <v>1.45</v>
      </c>
      <c r="BD160" s="1986">
        <v>1.26</v>
      </c>
      <c r="BE160" s="1986">
        <v>1.65</v>
      </c>
      <c r="BF160" s="1986">
        <v>1.91</v>
      </c>
      <c r="BG160" s="1986">
        <v>1.18</v>
      </c>
      <c r="BH160" s="1986">
        <v>3.99</v>
      </c>
      <c r="BI160" s="1986">
        <v>2.4500000000000002</v>
      </c>
      <c r="BJ160" s="1986">
        <v>1.0900000000000001</v>
      </c>
      <c r="BK160" s="1986">
        <v>1.61</v>
      </c>
      <c r="BL160" s="1986">
        <v>0.72</v>
      </c>
      <c r="BM160" s="1986">
        <v>3.03</v>
      </c>
      <c r="BN160" s="1986">
        <v>1.45</v>
      </c>
      <c r="BO160" s="1986">
        <v>2.27</v>
      </c>
      <c r="BP160" s="1986">
        <v>0.22</v>
      </c>
      <c r="BQ160" s="1986">
        <v>1.55</v>
      </c>
      <c r="BR160" s="1986">
        <v>0.78</v>
      </c>
      <c r="BS160" s="1986">
        <v>1.55</v>
      </c>
      <c r="BT160" s="1986">
        <v>1.37</v>
      </c>
      <c r="BU160" s="1986">
        <v>1.86</v>
      </c>
      <c r="BV160" s="1986">
        <v>0.82</v>
      </c>
      <c r="BW160" s="1986">
        <v>1.37</v>
      </c>
      <c r="BX160" s="1986">
        <v>2.48</v>
      </c>
      <c r="BY160" s="1986">
        <v>0.96</v>
      </c>
      <c r="BZ160" s="1986">
        <v>1.21</v>
      </c>
      <c r="CA160" s="1986">
        <v>5.46</v>
      </c>
      <c r="CB160" s="1986">
        <v>1.26</v>
      </c>
      <c r="CC160" s="1986">
        <v>1.53</v>
      </c>
      <c r="CD160" s="1986">
        <v>1.77</v>
      </c>
      <c r="CE160" s="1986">
        <v>1.73</v>
      </c>
      <c r="CF160" s="1986">
        <v>4.0999999999999996</v>
      </c>
      <c r="CG160" s="1986">
        <v>1.44</v>
      </c>
      <c r="CH160" s="1986">
        <v>2.2200000000000002</v>
      </c>
      <c r="CI160" s="1986">
        <v>2.56</v>
      </c>
      <c r="CJ160" s="1986">
        <v>0.81</v>
      </c>
      <c r="CK160" s="1986">
        <v>1.47</v>
      </c>
      <c r="CL160" s="1986">
        <v>1.93</v>
      </c>
      <c r="CM160" s="1986">
        <v>2.15</v>
      </c>
      <c r="CN160" s="1986">
        <v>1.82</v>
      </c>
      <c r="CO160" s="1986">
        <v>1.39</v>
      </c>
      <c r="CP160" s="1986">
        <v>2.2400000000000002</v>
      </c>
      <c r="CQ160" s="1986">
        <v>0.85</v>
      </c>
      <c r="CR160" s="1986">
        <v>2.1</v>
      </c>
      <c r="CS160" s="1986">
        <v>1.77</v>
      </c>
      <c r="CT160" s="1986">
        <v>2.3199999999999998</v>
      </c>
      <c r="CU160" s="1986">
        <v>2.04</v>
      </c>
      <c r="CV160" s="1986">
        <v>1.8</v>
      </c>
      <c r="CW160" s="1986">
        <v>1.25</v>
      </c>
      <c r="CX160" s="1986">
        <v>1.48</v>
      </c>
      <c r="CY160" s="1986">
        <v>1.44</v>
      </c>
      <c r="CZ160" s="1988">
        <f t="shared" si="10"/>
        <v>1.8540594059405939E-2</v>
      </c>
      <c r="DA160" s="1992">
        <f>(AVERAGE(C160:CY160)/100)*$CZ$163/SUM($CZ$157:$CZ$161)</f>
        <v>1.9469520592999525E-2</v>
      </c>
    </row>
    <row r="161" spans="2:105" ht="20" hidden="1" customHeight="1" outlineLevel="1" x14ac:dyDescent="0.2">
      <c r="B161" s="1172" t="s">
        <v>1112</v>
      </c>
      <c r="C161" s="1986">
        <v>4.7</v>
      </c>
      <c r="D161" s="1986">
        <v>6.51</v>
      </c>
      <c r="E161" s="1986">
        <v>6.51</v>
      </c>
      <c r="F161" s="1986">
        <v>8.34</v>
      </c>
      <c r="G161" s="1986">
        <v>9.06</v>
      </c>
      <c r="H161" s="1986">
        <v>5.38</v>
      </c>
      <c r="I161" s="1986">
        <v>7.41</v>
      </c>
      <c r="J161" s="1986">
        <v>6.19</v>
      </c>
      <c r="K161" s="1986">
        <v>6.39</v>
      </c>
      <c r="L161" s="1986">
        <v>6.92</v>
      </c>
      <c r="M161" s="1986">
        <v>8.85</v>
      </c>
      <c r="N161" s="1986">
        <v>5.56</v>
      </c>
      <c r="O161" s="1986">
        <v>6.95</v>
      </c>
      <c r="P161" s="1986">
        <v>5.82</v>
      </c>
      <c r="Q161" s="1986">
        <v>10.09</v>
      </c>
      <c r="R161" s="1986">
        <v>5.0199999999999996</v>
      </c>
      <c r="S161" s="1986">
        <v>4.58</v>
      </c>
      <c r="T161" s="1986">
        <v>5.89</v>
      </c>
      <c r="U161" s="1986">
        <v>6.09</v>
      </c>
      <c r="V161" s="1986">
        <v>7.13</v>
      </c>
      <c r="W161" s="1986">
        <v>7.36</v>
      </c>
      <c r="X161" s="1986">
        <v>4.58</v>
      </c>
      <c r="Y161" s="1986">
        <v>7.03</v>
      </c>
      <c r="Z161" s="1986">
        <v>4.6399999999999997</v>
      </c>
      <c r="AA161" s="1986">
        <v>5.43</v>
      </c>
      <c r="AB161" s="1986">
        <v>6.81</v>
      </c>
      <c r="AC161" s="1986">
        <v>5.56</v>
      </c>
      <c r="AD161" s="1986">
        <v>4.66</v>
      </c>
      <c r="AE161" s="1986">
        <v>4.59</v>
      </c>
      <c r="AF161" s="1986">
        <v>5.17</v>
      </c>
      <c r="AG161" s="1986">
        <v>4.92</v>
      </c>
      <c r="AH161" s="1986">
        <v>5.63</v>
      </c>
      <c r="AI161" s="1986">
        <v>5.17</v>
      </c>
      <c r="AJ161" s="1986">
        <v>4.24</v>
      </c>
      <c r="AK161" s="1986">
        <v>4.82</v>
      </c>
      <c r="AL161" s="1986">
        <v>8</v>
      </c>
      <c r="AM161" s="1986">
        <v>5.4</v>
      </c>
      <c r="AN161" s="1986">
        <v>8.51</v>
      </c>
      <c r="AO161" s="1986">
        <v>4.38</v>
      </c>
      <c r="AP161" s="1986">
        <v>7.58</v>
      </c>
      <c r="AQ161" s="1986">
        <v>8.6300000000000008</v>
      </c>
      <c r="AR161" s="1986">
        <v>5.37</v>
      </c>
      <c r="AS161" s="1986">
        <v>6.52</v>
      </c>
      <c r="AT161" s="1986">
        <v>6.06</v>
      </c>
      <c r="AU161" s="1986">
        <v>11.9</v>
      </c>
      <c r="AV161" s="1986">
        <v>6.2</v>
      </c>
      <c r="AW161" s="1986">
        <v>9.7100000000000009</v>
      </c>
      <c r="AX161" s="1986">
        <v>6.47</v>
      </c>
      <c r="AY161" s="1986">
        <v>5.1100000000000003</v>
      </c>
      <c r="AZ161" s="1986">
        <v>6.21</v>
      </c>
      <c r="BA161" s="1986">
        <v>5.32</v>
      </c>
      <c r="BB161" s="1986">
        <v>5.41</v>
      </c>
      <c r="BC161" s="1986">
        <v>7.16</v>
      </c>
      <c r="BD161" s="1986">
        <v>7.41</v>
      </c>
      <c r="BE161" s="1986">
        <v>3.58</v>
      </c>
      <c r="BF161" s="1986">
        <v>4.8099999999999996</v>
      </c>
      <c r="BG161" s="1986">
        <v>6.41</v>
      </c>
      <c r="BH161" s="1986">
        <v>4.2</v>
      </c>
      <c r="BI161" s="1986">
        <v>5.05</v>
      </c>
      <c r="BJ161" s="1986">
        <v>6.96</v>
      </c>
      <c r="BK161" s="1986">
        <v>5.29</v>
      </c>
      <c r="BL161" s="1986">
        <v>11.39</v>
      </c>
      <c r="BM161" s="1986">
        <v>5.24</v>
      </c>
      <c r="BN161" s="1986">
        <v>5.45</v>
      </c>
      <c r="BO161" s="1986">
        <v>7.95</v>
      </c>
      <c r="BP161" s="1986">
        <v>4.5599999999999996</v>
      </c>
      <c r="BQ161" s="1986">
        <v>5.52</v>
      </c>
      <c r="BR161" s="1986">
        <v>17.670000000000002</v>
      </c>
      <c r="BS161" s="1986">
        <v>6.74</v>
      </c>
      <c r="BT161" s="1986">
        <v>7.74</v>
      </c>
      <c r="BU161" s="1986">
        <v>4.3</v>
      </c>
      <c r="BV161" s="1986">
        <v>4.96</v>
      </c>
      <c r="BW161" s="1986">
        <v>7.01</v>
      </c>
      <c r="BX161" s="1986">
        <v>5.71</v>
      </c>
      <c r="BY161" s="1986">
        <v>5.01</v>
      </c>
      <c r="BZ161" s="1986">
        <v>6.67</v>
      </c>
      <c r="CA161" s="1986">
        <v>10.49</v>
      </c>
      <c r="CB161" s="1986">
        <v>5.09</v>
      </c>
      <c r="CC161" s="1986">
        <v>6.95</v>
      </c>
      <c r="CD161" s="1986">
        <v>4.5199999999999996</v>
      </c>
      <c r="CE161" s="1986">
        <v>6.45</v>
      </c>
      <c r="CF161" s="1986">
        <v>7.98</v>
      </c>
      <c r="CG161" s="1986">
        <v>6.08</v>
      </c>
      <c r="CH161" s="1986">
        <v>5.08</v>
      </c>
      <c r="CI161" s="1986">
        <v>8.83</v>
      </c>
      <c r="CJ161" s="1986">
        <v>4.33</v>
      </c>
      <c r="CK161" s="1986">
        <v>6.43</v>
      </c>
      <c r="CL161" s="1986">
        <v>5.92</v>
      </c>
      <c r="CM161" s="1986">
        <v>6.95</v>
      </c>
      <c r="CN161" s="1986">
        <v>5.25</v>
      </c>
      <c r="CO161" s="1986">
        <v>4.45</v>
      </c>
      <c r="CP161" s="1986">
        <v>6.25</v>
      </c>
      <c r="CQ161" s="1986">
        <v>4.6399999999999997</v>
      </c>
      <c r="CR161" s="1986">
        <v>6.56</v>
      </c>
      <c r="CS161" s="1986">
        <v>6.84</v>
      </c>
      <c r="CT161" s="1986">
        <v>5.57</v>
      </c>
      <c r="CU161" s="1986">
        <v>3.6</v>
      </c>
      <c r="CV161" s="1986">
        <v>4.91</v>
      </c>
      <c r="CW161" s="1986">
        <v>6.75</v>
      </c>
      <c r="CX161" s="1986">
        <v>6.59</v>
      </c>
      <c r="CY161" s="1986">
        <v>5.38</v>
      </c>
      <c r="CZ161" s="1988">
        <f t="shared" si="10"/>
        <v>6.3312871287128744E-2</v>
      </c>
      <c r="DA161" s="1992">
        <f>(AVERAGE(C161:CY161)/100)*$CZ$163/SUM($CZ$157:$CZ$161)</f>
        <v>6.6484992194806594E-2</v>
      </c>
    </row>
    <row r="162" spans="2:105" ht="20" hidden="1" customHeight="1" outlineLevel="1" x14ac:dyDescent="0.2">
      <c r="B162" s="1172" t="s">
        <v>1113</v>
      </c>
      <c r="C162" s="1986">
        <v>3.97</v>
      </c>
      <c r="D162" s="1986">
        <v>5.12</v>
      </c>
      <c r="E162" s="1986">
        <v>6.61</v>
      </c>
      <c r="F162" s="1986">
        <v>5.77</v>
      </c>
      <c r="G162" s="1986">
        <v>3.83</v>
      </c>
      <c r="H162" s="1986">
        <v>4.96</v>
      </c>
      <c r="I162" s="1986">
        <v>5.21</v>
      </c>
      <c r="J162" s="1986">
        <v>6.6</v>
      </c>
      <c r="K162" s="1986">
        <v>4.6100000000000003</v>
      </c>
      <c r="L162" s="1986">
        <v>5.83</v>
      </c>
      <c r="M162" s="1986">
        <v>8.0299999999999994</v>
      </c>
      <c r="N162" s="1986">
        <v>3.84</v>
      </c>
      <c r="O162" s="1986">
        <v>3.15</v>
      </c>
      <c r="P162" s="1986">
        <v>4.78</v>
      </c>
      <c r="Q162" s="1986">
        <v>7.71</v>
      </c>
      <c r="R162" s="1986">
        <v>5.48</v>
      </c>
      <c r="S162" s="1986">
        <v>5.38</v>
      </c>
      <c r="T162" s="1986">
        <v>5.22</v>
      </c>
      <c r="U162" s="1986">
        <v>5.94</v>
      </c>
      <c r="V162" s="1986">
        <v>3.16</v>
      </c>
      <c r="W162" s="1986">
        <v>4.51</v>
      </c>
      <c r="X162" s="1986">
        <v>5.52</v>
      </c>
      <c r="Y162" s="1986">
        <v>9.17</v>
      </c>
      <c r="Z162" s="1986">
        <v>5.72</v>
      </c>
      <c r="AA162" s="1986">
        <v>6.61</v>
      </c>
      <c r="AB162" s="1986">
        <v>4.28</v>
      </c>
      <c r="AC162" s="1986">
        <v>4.9000000000000004</v>
      </c>
      <c r="AD162" s="1986">
        <v>2.95</v>
      </c>
      <c r="AE162" s="1986">
        <v>4.34</v>
      </c>
      <c r="AF162" s="1986">
        <v>4.47</v>
      </c>
      <c r="AG162" s="1986">
        <v>4.6100000000000003</v>
      </c>
      <c r="AH162" s="1986">
        <v>4.68</v>
      </c>
      <c r="AI162" s="1986">
        <v>7.55</v>
      </c>
      <c r="AJ162" s="1986">
        <v>3.69</v>
      </c>
      <c r="AK162" s="1986">
        <v>2.99</v>
      </c>
      <c r="AL162" s="1986">
        <v>4.68</v>
      </c>
      <c r="AM162" s="1986">
        <v>3.7</v>
      </c>
      <c r="AN162" s="1986">
        <v>3.91</v>
      </c>
      <c r="AO162" s="1986">
        <v>3.19</v>
      </c>
      <c r="AP162" s="1986">
        <v>5.45</v>
      </c>
      <c r="AQ162" s="1986">
        <v>5.87</v>
      </c>
      <c r="AR162" s="1986">
        <v>4.6900000000000004</v>
      </c>
      <c r="AS162" s="1986">
        <v>3.7</v>
      </c>
      <c r="AT162" s="1986">
        <v>4.3899999999999997</v>
      </c>
      <c r="AU162" s="1986">
        <v>6.21</v>
      </c>
      <c r="AV162" s="1986">
        <v>5.26</v>
      </c>
      <c r="AW162" s="1986">
        <v>3.05</v>
      </c>
      <c r="AX162" s="1986">
        <v>4.0199999999999996</v>
      </c>
      <c r="AY162" s="1986">
        <v>4.7300000000000004</v>
      </c>
      <c r="AZ162" s="1986">
        <v>6.22</v>
      </c>
      <c r="BA162" s="1986">
        <v>4.33</v>
      </c>
      <c r="BB162" s="1986">
        <v>3.81</v>
      </c>
      <c r="BC162" s="1986">
        <v>4.7699999999999996</v>
      </c>
      <c r="BD162" s="1986">
        <v>3.33</v>
      </c>
      <c r="BE162" s="1986">
        <v>4.7</v>
      </c>
      <c r="BF162" s="1986">
        <v>4.9000000000000004</v>
      </c>
      <c r="BG162" s="1986">
        <v>3.86</v>
      </c>
      <c r="BH162" s="1986">
        <v>4.09</v>
      </c>
      <c r="BI162" s="1986">
        <v>3.89</v>
      </c>
      <c r="BJ162" s="1986">
        <v>6.82</v>
      </c>
      <c r="BK162" s="1986">
        <v>5.73</v>
      </c>
      <c r="BL162" s="1986">
        <v>8.32</v>
      </c>
      <c r="BM162" s="1986">
        <v>4.8099999999999996</v>
      </c>
      <c r="BN162" s="1986">
        <v>5.82</v>
      </c>
      <c r="BO162" s="1986">
        <v>4.7300000000000004</v>
      </c>
      <c r="BP162" s="1986">
        <v>2.76</v>
      </c>
      <c r="BQ162" s="1986">
        <v>7.26</v>
      </c>
      <c r="BR162" s="1986">
        <v>4.83</v>
      </c>
      <c r="BS162" s="1986">
        <v>3.29</v>
      </c>
      <c r="BT162" s="1986">
        <v>5.48</v>
      </c>
      <c r="BU162" s="1986">
        <v>5.18</v>
      </c>
      <c r="BV162" s="1986">
        <v>3.24</v>
      </c>
      <c r="BW162" s="1986">
        <v>6.41</v>
      </c>
      <c r="BX162" s="1986">
        <v>3.5</v>
      </c>
      <c r="BY162" s="1986">
        <v>3.8</v>
      </c>
      <c r="BZ162" s="1986">
        <v>6.73</v>
      </c>
      <c r="CA162" s="1986">
        <v>4.66</v>
      </c>
      <c r="CB162" s="1986">
        <v>3.92</v>
      </c>
      <c r="CC162" s="1986">
        <v>4.7</v>
      </c>
      <c r="CD162" s="1986">
        <v>4.8499999999999996</v>
      </c>
      <c r="CE162" s="1986">
        <v>4.41</v>
      </c>
      <c r="CF162" s="1986">
        <v>3.44</v>
      </c>
      <c r="CG162" s="1986">
        <v>5.09</v>
      </c>
      <c r="CH162" s="1986">
        <v>5.0599999999999996</v>
      </c>
      <c r="CI162" s="1986">
        <v>4.62</v>
      </c>
      <c r="CJ162" s="1986">
        <v>3.17</v>
      </c>
      <c r="CK162" s="1986">
        <v>3.77</v>
      </c>
      <c r="CL162" s="1986">
        <v>2.4700000000000002</v>
      </c>
      <c r="CM162" s="1986">
        <v>4.76</v>
      </c>
      <c r="CN162" s="1986">
        <v>4.99</v>
      </c>
      <c r="CO162" s="1986">
        <v>5.29</v>
      </c>
      <c r="CP162" s="1986">
        <v>3.68</v>
      </c>
      <c r="CQ162" s="1986">
        <v>2.61</v>
      </c>
      <c r="CR162" s="1986">
        <v>2.67</v>
      </c>
      <c r="CS162" s="1986">
        <v>3.85</v>
      </c>
      <c r="CT162" s="1986">
        <v>4.45</v>
      </c>
      <c r="CU162" s="1986">
        <v>4.88</v>
      </c>
      <c r="CV162" s="1986">
        <v>4.57</v>
      </c>
      <c r="CW162" s="1986">
        <v>5.01</v>
      </c>
      <c r="CX162" s="1986">
        <v>5.16</v>
      </c>
      <c r="CY162" s="1986">
        <v>3.16</v>
      </c>
      <c r="CZ162" s="1988">
        <f t="shared" si="10"/>
        <v>4.7711881188118838E-2</v>
      </c>
      <c r="DA162" s="1992"/>
    </row>
    <row r="163" spans="2:105" ht="20" hidden="1" customHeight="1" outlineLevel="1" thickBot="1" x14ac:dyDescent="0.25">
      <c r="B163" s="1173" t="s">
        <v>13</v>
      </c>
      <c r="C163" s="1993">
        <v>99.999999999999986</v>
      </c>
      <c r="D163" s="1993">
        <v>100.00000000000001</v>
      </c>
      <c r="E163" s="1993">
        <v>99.990000000000009</v>
      </c>
      <c r="F163" s="1993">
        <v>99.99</v>
      </c>
      <c r="G163" s="1993">
        <v>99.999999999999986</v>
      </c>
      <c r="H163" s="1993">
        <v>99.999999999999972</v>
      </c>
      <c r="I163" s="1993">
        <v>99.999999999999972</v>
      </c>
      <c r="J163" s="1993">
        <v>100.00999999999998</v>
      </c>
      <c r="K163" s="1993">
        <v>99.99</v>
      </c>
      <c r="L163" s="1993">
        <v>99.99</v>
      </c>
      <c r="M163" s="1993">
        <v>100.00999999999999</v>
      </c>
      <c r="N163" s="1993">
        <v>100.00000000000001</v>
      </c>
      <c r="O163" s="1993">
        <v>100.00000000000001</v>
      </c>
      <c r="P163" s="1993">
        <v>100</v>
      </c>
      <c r="Q163" s="1993">
        <v>99.999999999999986</v>
      </c>
      <c r="R163" s="1993">
        <v>100.00999999999999</v>
      </c>
      <c r="S163" s="1993">
        <v>99.99</v>
      </c>
      <c r="T163" s="1993">
        <v>100.01</v>
      </c>
      <c r="U163" s="1993">
        <v>100.01</v>
      </c>
      <c r="V163" s="1993">
        <v>100.01999999999998</v>
      </c>
      <c r="W163" s="1993">
        <v>100.00999999999999</v>
      </c>
      <c r="X163" s="1993">
        <v>99.990000000000009</v>
      </c>
      <c r="Y163" s="1993">
        <v>100</v>
      </c>
      <c r="Z163" s="1993">
        <v>99.999999999999986</v>
      </c>
      <c r="AA163" s="1993">
        <v>100.01</v>
      </c>
      <c r="AB163" s="1993">
        <v>99.99</v>
      </c>
      <c r="AC163" s="1993">
        <v>99.990000000000009</v>
      </c>
      <c r="AD163" s="1993">
        <v>100</v>
      </c>
      <c r="AE163" s="1993">
        <v>100</v>
      </c>
      <c r="AF163" s="1993">
        <v>100.00000000000001</v>
      </c>
      <c r="AG163" s="1993">
        <v>100.01</v>
      </c>
      <c r="AH163" s="1993">
        <v>99.97999999999999</v>
      </c>
      <c r="AI163" s="1993">
        <v>100</v>
      </c>
      <c r="AJ163" s="1993">
        <v>99.999999999999986</v>
      </c>
      <c r="AK163" s="1993">
        <v>100.00999999999998</v>
      </c>
      <c r="AL163" s="1993">
        <v>99.990000000000009</v>
      </c>
      <c r="AM163" s="1993">
        <v>100.01</v>
      </c>
      <c r="AN163" s="1993">
        <v>100</v>
      </c>
      <c r="AO163" s="1993">
        <v>99.990000000000009</v>
      </c>
      <c r="AP163" s="1993">
        <v>100.01</v>
      </c>
      <c r="AQ163" s="1993">
        <v>99.989999999999981</v>
      </c>
      <c r="AR163" s="1993">
        <v>99.990000000000009</v>
      </c>
      <c r="AS163" s="1993">
        <v>100.01</v>
      </c>
      <c r="AT163" s="1993">
        <v>100.00000000000001</v>
      </c>
      <c r="AU163" s="1993">
        <v>100.00000000000001</v>
      </c>
      <c r="AV163" s="1993">
        <v>100.01000000000002</v>
      </c>
      <c r="AW163" s="1993">
        <v>100.00000000000001</v>
      </c>
      <c r="AX163" s="1993">
        <v>99.999999999999986</v>
      </c>
      <c r="AY163" s="1993">
        <v>100.00000000000001</v>
      </c>
      <c r="AZ163" s="1993">
        <v>99.999999999999986</v>
      </c>
      <c r="BA163" s="1993">
        <v>100.01</v>
      </c>
      <c r="BB163" s="1993">
        <v>99.999999999999986</v>
      </c>
      <c r="BC163" s="1993">
        <v>99.999999999999986</v>
      </c>
      <c r="BD163" s="1993">
        <v>99.990000000000009</v>
      </c>
      <c r="BE163" s="1993">
        <v>100.01000000000002</v>
      </c>
      <c r="BF163" s="1993">
        <v>100</v>
      </c>
      <c r="BG163" s="1993">
        <v>100</v>
      </c>
      <c r="BH163" s="1993">
        <v>100.00000000000001</v>
      </c>
      <c r="BI163" s="1993">
        <v>100.01</v>
      </c>
      <c r="BJ163" s="1993">
        <v>99.989999999999981</v>
      </c>
      <c r="BK163" s="1993">
        <v>99.99</v>
      </c>
      <c r="BL163" s="1993">
        <v>100</v>
      </c>
      <c r="BM163" s="1993">
        <v>100.01</v>
      </c>
      <c r="BN163" s="1993">
        <v>99.990000000000009</v>
      </c>
      <c r="BO163" s="1993">
        <v>100.00999999999999</v>
      </c>
      <c r="BP163" s="1993">
        <v>99.99</v>
      </c>
      <c r="BQ163" s="1993">
        <v>100.01</v>
      </c>
      <c r="BR163" s="1993">
        <v>100.01</v>
      </c>
      <c r="BS163" s="1993">
        <v>100.01</v>
      </c>
      <c r="BT163" s="1993">
        <v>100.01</v>
      </c>
      <c r="BU163" s="1993">
        <v>99.990000000000009</v>
      </c>
      <c r="BV163" s="1993">
        <v>99.999999999999986</v>
      </c>
      <c r="BW163" s="1993">
        <v>100</v>
      </c>
      <c r="BX163" s="1993">
        <v>99.999999999999986</v>
      </c>
      <c r="BY163" s="1993">
        <v>99.99</v>
      </c>
      <c r="BZ163" s="1993">
        <v>100</v>
      </c>
      <c r="CA163" s="1993">
        <v>99.989999999999981</v>
      </c>
      <c r="CB163" s="1993">
        <v>100</v>
      </c>
      <c r="CC163" s="1993">
        <v>99.98</v>
      </c>
      <c r="CD163" s="1993">
        <v>100.00999999999998</v>
      </c>
      <c r="CE163" s="1993">
        <v>100</v>
      </c>
      <c r="CF163" s="1993">
        <v>100</v>
      </c>
      <c r="CG163" s="1993">
        <v>99.99</v>
      </c>
      <c r="CH163" s="1993">
        <v>99.990000000000009</v>
      </c>
      <c r="CI163" s="1993">
        <v>100</v>
      </c>
      <c r="CJ163" s="1993">
        <v>100</v>
      </c>
      <c r="CK163" s="1993">
        <v>99.999999999999986</v>
      </c>
      <c r="CL163" s="1993">
        <v>100.01</v>
      </c>
      <c r="CM163" s="1993">
        <v>100.00000000000001</v>
      </c>
      <c r="CN163" s="1993">
        <v>100.00999999999999</v>
      </c>
      <c r="CO163" s="1993">
        <v>100.00000000000001</v>
      </c>
      <c r="CP163" s="1993">
        <v>99.999999999999986</v>
      </c>
      <c r="CQ163" s="1993">
        <v>100</v>
      </c>
      <c r="CR163" s="1993">
        <v>100.01</v>
      </c>
      <c r="CS163" s="1993">
        <v>100.00999999999999</v>
      </c>
      <c r="CT163" s="1993">
        <v>99.999999999999986</v>
      </c>
      <c r="CU163" s="1993">
        <v>100</v>
      </c>
      <c r="CV163" s="1993">
        <v>99.999999999999972</v>
      </c>
      <c r="CW163" s="1993">
        <v>100.00000000000001</v>
      </c>
      <c r="CX163" s="1993">
        <v>99.990000000000009</v>
      </c>
      <c r="CY163" s="1993">
        <v>99.989999999999981</v>
      </c>
      <c r="CZ163" s="1994">
        <f>SUM(CZ157:CZ162)</f>
        <v>1.0000009900990094</v>
      </c>
      <c r="DA163" s="1995">
        <f>SUM(DA157:DA162)</f>
        <v>1.0000009900990094</v>
      </c>
    </row>
    <row r="164" spans="2:105" ht="20" hidden="1" customHeight="1" outlineLevel="1" x14ac:dyDescent="0.2">
      <c r="B164" s="1174"/>
      <c r="C164" s="1175"/>
      <c r="D164" s="1175"/>
      <c r="E164" s="1175"/>
      <c r="F164" s="1175"/>
      <c r="G164" s="1175"/>
      <c r="H164" s="1175"/>
      <c r="I164" s="1175"/>
      <c r="J164" s="1175"/>
      <c r="K164" s="1175"/>
      <c r="L164" s="1175"/>
      <c r="M164" s="1175"/>
      <c r="N164" s="1175"/>
      <c r="O164" s="1175"/>
      <c r="P164" s="1175"/>
      <c r="Q164" s="1175"/>
      <c r="R164" s="1175"/>
      <c r="S164" s="1175"/>
      <c r="T164" s="1175"/>
      <c r="U164" s="1175"/>
      <c r="V164" s="1175"/>
      <c r="W164" s="1175"/>
      <c r="X164" s="1175"/>
      <c r="Y164" s="1175"/>
      <c r="Z164" s="1175"/>
      <c r="AA164" s="1175"/>
      <c r="AB164" s="1175"/>
      <c r="AC164" s="1175"/>
      <c r="AD164" s="1175"/>
      <c r="AE164" s="1175"/>
      <c r="AF164" s="1175"/>
      <c r="AG164" s="1175"/>
      <c r="AH164" s="1175"/>
      <c r="AI164" s="1175"/>
      <c r="AJ164" s="1175"/>
      <c r="AK164" s="1175"/>
      <c r="AL164" s="1175"/>
      <c r="AM164" s="1175"/>
      <c r="AN164" s="1175"/>
      <c r="AO164" s="1175"/>
      <c r="AP164" s="1175"/>
      <c r="AQ164" s="1175"/>
      <c r="AR164" s="1175"/>
      <c r="AS164" s="1175"/>
      <c r="AT164" s="1175"/>
      <c r="AU164" s="1175"/>
      <c r="AV164" s="1175"/>
      <c r="AW164" s="1175"/>
      <c r="AX164" s="1175"/>
      <c r="AY164" s="1175"/>
      <c r="AZ164" s="1175"/>
      <c r="BA164" s="1175"/>
      <c r="BB164" s="1175"/>
      <c r="BC164" s="1175"/>
      <c r="BD164" s="1175"/>
      <c r="BE164" s="1175"/>
      <c r="BF164" s="1175"/>
      <c r="BG164" s="1175"/>
      <c r="BH164" s="1175"/>
      <c r="BI164" s="1175"/>
      <c r="BJ164" s="1175"/>
      <c r="BK164" s="1175"/>
      <c r="BL164" s="1175"/>
      <c r="BM164" s="1175"/>
      <c r="BN164" s="1175"/>
      <c r="BO164" s="1175"/>
      <c r="BP164" s="1175"/>
      <c r="BQ164" s="1175"/>
      <c r="BR164" s="1175"/>
      <c r="BS164" s="1175"/>
      <c r="BT164" s="1175"/>
      <c r="BU164" s="1175"/>
      <c r="BV164" s="1175"/>
      <c r="BW164" s="1175"/>
      <c r="BX164" s="1175"/>
      <c r="BY164" s="1175"/>
      <c r="BZ164" s="1175"/>
      <c r="CA164" s="1175"/>
      <c r="CB164" s="1175"/>
      <c r="CC164" s="1175"/>
      <c r="CD164" s="1175"/>
      <c r="CE164" s="1175"/>
      <c r="CF164" s="1175"/>
      <c r="CG164" s="1175"/>
      <c r="CH164" s="1175"/>
      <c r="CI164" s="1175"/>
      <c r="CJ164" s="1175"/>
      <c r="CK164" s="1175"/>
      <c r="CL164" s="1175"/>
      <c r="CM164" s="1175"/>
      <c r="CN164" s="1175"/>
      <c r="CO164" s="1175"/>
      <c r="CP164" s="1175"/>
      <c r="CQ164" s="1175"/>
      <c r="CR164" s="1175"/>
      <c r="CS164" s="1175"/>
      <c r="CT164" s="1175"/>
      <c r="CU164" s="1175"/>
      <c r="CV164" s="1175"/>
      <c r="CW164" s="1175"/>
      <c r="CX164" s="1175"/>
      <c r="CY164" s="1175"/>
      <c r="CZ164" s="1175"/>
      <c r="DA164" s="1175"/>
    </row>
    <row r="165" spans="2:105" ht="20" hidden="1" customHeight="1" outlineLevel="1" x14ac:dyDescent="0.2">
      <c r="B165" s="1176" t="s">
        <v>1114</v>
      </c>
      <c r="C165" s="1175"/>
      <c r="D165" s="1175"/>
      <c r="E165" s="1175"/>
      <c r="F165" s="1175"/>
      <c r="G165" s="1175"/>
      <c r="H165" s="1175"/>
      <c r="I165" s="1175"/>
      <c r="J165" s="1175"/>
      <c r="K165" s="1175"/>
      <c r="L165" s="1175"/>
      <c r="M165" s="1175"/>
      <c r="N165" s="1175"/>
      <c r="O165" s="1175"/>
      <c r="P165" s="1175"/>
      <c r="Q165" s="1175"/>
      <c r="R165" s="1175"/>
      <c r="S165" s="1175"/>
      <c r="T165" s="1175"/>
      <c r="U165" s="1175"/>
      <c r="V165" s="1175"/>
      <c r="W165" s="1175"/>
      <c r="X165" s="1175"/>
      <c r="Y165" s="1175"/>
      <c r="Z165" s="1175"/>
      <c r="AA165" s="1175"/>
      <c r="AB165" s="1175"/>
      <c r="AC165" s="1175"/>
      <c r="AD165" s="1175"/>
      <c r="AE165" s="1175"/>
      <c r="AF165" s="1175"/>
      <c r="AG165" s="1175"/>
      <c r="AH165" s="1175"/>
      <c r="AI165" s="1175"/>
      <c r="AJ165" s="1175"/>
      <c r="AK165" s="1175"/>
      <c r="AL165" s="1175"/>
      <c r="AM165" s="1175"/>
      <c r="AN165" s="1175"/>
      <c r="AO165" s="1175"/>
      <c r="AP165" s="1175"/>
      <c r="AQ165" s="1175"/>
      <c r="AR165" s="1175"/>
      <c r="AS165" s="1175"/>
      <c r="AT165" s="1175"/>
      <c r="AU165" s="1175"/>
      <c r="AV165" s="1175"/>
      <c r="AW165" s="1175"/>
      <c r="AX165" s="1175"/>
      <c r="AY165" s="1175"/>
      <c r="AZ165" s="1175"/>
      <c r="BA165" s="1175"/>
      <c r="BB165" s="1175"/>
      <c r="BC165" s="1175"/>
      <c r="BD165" s="1175"/>
      <c r="BE165" s="1175"/>
      <c r="BF165" s="1175"/>
      <c r="BG165" s="1175"/>
      <c r="BH165" s="1175"/>
      <c r="BI165" s="1175"/>
      <c r="BJ165" s="1175"/>
      <c r="BK165" s="1175"/>
      <c r="BL165" s="1175"/>
      <c r="BM165" s="1175"/>
      <c r="BN165" s="1175"/>
      <c r="BO165" s="1175"/>
      <c r="BP165" s="1175"/>
      <c r="BQ165" s="1175"/>
      <c r="BR165" s="1175"/>
      <c r="BS165" s="1175"/>
      <c r="BT165" s="1175"/>
      <c r="BU165" s="1175"/>
      <c r="BV165" s="1175"/>
      <c r="BW165" s="1175"/>
      <c r="BX165" s="1175"/>
      <c r="BY165" s="1175"/>
      <c r="BZ165" s="1175"/>
      <c r="CA165" s="1175"/>
      <c r="CB165" s="1175"/>
      <c r="CC165" s="1175"/>
      <c r="CD165" s="1175"/>
      <c r="CE165" s="1175"/>
      <c r="CF165" s="1175"/>
      <c r="CG165" s="1175"/>
      <c r="CH165" s="1175"/>
      <c r="CI165" s="1175"/>
      <c r="CJ165" s="1175"/>
      <c r="CK165" s="1175"/>
      <c r="CL165" s="1175"/>
      <c r="CM165" s="1175"/>
      <c r="CN165" s="1175"/>
      <c r="CO165" s="1175"/>
      <c r="CP165" s="1175"/>
      <c r="CQ165" s="1175"/>
      <c r="CR165" s="1175"/>
      <c r="CS165" s="1175"/>
      <c r="CT165" s="1175"/>
      <c r="CU165" s="1175"/>
      <c r="CV165" s="1175"/>
      <c r="CW165" s="1175"/>
      <c r="CX165" s="1175"/>
      <c r="CY165" s="1175"/>
      <c r="CZ165" s="1175"/>
      <c r="DA165" s="1175"/>
    </row>
    <row r="166" spans="2:105" ht="20" hidden="1" customHeight="1" outlineLevel="1" thickBot="1" x14ac:dyDescent="0.25">
      <c r="B166" s="1174"/>
      <c r="C166" s="1175"/>
      <c r="D166" s="1175"/>
      <c r="E166" s="1175"/>
      <c r="F166" s="1175"/>
      <c r="G166" s="1175"/>
      <c r="H166" s="1175"/>
      <c r="I166" s="1175"/>
      <c r="J166" s="1175"/>
      <c r="K166" s="1175"/>
      <c r="L166" s="1175"/>
      <c r="M166" s="1175"/>
      <c r="N166" s="1175"/>
      <c r="O166" s="1175"/>
      <c r="P166" s="1175"/>
      <c r="Q166" s="1175"/>
      <c r="R166" s="1175"/>
      <c r="S166" s="1175"/>
      <c r="T166" s="1175"/>
      <c r="U166" s="1175"/>
      <c r="V166" s="1175"/>
      <c r="W166" s="1175"/>
      <c r="X166" s="1175"/>
      <c r="Y166" s="1175"/>
      <c r="Z166" s="1175"/>
      <c r="AA166" s="1175"/>
      <c r="AB166" s="1175"/>
      <c r="AC166" s="1175"/>
      <c r="AD166" s="1175"/>
      <c r="AE166" s="1175"/>
      <c r="AF166" s="1175"/>
      <c r="AG166" s="1175"/>
      <c r="AH166" s="1175"/>
      <c r="AI166" s="1175"/>
      <c r="AJ166" s="1175"/>
      <c r="AK166" s="1175"/>
      <c r="AL166" s="1175"/>
      <c r="AM166" s="1175"/>
      <c r="AN166" s="1175"/>
      <c r="AO166" s="1175"/>
      <c r="AP166" s="1175"/>
      <c r="AQ166" s="1175"/>
      <c r="AR166" s="1175"/>
      <c r="AS166" s="1175"/>
      <c r="AT166" s="1175"/>
      <c r="AU166" s="1175"/>
      <c r="AV166" s="1175"/>
      <c r="AW166" s="1175"/>
      <c r="AX166" s="1175"/>
      <c r="AY166" s="1175"/>
      <c r="AZ166" s="1175"/>
      <c r="BA166" s="1175"/>
      <c r="BB166" s="1175"/>
      <c r="BC166" s="1175"/>
      <c r="BD166" s="1175"/>
      <c r="BE166" s="1175"/>
      <c r="BF166" s="1175"/>
      <c r="BG166" s="1175"/>
      <c r="BH166" s="1175"/>
      <c r="BI166" s="1175"/>
      <c r="BJ166" s="1175"/>
      <c r="BK166" s="1175"/>
      <c r="BL166" s="1175"/>
      <c r="BM166" s="1175"/>
      <c r="BN166" s="1175"/>
      <c r="BO166" s="1175"/>
      <c r="BP166" s="1175"/>
      <c r="BQ166" s="1175"/>
      <c r="BR166" s="1175"/>
      <c r="BS166" s="1175"/>
      <c r="BT166" s="1175"/>
      <c r="BU166" s="1175"/>
      <c r="BV166" s="1175"/>
      <c r="BW166" s="1175"/>
      <c r="BX166" s="1175"/>
      <c r="BY166" s="1175"/>
      <c r="BZ166" s="1175"/>
      <c r="CA166" s="1175"/>
      <c r="CB166" s="1175"/>
      <c r="CC166" s="1175"/>
      <c r="CD166" s="1175"/>
      <c r="CE166" s="1175"/>
      <c r="CF166" s="1175"/>
      <c r="CG166" s="1175"/>
      <c r="CH166" s="1175"/>
      <c r="CI166" s="1175"/>
      <c r="CJ166" s="1175"/>
      <c r="CK166" s="1175"/>
      <c r="CL166" s="1175"/>
      <c r="CM166" s="1175"/>
      <c r="CN166" s="1175"/>
      <c r="CO166" s="1175"/>
      <c r="CP166" s="1175"/>
      <c r="CQ166" s="1175"/>
      <c r="CR166" s="1175"/>
      <c r="CS166" s="1175"/>
      <c r="CT166" s="1175"/>
      <c r="CU166" s="1175"/>
      <c r="CV166" s="1175"/>
      <c r="CW166" s="1175"/>
      <c r="CX166" s="1175"/>
      <c r="CY166" s="1175"/>
      <c r="CZ166" s="1175"/>
      <c r="DA166" s="1175"/>
    </row>
    <row r="167" spans="2:105" ht="20" hidden="1" customHeight="1" outlineLevel="1" x14ac:dyDescent="0.2">
      <c r="B167" s="1177"/>
      <c r="C167" s="1178" t="s">
        <v>713</v>
      </c>
      <c r="D167" s="3032" t="s">
        <v>125</v>
      </c>
      <c r="E167" s="3033"/>
      <c r="F167" s="3033"/>
      <c r="G167" s="3033"/>
      <c r="H167" s="3034"/>
      <c r="I167" s="1175"/>
      <c r="J167" s="1175"/>
      <c r="K167" s="1175"/>
      <c r="L167" s="1175"/>
      <c r="M167" s="1175"/>
      <c r="N167" s="1175"/>
      <c r="O167" s="1175"/>
      <c r="P167" s="1175"/>
      <c r="Q167" s="1175"/>
      <c r="R167" s="1175"/>
      <c r="S167" s="1175"/>
      <c r="T167" s="1175"/>
      <c r="U167" s="1175"/>
      <c r="V167" s="1175"/>
      <c r="W167" s="1175"/>
      <c r="X167" s="1175"/>
      <c r="Y167" s="1175"/>
      <c r="Z167" s="1175"/>
      <c r="AA167" s="1175"/>
      <c r="AB167" s="1175"/>
      <c r="AC167" s="1175"/>
      <c r="AD167" s="1175"/>
      <c r="AE167" s="1175"/>
      <c r="AF167" s="1175"/>
      <c r="AG167" s="1175"/>
      <c r="AH167" s="1175"/>
      <c r="AI167" s="1175"/>
      <c r="AJ167" s="1175"/>
      <c r="AK167" s="1175"/>
      <c r="AL167" s="1175"/>
      <c r="AM167" s="1175"/>
      <c r="AN167" s="1175"/>
      <c r="AO167" s="1175"/>
      <c r="AP167" s="1175"/>
      <c r="AQ167" s="1175"/>
      <c r="AR167" s="1175"/>
      <c r="AS167" s="1175"/>
      <c r="AT167" s="1175"/>
      <c r="AU167" s="1175"/>
      <c r="AV167" s="1175"/>
      <c r="AW167" s="1175"/>
      <c r="AX167" s="1175"/>
      <c r="AY167" s="1175"/>
      <c r="AZ167" s="1175"/>
      <c r="BA167" s="1175"/>
      <c r="BB167" s="1175"/>
      <c r="BC167" s="1175"/>
      <c r="BD167" s="1175"/>
      <c r="BE167" s="1175"/>
      <c r="BF167" s="1175"/>
      <c r="BG167" s="1175"/>
      <c r="BH167" s="1175"/>
      <c r="BI167" s="1175"/>
      <c r="BJ167" s="1175"/>
      <c r="BK167" s="1175"/>
      <c r="BL167" s="1175"/>
      <c r="BM167" s="1175"/>
      <c r="BN167" s="1175"/>
      <c r="BO167" s="1175"/>
      <c r="BP167" s="1175"/>
      <c r="BQ167" s="1175"/>
      <c r="BR167" s="1175"/>
      <c r="BS167" s="1175"/>
      <c r="BT167" s="1175"/>
      <c r="BU167" s="1175"/>
      <c r="BV167" s="1175"/>
      <c r="BW167" s="1175"/>
      <c r="BX167" s="1175"/>
      <c r="BY167" s="1175"/>
      <c r="BZ167" s="1175"/>
      <c r="CA167" s="1175"/>
      <c r="CB167" s="1175"/>
      <c r="CC167" s="1175"/>
      <c r="CD167" s="1175"/>
      <c r="CE167" s="1175"/>
      <c r="CF167" s="1175"/>
      <c r="CG167" s="1175"/>
      <c r="CH167" s="1175"/>
      <c r="CI167" s="1175"/>
      <c r="CJ167" s="1175"/>
      <c r="CK167" s="1175"/>
      <c r="CL167" s="1175"/>
      <c r="CM167" s="1175"/>
      <c r="CN167" s="1175"/>
      <c r="CO167" s="1175"/>
      <c r="CP167" s="1175"/>
      <c r="CQ167" s="1175"/>
      <c r="CR167" s="1175"/>
      <c r="CS167" s="1175"/>
      <c r="CT167" s="1175"/>
      <c r="CU167" s="1175"/>
      <c r="CV167" s="1175"/>
      <c r="CW167" s="1175"/>
      <c r="CX167" s="1175"/>
      <c r="CY167" s="1175"/>
      <c r="CZ167" s="1175"/>
      <c r="DA167" s="1175"/>
    </row>
    <row r="168" spans="2:105" ht="20" hidden="1" customHeight="1" outlineLevel="1" x14ac:dyDescent="0.2">
      <c r="B168" s="1179" t="s">
        <v>700</v>
      </c>
      <c r="C168" s="1180">
        <v>0.216</v>
      </c>
      <c r="D168" s="3035" t="s">
        <v>702</v>
      </c>
      <c r="E168" s="3036"/>
      <c r="F168" s="3036"/>
      <c r="G168" s="3036"/>
      <c r="H168" s="3037"/>
      <c r="I168" s="1175"/>
      <c r="J168" s="1175"/>
      <c r="K168" s="1175"/>
      <c r="L168" s="1175"/>
      <c r="M168" s="1175"/>
      <c r="N168" s="1175"/>
      <c r="O168" s="1175"/>
      <c r="P168" s="1175"/>
      <c r="Q168" s="1175"/>
      <c r="R168" s="1175"/>
      <c r="S168" s="1175"/>
      <c r="T168" s="1175"/>
      <c r="U168" s="1175"/>
      <c r="V168" s="1175"/>
      <c r="W168" s="1175"/>
      <c r="X168" s="1175"/>
      <c r="Y168" s="1175"/>
      <c r="Z168" s="1175"/>
      <c r="AA168" s="1175"/>
      <c r="AB168" s="1175"/>
      <c r="AC168" s="1175"/>
      <c r="AD168" s="1175"/>
      <c r="AE168" s="1175"/>
      <c r="AF168" s="1175"/>
      <c r="AG168" s="1175"/>
      <c r="AH168" s="1175"/>
      <c r="AI168" s="1175"/>
      <c r="AJ168" s="1175"/>
      <c r="AK168" s="1175"/>
      <c r="AL168" s="1175"/>
      <c r="AM168" s="1175"/>
      <c r="AN168" s="1175"/>
      <c r="AO168" s="1175"/>
      <c r="AP168" s="1175"/>
      <c r="AQ168" s="1175"/>
      <c r="AR168" s="1175"/>
      <c r="AS168" s="1175"/>
      <c r="AT168" s="1175"/>
      <c r="AU168" s="1175"/>
      <c r="AV168" s="1175"/>
      <c r="AW168" s="1175"/>
      <c r="AX168" s="1175"/>
      <c r="AY168" s="1175"/>
      <c r="AZ168" s="1175"/>
      <c r="BA168" s="1175"/>
      <c r="BB168" s="1175"/>
      <c r="BC168" s="1175"/>
      <c r="BD168" s="1175"/>
      <c r="BE168" s="1175"/>
      <c r="BF168" s="1175"/>
      <c r="BG168" s="1175"/>
      <c r="BH168" s="1175"/>
      <c r="BI168" s="1175"/>
      <c r="BJ168" s="1175"/>
      <c r="BK168" s="1175"/>
      <c r="BL168" s="1175"/>
      <c r="BM168" s="1175"/>
      <c r="BN168" s="1175"/>
      <c r="BO168" s="1175"/>
      <c r="BP168" s="1175"/>
      <c r="BQ168" s="1175"/>
      <c r="BR168" s="1175"/>
      <c r="BS168" s="1175"/>
      <c r="BT168" s="1175"/>
      <c r="BU168" s="1175"/>
      <c r="BV168" s="1175"/>
      <c r="BW168" s="1175"/>
      <c r="BX168" s="1175"/>
      <c r="BY168" s="1175"/>
      <c r="BZ168" s="1175"/>
      <c r="CA168" s="1175"/>
      <c r="CB168" s="1175"/>
      <c r="CC168" s="1175"/>
      <c r="CD168" s="1175"/>
      <c r="CE168" s="1175"/>
      <c r="CF168" s="1175"/>
      <c r="CG168" s="1175"/>
      <c r="CH168" s="1175"/>
      <c r="CI168" s="1175"/>
      <c r="CJ168" s="1175"/>
      <c r="CK168" s="1175"/>
      <c r="CL168" s="1175"/>
      <c r="CM168" s="1175"/>
      <c r="CN168" s="1175"/>
      <c r="CO168" s="1175"/>
      <c r="CP168" s="1175"/>
      <c r="CQ168" s="1175"/>
      <c r="CR168" s="1175"/>
      <c r="CS168" s="1175"/>
      <c r="CT168" s="1175"/>
      <c r="CU168" s="1175"/>
      <c r="CV168" s="1175"/>
      <c r="CW168" s="1175"/>
      <c r="CX168" s="1175"/>
      <c r="CY168" s="1175"/>
      <c r="CZ168" s="1175"/>
      <c r="DA168" s="1175"/>
    </row>
    <row r="169" spans="2:105" ht="20" hidden="1" customHeight="1" outlineLevel="1" x14ac:dyDescent="0.2">
      <c r="B169" s="1179" t="s">
        <v>705</v>
      </c>
      <c r="C169" s="1180">
        <v>1.25</v>
      </c>
      <c r="D169" s="3041" t="s">
        <v>1116</v>
      </c>
      <c r="E169" s="3042"/>
      <c r="F169" s="3042"/>
      <c r="G169" s="3042"/>
      <c r="H169" s="3043"/>
      <c r="I169" s="1175"/>
      <c r="J169" s="1175"/>
      <c r="K169" s="1175"/>
      <c r="L169" s="1175"/>
      <c r="M169" s="1175"/>
      <c r="N169" s="1175"/>
      <c r="O169" s="1175"/>
      <c r="P169" s="1175"/>
      <c r="Q169" s="1175"/>
      <c r="R169" s="1175"/>
      <c r="S169" s="1175"/>
      <c r="T169" s="1175"/>
      <c r="U169" s="1175"/>
      <c r="V169" s="1175"/>
      <c r="W169" s="1175"/>
      <c r="X169" s="1175"/>
      <c r="Y169" s="1175"/>
      <c r="Z169" s="1175"/>
      <c r="AA169" s="1175"/>
      <c r="AB169" s="1175"/>
      <c r="AC169" s="1175"/>
      <c r="AD169" s="1175"/>
      <c r="AE169" s="1175"/>
      <c r="AF169" s="1175"/>
      <c r="AG169" s="1175"/>
      <c r="AH169" s="1175"/>
      <c r="AI169" s="1175"/>
      <c r="AJ169" s="1175"/>
      <c r="AK169" s="1175"/>
      <c r="AL169" s="1175"/>
      <c r="AM169" s="1175"/>
      <c r="AN169" s="1175"/>
      <c r="AO169" s="1175"/>
      <c r="AP169" s="1175"/>
      <c r="AQ169" s="1175"/>
      <c r="AR169" s="1175"/>
      <c r="AS169" s="1175"/>
      <c r="AT169" s="1175"/>
      <c r="AU169" s="1175"/>
      <c r="AV169" s="1175"/>
      <c r="AW169" s="1175"/>
      <c r="AX169" s="1175"/>
      <c r="AY169" s="1175"/>
      <c r="AZ169" s="1175"/>
      <c r="BA169" s="1175"/>
      <c r="BB169" s="1175"/>
      <c r="BC169" s="1175"/>
      <c r="BD169" s="1175"/>
      <c r="BE169" s="1175"/>
      <c r="BF169" s="1175"/>
      <c r="BG169" s="1175"/>
      <c r="BH169" s="1175"/>
      <c r="BI169" s="1175"/>
      <c r="BJ169" s="1175"/>
      <c r="BK169" s="1175"/>
      <c r="BL169" s="1175"/>
      <c r="BM169" s="1175"/>
      <c r="BN169" s="1175"/>
      <c r="BO169" s="1175"/>
      <c r="BP169" s="1175"/>
      <c r="BQ169" s="1175"/>
      <c r="BR169" s="1175"/>
      <c r="BS169" s="1175"/>
      <c r="BT169" s="1175"/>
      <c r="BU169" s="1175"/>
      <c r="BV169" s="1175"/>
      <c r="BW169" s="1175"/>
      <c r="BX169" s="1175"/>
      <c r="BY169" s="1175"/>
      <c r="BZ169" s="1175"/>
      <c r="CA169" s="1175"/>
      <c r="CB169" s="1175"/>
      <c r="CC169" s="1175"/>
      <c r="CD169" s="1175"/>
      <c r="CE169" s="1175"/>
      <c r="CF169" s="1175"/>
      <c r="CG169" s="1175"/>
      <c r="CH169" s="1175"/>
      <c r="CI169" s="1175"/>
      <c r="CJ169" s="1175"/>
      <c r="CK169" s="1175"/>
      <c r="CL169" s="1175"/>
      <c r="CM169" s="1175"/>
      <c r="CN169" s="1175"/>
      <c r="CO169" s="1175"/>
      <c r="CP169" s="1175"/>
      <c r="CQ169" s="1175"/>
      <c r="CR169" s="1175"/>
      <c r="CS169" s="1175"/>
      <c r="CT169" s="1175"/>
      <c r="CU169" s="1175"/>
      <c r="CV169" s="1175"/>
      <c r="CW169" s="1175"/>
      <c r="CX169" s="1175"/>
      <c r="CY169" s="1175"/>
      <c r="CZ169" s="1175"/>
      <c r="DA169" s="1175"/>
    </row>
    <row r="170" spans="2:105" ht="20" hidden="1" customHeight="1" outlineLevel="1" x14ac:dyDescent="0.2">
      <c r="B170" s="1179" t="s">
        <v>707</v>
      </c>
      <c r="C170" s="1180">
        <f>C168/C169</f>
        <v>0.17280000000000001</v>
      </c>
      <c r="D170" s="3035"/>
      <c r="E170" s="3036"/>
      <c r="F170" s="3036"/>
      <c r="G170" s="3036"/>
      <c r="H170" s="3037"/>
      <c r="I170" s="1175"/>
      <c r="J170" s="1175"/>
      <c r="K170" s="1175"/>
      <c r="L170" s="1175"/>
      <c r="M170" s="1175"/>
      <c r="N170" s="1175"/>
      <c r="O170" s="1175"/>
      <c r="P170" s="1175"/>
      <c r="Q170" s="1175"/>
      <c r="R170" s="1175"/>
      <c r="S170" s="1175"/>
      <c r="T170" s="1175"/>
      <c r="U170" s="1175"/>
      <c r="V170" s="1175"/>
      <c r="W170" s="1175"/>
      <c r="X170" s="1175"/>
      <c r="Y170" s="1175"/>
      <c r="Z170" s="1175"/>
      <c r="AA170" s="1175"/>
      <c r="AB170" s="1175"/>
      <c r="AC170" s="1175"/>
      <c r="AD170" s="1175"/>
      <c r="AE170" s="1175"/>
      <c r="AF170" s="1175"/>
      <c r="AG170" s="1175"/>
      <c r="AH170" s="1175"/>
      <c r="AI170" s="1175"/>
      <c r="AJ170" s="1175"/>
      <c r="AK170" s="1175"/>
      <c r="AL170" s="1175"/>
      <c r="AM170" s="1175"/>
      <c r="AN170" s="1175"/>
      <c r="AO170" s="1175"/>
      <c r="AP170" s="1175"/>
      <c r="AQ170" s="1175"/>
      <c r="AR170" s="1175"/>
      <c r="AS170" s="1175"/>
      <c r="AT170" s="1175"/>
      <c r="AU170" s="1175"/>
      <c r="AV170" s="1175"/>
      <c r="AW170" s="1175"/>
      <c r="AX170" s="1175"/>
      <c r="AY170" s="1175"/>
      <c r="AZ170" s="1175"/>
      <c r="BA170" s="1175"/>
      <c r="BB170" s="1175"/>
      <c r="BC170" s="1175"/>
      <c r="BD170" s="1175"/>
      <c r="BE170" s="1175"/>
      <c r="BF170" s="1175"/>
      <c r="BG170" s="1175"/>
      <c r="BH170" s="1175"/>
      <c r="BI170" s="1175"/>
      <c r="BJ170" s="1175"/>
      <c r="BK170" s="1175"/>
      <c r="BL170" s="1175"/>
      <c r="BM170" s="1175"/>
      <c r="BN170" s="1175"/>
      <c r="BO170" s="1175"/>
      <c r="BP170" s="1175"/>
      <c r="BQ170" s="1175"/>
      <c r="BR170" s="1175"/>
      <c r="BS170" s="1175"/>
      <c r="BT170" s="1175"/>
      <c r="BU170" s="1175"/>
      <c r="BV170" s="1175"/>
      <c r="BW170" s="1175"/>
      <c r="BX170" s="1175"/>
      <c r="BY170" s="1175"/>
      <c r="BZ170" s="1175"/>
      <c r="CA170" s="1175"/>
      <c r="CB170" s="1175"/>
      <c r="CC170" s="1175"/>
      <c r="CD170" s="1175"/>
      <c r="CE170" s="1175"/>
      <c r="CF170" s="1175"/>
      <c r="CG170" s="1175"/>
      <c r="CH170" s="1175"/>
      <c r="CI170" s="1175"/>
      <c r="CJ170" s="1175"/>
      <c r="CK170" s="1175"/>
      <c r="CL170" s="1175"/>
      <c r="CM170" s="1175"/>
      <c r="CN170" s="1175"/>
      <c r="CO170" s="1175"/>
      <c r="CP170" s="1175"/>
      <c r="CQ170" s="1175"/>
      <c r="CR170" s="1175"/>
      <c r="CS170" s="1175"/>
      <c r="CT170" s="1175"/>
      <c r="CU170" s="1175"/>
      <c r="CV170" s="1175"/>
      <c r="CW170" s="1175"/>
      <c r="CX170" s="1175"/>
      <c r="CY170" s="1175"/>
      <c r="CZ170" s="1175"/>
      <c r="DA170" s="1175"/>
    </row>
    <row r="171" spans="2:105" ht="20" hidden="1" customHeight="1" outlineLevel="1" x14ac:dyDescent="0.2">
      <c r="B171" s="1179" t="s">
        <v>1117</v>
      </c>
      <c r="C171" s="1180">
        <v>7.6300000000000007E-2</v>
      </c>
      <c r="D171" s="3035" t="s">
        <v>1118</v>
      </c>
      <c r="E171" s="3036"/>
      <c r="F171" s="3036"/>
      <c r="G171" s="3036"/>
      <c r="H171" s="3037"/>
      <c r="I171" s="1175"/>
      <c r="J171" s="1175"/>
      <c r="K171" s="1175"/>
      <c r="L171" s="1175"/>
      <c r="M171" s="1175"/>
      <c r="N171" s="1175"/>
      <c r="O171" s="1175"/>
      <c r="P171" s="1175"/>
      <c r="Q171" s="1175"/>
      <c r="R171" s="1175"/>
      <c r="S171" s="1175"/>
      <c r="T171" s="1175"/>
      <c r="U171" s="1175"/>
      <c r="V171" s="1175"/>
      <c r="W171" s="1175"/>
      <c r="X171" s="1175"/>
      <c r="Y171" s="1175"/>
      <c r="Z171" s="1175"/>
      <c r="AA171" s="1175"/>
      <c r="AB171" s="1175"/>
      <c r="AC171" s="1175"/>
      <c r="AD171" s="1175"/>
      <c r="AE171" s="1175"/>
      <c r="AF171" s="1175"/>
      <c r="AG171" s="1175"/>
      <c r="AH171" s="1175"/>
      <c r="AI171" s="1175"/>
      <c r="AJ171" s="1175"/>
      <c r="AK171" s="1175"/>
      <c r="AL171" s="1175"/>
      <c r="AM171" s="1175"/>
      <c r="AN171" s="1175"/>
      <c r="AO171" s="1175"/>
      <c r="AP171" s="1175"/>
      <c r="AQ171" s="1175"/>
      <c r="AR171" s="1175"/>
      <c r="AS171" s="1175"/>
      <c r="AT171" s="1175"/>
      <c r="AU171" s="1175"/>
      <c r="AV171" s="1175"/>
      <c r="AW171" s="1175"/>
      <c r="AX171" s="1175"/>
      <c r="AY171" s="1175"/>
      <c r="AZ171" s="1175"/>
      <c r="BA171" s="1175"/>
      <c r="BB171" s="1175"/>
      <c r="BC171" s="1175"/>
      <c r="BD171" s="1175"/>
      <c r="BE171" s="1175"/>
      <c r="BF171" s="1175"/>
      <c r="BG171" s="1175"/>
      <c r="BH171" s="1175"/>
      <c r="BI171" s="1175"/>
      <c r="BJ171" s="1175"/>
      <c r="BK171" s="1175"/>
      <c r="BL171" s="1175"/>
      <c r="BM171" s="1175"/>
      <c r="BN171" s="1175"/>
      <c r="BO171" s="1175"/>
      <c r="BP171" s="1175"/>
      <c r="BQ171" s="1175"/>
      <c r="BR171" s="1175"/>
      <c r="BS171" s="1175"/>
      <c r="BT171" s="1175"/>
      <c r="BU171" s="1175"/>
      <c r="BV171" s="1175"/>
      <c r="BW171" s="1175"/>
      <c r="BX171" s="1175"/>
      <c r="BY171" s="1175"/>
      <c r="BZ171" s="1175"/>
      <c r="CA171" s="1175"/>
      <c r="CB171" s="1175"/>
      <c r="CC171" s="1175"/>
      <c r="CD171" s="1175"/>
      <c r="CE171" s="1175"/>
      <c r="CF171" s="1175"/>
      <c r="CG171" s="1175"/>
      <c r="CH171" s="1175"/>
      <c r="CI171" s="1175"/>
      <c r="CJ171" s="1175"/>
      <c r="CK171" s="1175"/>
      <c r="CL171" s="1175"/>
      <c r="CM171" s="1175"/>
      <c r="CN171" s="1175"/>
      <c r="CO171" s="1175"/>
      <c r="CP171" s="1175"/>
      <c r="CQ171" s="1175"/>
      <c r="CR171" s="1175"/>
      <c r="CS171" s="1175"/>
      <c r="CT171" s="1175"/>
      <c r="CU171" s="1175"/>
      <c r="CV171" s="1175"/>
      <c r="CW171" s="1175"/>
      <c r="CX171" s="1175"/>
      <c r="CY171" s="1175"/>
      <c r="CZ171" s="1175"/>
      <c r="DA171" s="1175"/>
    </row>
    <row r="172" spans="2:105" ht="20" hidden="1" customHeight="1" outlineLevel="1" x14ac:dyDescent="0.2">
      <c r="B172" s="1179" t="s">
        <v>1119</v>
      </c>
      <c r="C172" s="1180">
        <v>0.14599999999999999</v>
      </c>
      <c r="D172" s="3035" t="s">
        <v>1120</v>
      </c>
      <c r="E172" s="3036"/>
      <c r="F172" s="3036"/>
      <c r="G172" s="3036"/>
      <c r="H172" s="3037"/>
      <c r="I172" s="1175"/>
      <c r="J172" s="1175"/>
      <c r="K172" s="1175"/>
      <c r="L172" s="1175"/>
      <c r="M172" s="1175"/>
      <c r="N172" s="1175"/>
      <c r="O172" s="1175"/>
      <c r="P172" s="1175"/>
      <c r="Q172" s="1175"/>
      <c r="R172" s="1175"/>
      <c r="S172" s="1175"/>
      <c r="T172" s="1175"/>
      <c r="U172" s="1175"/>
      <c r="V172" s="1175"/>
      <c r="W172" s="1175"/>
      <c r="X172" s="1175"/>
      <c r="Y172" s="1175"/>
      <c r="Z172" s="1175"/>
      <c r="AA172" s="1175"/>
      <c r="AB172" s="1175"/>
      <c r="AC172" s="1175"/>
      <c r="AD172" s="1175"/>
      <c r="AE172" s="1175"/>
      <c r="AF172" s="1175"/>
      <c r="AG172" s="1175"/>
      <c r="AH172" s="1175"/>
      <c r="AI172" s="1175"/>
      <c r="AJ172" s="1175"/>
      <c r="AK172" s="1175"/>
      <c r="AL172" s="1175"/>
      <c r="AM172" s="1175"/>
      <c r="AN172" s="1175"/>
      <c r="AO172" s="1175"/>
      <c r="AP172" s="1175"/>
      <c r="AQ172" s="1175"/>
      <c r="AR172" s="1175"/>
      <c r="AS172" s="1175"/>
      <c r="AT172" s="1175"/>
      <c r="AU172" s="1175"/>
      <c r="AV172" s="1175"/>
      <c r="AW172" s="1175"/>
      <c r="AX172" s="1175"/>
      <c r="AY172" s="1175"/>
      <c r="AZ172" s="1175"/>
      <c r="BA172" s="1175"/>
      <c r="BB172" s="1175"/>
      <c r="BC172" s="1175"/>
      <c r="BD172" s="1175"/>
      <c r="BE172" s="1175"/>
      <c r="BF172" s="1175"/>
      <c r="BG172" s="1175"/>
      <c r="BH172" s="1175"/>
      <c r="BI172" s="1175"/>
      <c r="BJ172" s="1175"/>
      <c r="BK172" s="1175"/>
      <c r="BL172" s="1175"/>
      <c r="BM172" s="1175"/>
      <c r="BN172" s="1175"/>
      <c r="BO172" s="1175"/>
      <c r="BP172" s="1175"/>
      <c r="BQ172" s="1175"/>
      <c r="BR172" s="1175"/>
      <c r="BS172" s="1175"/>
      <c r="BT172" s="1175"/>
      <c r="BU172" s="1175"/>
      <c r="BV172" s="1175"/>
      <c r="BW172" s="1175"/>
      <c r="BX172" s="1175"/>
      <c r="BY172" s="1175"/>
      <c r="BZ172" s="1175"/>
      <c r="CA172" s="1175"/>
      <c r="CB172" s="1175"/>
      <c r="CC172" s="1175"/>
      <c r="CD172" s="1175"/>
      <c r="CE172" s="1175"/>
      <c r="CF172" s="1175"/>
      <c r="CG172" s="1175"/>
      <c r="CH172" s="1175"/>
      <c r="CI172" s="1175"/>
      <c r="CJ172" s="1175"/>
      <c r="CK172" s="1175"/>
      <c r="CL172" s="1175"/>
      <c r="CM172" s="1175"/>
      <c r="CN172" s="1175"/>
      <c r="CO172" s="1175"/>
      <c r="CP172" s="1175"/>
      <c r="CQ172" s="1175"/>
      <c r="CR172" s="1175"/>
      <c r="CS172" s="1175"/>
      <c r="CT172" s="1175"/>
      <c r="CU172" s="1175"/>
      <c r="CV172" s="1175"/>
      <c r="CW172" s="1175"/>
      <c r="CX172" s="1175"/>
      <c r="CY172" s="1175"/>
      <c r="CZ172" s="1175"/>
      <c r="DA172" s="1175"/>
    </row>
    <row r="173" spans="2:105" ht="20" hidden="1" customHeight="1" outlineLevel="1" x14ac:dyDescent="0.2">
      <c r="B173" s="1179" t="s">
        <v>1122</v>
      </c>
      <c r="C173" s="1180">
        <v>5.0299999999999997E-3</v>
      </c>
      <c r="D173" s="3035" t="s">
        <v>1123</v>
      </c>
      <c r="E173" s="3036"/>
      <c r="F173" s="3036"/>
      <c r="G173" s="3036"/>
      <c r="H173" s="3037"/>
      <c r="I173" s="1175"/>
      <c r="J173" s="1175"/>
      <c r="K173" s="1175"/>
      <c r="L173" s="1175"/>
      <c r="M173" s="1175"/>
      <c r="N173" s="1175"/>
      <c r="O173" s="1175"/>
      <c r="P173" s="1175"/>
      <c r="Q173" s="1175"/>
      <c r="R173" s="1175"/>
      <c r="S173" s="1175"/>
      <c r="T173" s="1175"/>
      <c r="U173" s="1175"/>
      <c r="V173" s="1175"/>
      <c r="W173" s="1175"/>
      <c r="X173" s="1175"/>
      <c r="Y173" s="1175"/>
      <c r="Z173" s="1175"/>
      <c r="AA173" s="1175"/>
      <c r="AB173" s="1175"/>
      <c r="AC173" s="1175"/>
      <c r="AD173" s="1175"/>
      <c r="AE173" s="1175"/>
      <c r="AF173" s="1175"/>
      <c r="AG173" s="1175"/>
      <c r="AH173" s="1175"/>
      <c r="AI173" s="1175"/>
      <c r="AJ173" s="1175"/>
      <c r="AK173" s="1175"/>
      <c r="AL173" s="1175"/>
      <c r="AM173" s="1175"/>
      <c r="AN173" s="1175"/>
      <c r="AO173" s="1175"/>
      <c r="AP173" s="1175"/>
      <c r="AQ173" s="1175"/>
      <c r="AR173" s="1175"/>
      <c r="AS173" s="1175"/>
      <c r="AT173" s="1175"/>
      <c r="AU173" s="1175"/>
      <c r="AV173" s="1175"/>
      <c r="AW173" s="1175"/>
      <c r="AX173" s="1175"/>
      <c r="AY173" s="1175"/>
      <c r="AZ173" s="1175"/>
      <c r="BA173" s="1175"/>
      <c r="BB173" s="1175"/>
      <c r="BC173" s="1175"/>
      <c r="BD173" s="1175"/>
      <c r="BE173" s="1175"/>
      <c r="BF173" s="1175"/>
      <c r="BG173" s="1175"/>
      <c r="BH173" s="1175"/>
      <c r="BI173" s="1175"/>
      <c r="BJ173" s="1175"/>
      <c r="BK173" s="1175"/>
      <c r="BL173" s="1175"/>
      <c r="BM173" s="1175"/>
      <c r="BN173" s="1175"/>
      <c r="BO173" s="1175"/>
      <c r="BP173" s="1175"/>
      <c r="BQ173" s="1175"/>
      <c r="BR173" s="1175"/>
      <c r="BS173" s="1175"/>
      <c r="BT173" s="1175"/>
      <c r="BU173" s="1175"/>
      <c r="BV173" s="1175"/>
      <c r="BW173" s="1175"/>
      <c r="BX173" s="1175"/>
      <c r="BY173" s="1175"/>
      <c r="BZ173" s="1175"/>
      <c r="CA173" s="1175"/>
      <c r="CB173" s="1175"/>
      <c r="CC173" s="1175"/>
      <c r="CD173" s="1175"/>
      <c r="CE173" s="1175"/>
      <c r="CF173" s="1175"/>
      <c r="CG173" s="1175"/>
      <c r="CH173" s="1175"/>
      <c r="CI173" s="1175"/>
      <c r="CJ173" s="1175"/>
      <c r="CK173" s="1175"/>
      <c r="CL173" s="1175"/>
      <c r="CM173" s="1175"/>
      <c r="CN173" s="1175"/>
      <c r="CO173" s="1175"/>
      <c r="CP173" s="1175"/>
      <c r="CQ173" s="1175"/>
      <c r="CR173" s="1175"/>
      <c r="CS173" s="1175"/>
      <c r="CT173" s="1175"/>
      <c r="CU173" s="1175"/>
      <c r="CV173" s="1175"/>
      <c r="CW173" s="1175"/>
      <c r="CX173" s="1175"/>
      <c r="CY173" s="1175"/>
      <c r="CZ173" s="1175"/>
      <c r="DA173" s="1175"/>
    </row>
    <row r="174" spans="2:105" ht="20" hidden="1" customHeight="1" outlineLevel="1" x14ac:dyDescent="0.2">
      <c r="B174" s="1179" t="s">
        <v>1125</v>
      </c>
      <c r="C174" s="1180">
        <v>50</v>
      </c>
      <c r="D174" s="3041" t="s">
        <v>1116</v>
      </c>
      <c r="E174" s="3042"/>
      <c r="F174" s="3042"/>
      <c r="G174" s="3042"/>
      <c r="H174" s="3043"/>
      <c r="I174" s="1175"/>
      <c r="J174" s="1175"/>
      <c r="K174" s="1175"/>
      <c r="L174" s="1175"/>
      <c r="M174" s="1175"/>
      <c r="N174" s="1175"/>
      <c r="O174" s="1175"/>
      <c r="P174" s="1175"/>
      <c r="Q174" s="1175"/>
      <c r="R174" s="1175"/>
      <c r="S174" s="1175"/>
      <c r="T174" s="1175"/>
      <c r="U174" s="1175"/>
      <c r="V174" s="1175"/>
      <c r="W174" s="1175"/>
      <c r="X174" s="1175"/>
      <c r="Y174" s="1175"/>
      <c r="Z174" s="1175"/>
      <c r="AA174" s="1175"/>
      <c r="AB174" s="1175"/>
      <c r="AC174" s="1175"/>
      <c r="AD174" s="1175"/>
      <c r="AE174" s="1175"/>
      <c r="AF174" s="1175"/>
      <c r="AG174" s="1175"/>
      <c r="AH174" s="1175"/>
      <c r="AI174" s="1175"/>
      <c r="AJ174" s="1175"/>
      <c r="AK174" s="1175"/>
      <c r="AL174" s="1175"/>
      <c r="AM174" s="1175"/>
      <c r="AN174" s="1175"/>
      <c r="AO174" s="1175"/>
      <c r="AP174" s="1175"/>
      <c r="AQ174" s="1175"/>
      <c r="AR174" s="1175"/>
      <c r="AS174" s="1175"/>
      <c r="AT174" s="1175"/>
      <c r="AU174" s="1175"/>
      <c r="AV174" s="1175"/>
      <c r="AW174" s="1175"/>
      <c r="AX174" s="1175"/>
      <c r="AY174" s="1175"/>
      <c r="AZ174" s="1175"/>
      <c r="BA174" s="1175"/>
      <c r="BB174" s="1175"/>
      <c r="BC174" s="1175"/>
      <c r="BD174" s="1175"/>
      <c r="BE174" s="1175"/>
      <c r="BF174" s="1175"/>
      <c r="BG174" s="1175"/>
      <c r="BH174" s="1175"/>
      <c r="BI174" s="1175"/>
      <c r="BJ174" s="1175"/>
      <c r="BK174" s="1175"/>
      <c r="BL174" s="1175"/>
      <c r="BM174" s="1175"/>
      <c r="BN174" s="1175"/>
      <c r="BO174" s="1175"/>
      <c r="BP174" s="1175"/>
      <c r="BQ174" s="1175"/>
      <c r="BR174" s="1175"/>
      <c r="BS174" s="1175"/>
      <c r="BT174" s="1175"/>
      <c r="BU174" s="1175"/>
      <c r="BV174" s="1175"/>
      <c r="BW174" s="1175"/>
      <c r="BX174" s="1175"/>
      <c r="BY174" s="1175"/>
      <c r="BZ174" s="1175"/>
      <c r="CA174" s="1175"/>
      <c r="CB174" s="1175"/>
      <c r="CC174" s="1175"/>
      <c r="CD174" s="1175"/>
      <c r="CE174" s="1175"/>
      <c r="CF174" s="1175"/>
      <c r="CG174" s="1175"/>
      <c r="CH174" s="1175"/>
      <c r="CI174" s="1175"/>
      <c r="CJ174" s="1175"/>
      <c r="CK174" s="1175"/>
      <c r="CL174" s="1175"/>
      <c r="CM174" s="1175"/>
      <c r="CN174" s="1175"/>
      <c r="CO174" s="1175"/>
      <c r="CP174" s="1175"/>
      <c r="CQ174" s="1175"/>
      <c r="CR174" s="1175"/>
      <c r="CS174" s="1175"/>
      <c r="CT174" s="1175"/>
      <c r="CU174" s="1175"/>
      <c r="CV174" s="1175"/>
      <c r="CW174" s="1175"/>
      <c r="CX174" s="1175"/>
      <c r="CY174" s="1175"/>
      <c r="CZ174" s="1175"/>
      <c r="DA174" s="1175"/>
    </row>
    <row r="175" spans="2:105" ht="20" hidden="1" customHeight="1" outlineLevel="1" x14ac:dyDescent="0.2">
      <c r="B175" s="1179" t="s">
        <v>921</v>
      </c>
      <c r="C175" s="1180">
        <f>(C174/100)*C172+((100-C174)/100)*C173</f>
        <v>7.5514999999999999E-2</v>
      </c>
      <c r="D175" s="3035"/>
      <c r="E175" s="3036"/>
      <c r="F175" s="3036"/>
      <c r="G175" s="3036"/>
      <c r="H175" s="3037"/>
      <c r="I175" s="1175"/>
      <c r="J175" s="1175"/>
      <c r="K175" s="1175"/>
      <c r="L175" s="1175"/>
      <c r="M175" s="1175"/>
      <c r="N175" s="1175"/>
      <c r="O175" s="1175"/>
      <c r="P175" s="1175"/>
      <c r="Q175" s="1175"/>
      <c r="R175" s="1175"/>
      <c r="S175" s="1175"/>
      <c r="T175" s="1175"/>
      <c r="U175" s="1175"/>
      <c r="V175" s="1175"/>
      <c r="W175" s="1175"/>
      <c r="X175" s="1175"/>
      <c r="Y175" s="1175"/>
      <c r="Z175" s="1175"/>
      <c r="AA175" s="1175"/>
      <c r="AB175" s="1175"/>
      <c r="AC175" s="1175"/>
      <c r="AD175" s="1175"/>
      <c r="AE175" s="1175"/>
      <c r="AF175" s="1175"/>
      <c r="AG175" s="1175"/>
      <c r="AH175" s="1175"/>
      <c r="AI175" s="1175"/>
      <c r="AJ175" s="1175"/>
      <c r="AK175" s="1175"/>
      <c r="AL175" s="1175"/>
      <c r="AM175" s="1175"/>
      <c r="AN175" s="1175"/>
      <c r="AO175" s="1175"/>
      <c r="AP175" s="1175"/>
      <c r="AQ175" s="1175"/>
      <c r="AR175" s="1175"/>
      <c r="AS175" s="1175"/>
      <c r="AT175" s="1175"/>
      <c r="AU175" s="1175"/>
      <c r="AV175" s="1175"/>
      <c r="AW175" s="1175"/>
      <c r="AX175" s="1175"/>
      <c r="AY175" s="1175"/>
      <c r="AZ175" s="1175"/>
      <c r="BA175" s="1175"/>
      <c r="BB175" s="1175"/>
      <c r="BC175" s="1175"/>
      <c r="BD175" s="1175"/>
      <c r="BE175" s="1175"/>
      <c r="BF175" s="1175"/>
      <c r="BG175" s="1175"/>
      <c r="BH175" s="1175"/>
      <c r="BI175" s="1175"/>
      <c r="BJ175" s="1175"/>
      <c r="BK175" s="1175"/>
      <c r="BL175" s="1175"/>
      <c r="BM175" s="1175"/>
      <c r="BN175" s="1175"/>
      <c r="BO175" s="1175"/>
      <c r="BP175" s="1175"/>
      <c r="BQ175" s="1175"/>
      <c r="BR175" s="1175"/>
      <c r="BS175" s="1175"/>
      <c r="BT175" s="1175"/>
      <c r="BU175" s="1175"/>
      <c r="BV175" s="1175"/>
      <c r="BW175" s="1175"/>
      <c r="BX175" s="1175"/>
      <c r="BY175" s="1175"/>
      <c r="BZ175" s="1175"/>
      <c r="CA175" s="1175"/>
      <c r="CB175" s="1175"/>
      <c r="CC175" s="1175"/>
      <c r="CD175" s="1175"/>
      <c r="CE175" s="1175"/>
      <c r="CF175" s="1175"/>
      <c r="CG175" s="1175"/>
      <c r="CH175" s="1175"/>
      <c r="CI175" s="1175"/>
      <c r="CJ175" s="1175"/>
      <c r="CK175" s="1175"/>
      <c r="CL175" s="1175"/>
      <c r="CM175" s="1175"/>
      <c r="CN175" s="1175"/>
      <c r="CO175" s="1175"/>
      <c r="CP175" s="1175"/>
      <c r="CQ175" s="1175"/>
      <c r="CR175" s="1175"/>
      <c r="CS175" s="1175"/>
      <c r="CT175" s="1175"/>
      <c r="CU175" s="1175"/>
      <c r="CV175" s="1175"/>
      <c r="CW175" s="1175"/>
      <c r="CX175" s="1175"/>
      <c r="CY175" s="1175"/>
      <c r="CZ175" s="1175"/>
      <c r="DA175" s="1175"/>
    </row>
    <row r="176" spans="2:105" ht="20" hidden="1" customHeight="1" outlineLevel="1" x14ac:dyDescent="0.2">
      <c r="B176" s="1179" t="s">
        <v>1111</v>
      </c>
      <c r="C176" s="1180">
        <v>0</v>
      </c>
      <c r="D176" s="3047"/>
      <c r="E176" s="3048"/>
      <c r="F176" s="3048"/>
      <c r="G176" s="3048"/>
      <c r="H176" s="3049"/>
      <c r="I176" s="1175"/>
      <c r="J176" s="1175"/>
      <c r="K176" s="1175"/>
      <c r="L176" s="1175"/>
      <c r="M176" s="1175"/>
      <c r="N176" s="1175"/>
      <c r="O176" s="1175"/>
      <c r="P176" s="1175"/>
      <c r="Q176" s="1175"/>
      <c r="R176" s="1175"/>
      <c r="S176" s="1175"/>
      <c r="T176" s="1175"/>
      <c r="U176" s="1175"/>
      <c r="V176" s="1175"/>
      <c r="W176" s="1175"/>
      <c r="X176" s="1175"/>
      <c r="Y176" s="1175"/>
      <c r="Z176" s="1175"/>
      <c r="AA176" s="1175"/>
      <c r="AB176" s="1175"/>
      <c r="AC176" s="1175"/>
      <c r="AD176" s="1175"/>
      <c r="AE176" s="1175"/>
      <c r="AF176" s="1175"/>
      <c r="AG176" s="1175"/>
      <c r="AH176" s="1175"/>
      <c r="AI176" s="1175"/>
      <c r="AJ176" s="1175"/>
      <c r="AK176" s="1175"/>
      <c r="AL176" s="1175"/>
      <c r="AM176" s="1175"/>
      <c r="AN176" s="1175"/>
      <c r="AO176" s="1175"/>
      <c r="AP176" s="1175"/>
      <c r="AQ176" s="1175"/>
      <c r="AR176" s="1175"/>
      <c r="AS176" s="1175"/>
      <c r="AT176" s="1175"/>
      <c r="AU176" s="1175"/>
      <c r="AV176" s="1175"/>
      <c r="AW176" s="1175"/>
      <c r="AX176" s="1175"/>
      <c r="AY176" s="1175"/>
      <c r="AZ176" s="1175"/>
      <c r="BA176" s="1175"/>
      <c r="BB176" s="1175"/>
      <c r="BC176" s="1175"/>
      <c r="BD176" s="1175"/>
      <c r="BE176" s="1175"/>
      <c r="BF176" s="1175"/>
      <c r="BG176" s="1175"/>
      <c r="BH176" s="1175"/>
      <c r="BI176" s="1175"/>
      <c r="BJ176" s="1175"/>
      <c r="BK176" s="1175"/>
      <c r="BL176" s="1175"/>
      <c r="BM176" s="1175"/>
      <c r="BN176" s="1175"/>
      <c r="BO176" s="1175"/>
      <c r="BP176" s="1175"/>
      <c r="BQ176" s="1175"/>
      <c r="BR176" s="1175"/>
      <c r="BS176" s="1175"/>
      <c r="BT176" s="1175"/>
      <c r="BU176" s="1175"/>
      <c r="BV176" s="1175"/>
      <c r="BW176" s="1175"/>
      <c r="BX176" s="1175"/>
      <c r="BY176" s="1175"/>
      <c r="BZ176" s="1175"/>
      <c r="CA176" s="1175"/>
      <c r="CB176" s="1175"/>
      <c r="CC176" s="1175"/>
      <c r="CD176" s="1175"/>
      <c r="CE176" s="1175"/>
      <c r="CF176" s="1175"/>
      <c r="CG176" s="1175"/>
      <c r="CH176" s="1175"/>
      <c r="CI176" s="1175"/>
      <c r="CJ176" s="1175"/>
      <c r="CK176" s="1175"/>
      <c r="CL176" s="1175"/>
      <c r="CM176" s="1175"/>
      <c r="CN176" s="1175"/>
      <c r="CO176" s="1175"/>
      <c r="CP176" s="1175"/>
      <c r="CQ176" s="1175"/>
      <c r="CR176" s="1175"/>
      <c r="CS176" s="1175"/>
      <c r="CT176" s="1175"/>
      <c r="CU176" s="1175"/>
      <c r="CV176" s="1175"/>
      <c r="CW176" s="1175"/>
      <c r="CX176" s="1175"/>
      <c r="CY176" s="1175"/>
      <c r="CZ176" s="1175"/>
      <c r="DA176" s="1175"/>
    </row>
    <row r="177" spans="2:105" ht="20" hidden="1" customHeight="1" outlineLevel="1" thickBot="1" x14ac:dyDescent="0.25">
      <c r="B177" s="1181" t="s">
        <v>1112</v>
      </c>
      <c r="C177" s="1182">
        <f>0</f>
        <v>0</v>
      </c>
      <c r="D177" s="3044"/>
      <c r="E177" s="3045"/>
      <c r="F177" s="3045"/>
      <c r="G177" s="3045"/>
      <c r="H177" s="3046"/>
      <c r="I177" s="1175"/>
      <c r="J177" s="1175"/>
      <c r="K177" s="1175"/>
      <c r="L177" s="1175"/>
      <c r="M177" s="1175"/>
      <c r="N177" s="1175"/>
      <c r="O177" s="1175"/>
      <c r="P177" s="1175"/>
      <c r="Q177" s="1175"/>
      <c r="R177" s="1175"/>
      <c r="S177" s="1175"/>
      <c r="T177" s="1175"/>
      <c r="U177" s="1175"/>
      <c r="V177" s="1175"/>
      <c r="W177" s="1175"/>
      <c r="X177" s="1175"/>
      <c r="Y177" s="1175"/>
      <c r="Z177" s="1175"/>
      <c r="AA177" s="1175"/>
      <c r="AB177" s="1175"/>
      <c r="AC177" s="1175"/>
      <c r="AD177" s="1175"/>
      <c r="AE177" s="1175"/>
      <c r="AF177" s="1175"/>
      <c r="AG177" s="1175"/>
      <c r="AH177" s="1175"/>
      <c r="AI177" s="1175"/>
      <c r="AJ177" s="1175"/>
      <c r="AK177" s="1175"/>
      <c r="AL177" s="1175"/>
      <c r="AM177" s="1175"/>
      <c r="AN177" s="1175"/>
      <c r="AO177" s="1175"/>
      <c r="AP177" s="1175"/>
      <c r="AQ177" s="1175"/>
      <c r="AR177" s="1175"/>
      <c r="AS177" s="1175"/>
      <c r="AT177" s="1175"/>
      <c r="AU177" s="1175"/>
      <c r="AV177" s="1175"/>
      <c r="AW177" s="1175"/>
      <c r="AX177" s="1175"/>
      <c r="AY177" s="1175"/>
      <c r="AZ177" s="1175"/>
      <c r="BA177" s="1175"/>
      <c r="BB177" s="1175"/>
      <c r="BC177" s="1175"/>
      <c r="BD177" s="1175"/>
      <c r="BE177" s="1175"/>
      <c r="BF177" s="1175"/>
      <c r="BG177" s="1175"/>
      <c r="BH177" s="1175"/>
      <c r="BI177" s="1175"/>
      <c r="BJ177" s="1175"/>
      <c r="BK177" s="1175"/>
      <c r="BL177" s="1175"/>
      <c r="BM177" s="1175"/>
      <c r="BN177" s="1175"/>
      <c r="BO177" s="1175"/>
      <c r="BP177" s="1175"/>
      <c r="BQ177" s="1175"/>
      <c r="BR177" s="1175"/>
      <c r="BS177" s="1175"/>
      <c r="BT177" s="1175"/>
      <c r="BU177" s="1175"/>
      <c r="BV177" s="1175"/>
      <c r="BW177" s="1175"/>
      <c r="BX177" s="1175"/>
      <c r="BY177" s="1175"/>
      <c r="BZ177" s="1175"/>
      <c r="CA177" s="1175"/>
      <c r="CB177" s="1175"/>
      <c r="CC177" s="1175"/>
      <c r="CD177" s="1175"/>
      <c r="CE177" s="1175"/>
      <c r="CF177" s="1175"/>
      <c r="CG177" s="1175"/>
      <c r="CH177" s="1175"/>
      <c r="CI177" s="1175"/>
      <c r="CJ177" s="1175"/>
      <c r="CK177" s="1175"/>
      <c r="CL177" s="1175"/>
      <c r="CM177" s="1175"/>
      <c r="CN177" s="1175"/>
      <c r="CO177" s="1175"/>
      <c r="CP177" s="1175"/>
      <c r="CQ177" s="1175"/>
      <c r="CR177" s="1175"/>
      <c r="CS177" s="1175"/>
      <c r="CT177" s="1175"/>
      <c r="CU177" s="1175"/>
      <c r="CV177" s="1175"/>
      <c r="CW177" s="1175"/>
      <c r="CX177" s="1175"/>
      <c r="CY177" s="1175"/>
      <c r="CZ177" s="1175"/>
      <c r="DA177" s="1175"/>
    </row>
    <row r="178" spans="2:105" ht="20" hidden="1" customHeight="1" outlineLevel="1" x14ac:dyDescent="0.2">
      <c r="B178" s="1174"/>
      <c r="C178" s="1175"/>
      <c r="D178" s="1175"/>
      <c r="E178" s="1175"/>
      <c r="F178" s="1175"/>
      <c r="G178" s="1175"/>
      <c r="H178" s="1175"/>
      <c r="I178" s="1175"/>
      <c r="J178" s="1175"/>
      <c r="K178" s="1175"/>
      <c r="L178" s="1175"/>
      <c r="M178" s="1175"/>
      <c r="N178" s="1175"/>
      <c r="O178" s="1175"/>
      <c r="P178" s="1175"/>
      <c r="Q178" s="1175"/>
      <c r="R178" s="1175"/>
      <c r="S178" s="1175"/>
      <c r="T178" s="1175"/>
      <c r="U178" s="1175"/>
      <c r="V178" s="1175"/>
      <c r="W178" s="1175"/>
      <c r="X178" s="1175"/>
      <c r="Y178" s="1175"/>
      <c r="Z178" s="1175"/>
      <c r="AA178" s="1175"/>
      <c r="AB178" s="1175"/>
      <c r="AC178" s="1175"/>
      <c r="AD178" s="1175"/>
      <c r="AE178" s="1175"/>
      <c r="AF178" s="1175"/>
      <c r="AG178" s="1175"/>
      <c r="AH178" s="1175"/>
      <c r="AI178" s="1175"/>
      <c r="AJ178" s="1175"/>
      <c r="AK178" s="1175"/>
      <c r="AL178" s="1175"/>
      <c r="AM178" s="1175"/>
      <c r="AN178" s="1175"/>
      <c r="AO178" s="1175"/>
      <c r="AP178" s="1175"/>
      <c r="AQ178" s="1175"/>
      <c r="AR178" s="1175"/>
      <c r="AS178" s="1175"/>
      <c r="AT178" s="1175"/>
      <c r="AU178" s="1175"/>
      <c r="AV178" s="1175"/>
      <c r="AW178" s="1175"/>
      <c r="AX178" s="1175"/>
      <c r="AY178" s="1175"/>
      <c r="AZ178" s="1175"/>
      <c r="BA178" s="1175"/>
      <c r="BB178" s="1175"/>
      <c r="BC178" s="1175"/>
      <c r="BD178" s="1175"/>
      <c r="BE178" s="1175"/>
      <c r="BF178" s="1175"/>
      <c r="BG178" s="1175"/>
      <c r="BH178" s="1175"/>
      <c r="BI178" s="1175"/>
      <c r="BJ178" s="1175"/>
      <c r="BK178" s="1175"/>
      <c r="BL178" s="1175"/>
      <c r="BM178" s="1175"/>
      <c r="BN178" s="1175"/>
      <c r="BO178" s="1175"/>
      <c r="BP178" s="1175"/>
      <c r="BQ178" s="1175"/>
      <c r="BR178" s="1175"/>
      <c r="BS178" s="1175"/>
      <c r="BT178" s="1175"/>
      <c r="BU178" s="1175"/>
      <c r="BV178" s="1175"/>
      <c r="BW178" s="1175"/>
      <c r="BX178" s="1175"/>
      <c r="BY178" s="1175"/>
      <c r="BZ178" s="1175"/>
      <c r="CA178" s="1175"/>
      <c r="CB178" s="1175"/>
      <c r="CC178" s="1175"/>
      <c r="CD178" s="1175"/>
      <c r="CE178" s="1175"/>
      <c r="CF178" s="1175"/>
      <c r="CG178" s="1175"/>
      <c r="CH178" s="1175"/>
      <c r="CI178" s="1175"/>
      <c r="CJ178" s="1175"/>
      <c r="CK178" s="1175"/>
      <c r="CL178" s="1175"/>
      <c r="CM178" s="1175"/>
      <c r="CN178" s="1175"/>
      <c r="CO178" s="1175"/>
      <c r="CP178" s="1175"/>
      <c r="CQ178" s="1175"/>
      <c r="CR178" s="1175"/>
      <c r="CS178" s="1175"/>
      <c r="CT178" s="1175"/>
      <c r="CU178" s="1175"/>
      <c r="CV178" s="1175"/>
      <c r="CW178" s="1175"/>
      <c r="CX178" s="1175"/>
      <c r="CY178" s="1175"/>
      <c r="CZ178" s="1175"/>
      <c r="DA178" s="1175"/>
    </row>
    <row r="179" spans="2:105" ht="20" hidden="1" customHeight="1" outlineLevel="1" x14ac:dyDescent="0.2">
      <c r="B179" s="112"/>
    </row>
    <row r="180" spans="2:105" ht="20" hidden="1" customHeight="1" outlineLevel="1" x14ac:dyDescent="0.2">
      <c r="B180" s="1634" t="s">
        <v>1128</v>
      </c>
    </row>
    <row r="181" spans="2:105" ht="20" hidden="1" customHeight="1" outlineLevel="1" x14ac:dyDescent="0.2"/>
    <row r="182" spans="2:105" ht="20" hidden="1" customHeight="1" outlineLevel="1" x14ac:dyDescent="0.2">
      <c r="B182" s="328" t="s">
        <v>398</v>
      </c>
    </row>
    <row r="183" spans="2:105" ht="20" hidden="1" customHeight="1" outlineLevel="1" x14ac:dyDescent="0.2"/>
    <row r="184" spans="2:105" ht="20" hidden="1" customHeight="1" outlineLevel="1" x14ac:dyDescent="0.2">
      <c r="B184" s="55" t="s">
        <v>400</v>
      </c>
      <c r="C184" s="55">
        <v>19000</v>
      </c>
      <c r="E184" s="7" t="s">
        <v>766</v>
      </c>
      <c r="F184" s="7" t="s">
        <v>1129</v>
      </c>
      <c r="G184" s="7" t="s">
        <v>7</v>
      </c>
    </row>
    <row r="185" spans="2:105" ht="20" hidden="1" customHeight="1" outlineLevel="1" x14ac:dyDescent="0.2">
      <c r="E185" s="544" t="s">
        <v>1130</v>
      </c>
      <c r="F185" s="329">
        <f>C207/2+SUM(C209:C211)+C216/2+SUM(C218:C221)</f>
        <v>60.5</v>
      </c>
      <c r="G185" s="416">
        <f>F185/$F$187</f>
        <v>0.10413080895008606</v>
      </c>
    </row>
    <row r="186" spans="2:105" ht="34" hidden="1" outlineLevel="1" x14ac:dyDescent="0.2">
      <c r="B186" s="126"/>
      <c r="C186" s="288" t="s">
        <v>405</v>
      </c>
      <c r="E186" s="544" t="s">
        <v>1131</v>
      </c>
      <c r="F186" s="1183">
        <f>SUM(C222:C245)+C216/2+SUM(C212:C215)+C208+C207/2+C208</f>
        <v>520.5</v>
      </c>
      <c r="G186" s="416">
        <f>F186/$F$187</f>
        <v>0.89586919104991392</v>
      </c>
    </row>
    <row r="187" spans="2:105" hidden="1" outlineLevel="1" x14ac:dyDescent="0.2">
      <c r="B187" s="290" t="s">
        <v>407</v>
      </c>
      <c r="C187" s="1184">
        <v>3</v>
      </c>
      <c r="E187" s="7" t="s">
        <v>198</v>
      </c>
      <c r="F187" s="1018">
        <f>SUM(F185:F186)</f>
        <v>581</v>
      </c>
      <c r="G187" s="482">
        <f>SUM(G185:G186)</f>
        <v>1</v>
      </c>
    </row>
    <row r="188" spans="2:105" hidden="1" outlineLevel="1" x14ac:dyDescent="0.2">
      <c r="B188" s="290" t="s">
        <v>408</v>
      </c>
      <c r="C188" s="1184">
        <v>2</v>
      </c>
    </row>
    <row r="189" spans="2:105" hidden="1" outlineLevel="1" x14ac:dyDescent="0.2">
      <c r="B189" s="290" t="s">
        <v>410</v>
      </c>
      <c r="C189" s="1184">
        <v>7</v>
      </c>
    </row>
    <row r="190" spans="2:105" hidden="1" outlineLevel="1" x14ac:dyDescent="0.2">
      <c r="B190" s="290" t="s">
        <v>411</v>
      </c>
      <c r="C190" s="1184">
        <v>1</v>
      </c>
    </row>
    <row r="191" spans="2:105" hidden="1" outlineLevel="1" x14ac:dyDescent="0.2">
      <c r="B191" s="290" t="s">
        <v>414</v>
      </c>
      <c r="C191" s="1184">
        <v>9</v>
      </c>
    </row>
    <row r="192" spans="2:105" hidden="1" outlineLevel="1" x14ac:dyDescent="0.2">
      <c r="B192" s="290" t="s">
        <v>417</v>
      </c>
      <c r="C192" s="1184">
        <v>3</v>
      </c>
    </row>
    <row r="193" spans="2:5" hidden="1" outlineLevel="1" x14ac:dyDescent="0.2">
      <c r="B193" s="290" t="s">
        <v>418</v>
      </c>
      <c r="C193" s="1184">
        <v>1</v>
      </c>
    </row>
    <row r="194" spans="2:5" hidden="1" outlineLevel="1" x14ac:dyDescent="0.2">
      <c r="B194" s="290" t="s">
        <v>421</v>
      </c>
      <c r="C194" s="1184">
        <v>1</v>
      </c>
    </row>
    <row r="195" spans="2:5" hidden="1" outlineLevel="1" x14ac:dyDescent="0.2">
      <c r="B195" s="1185" t="s">
        <v>423</v>
      </c>
      <c r="C195" s="291">
        <v>7</v>
      </c>
    </row>
    <row r="196" spans="2:5" hidden="1" outlineLevel="1" x14ac:dyDescent="0.2">
      <c r="B196" s="1185" t="s">
        <v>424</v>
      </c>
      <c r="C196" s="291">
        <v>11</v>
      </c>
    </row>
    <row r="197" spans="2:5" hidden="1" outlineLevel="1" x14ac:dyDescent="0.2">
      <c r="B197" s="290" t="s">
        <v>425</v>
      </c>
      <c r="C197" s="1184">
        <v>3</v>
      </c>
    </row>
    <row r="198" spans="2:5" hidden="1" outlineLevel="1" x14ac:dyDescent="0.2">
      <c r="B198" s="290" t="s">
        <v>427</v>
      </c>
      <c r="C198" s="1184">
        <v>3</v>
      </c>
    </row>
    <row r="199" spans="2:5" hidden="1" outlineLevel="1" x14ac:dyDescent="0.2">
      <c r="B199" s="290" t="s">
        <v>428</v>
      </c>
      <c r="C199" s="1184">
        <v>5</v>
      </c>
    </row>
    <row r="200" spans="2:5" hidden="1" outlineLevel="1" x14ac:dyDescent="0.2">
      <c r="B200" s="290" t="s">
        <v>429</v>
      </c>
      <c r="C200" s="1184">
        <v>1</v>
      </c>
    </row>
    <row r="201" spans="2:5" hidden="1" outlineLevel="1" x14ac:dyDescent="0.2">
      <c r="B201" s="290" t="s">
        <v>431</v>
      </c>
      <c r="C201" s="1184">
        <v>12</v>
      </c>
    </row>
    <row r="202" spans="2:5" hidden="1" outlineLevel="1" x14ac:dyDescent="0.2">
      <c r="B202" s="295" t="s">
        <v>198</v>
      </c>
      <c r="C202" s="296">
        <v>69</v>
      </c>
    </row>
    <row r="203" spans="2:5" hidden="1" outlineLevel="1" x14ac:dyDescent="0.2"/>
    <row r="204" spans="2:5" hidden="1" outlineLevel="1" x14ac:dyDescent="0.2">
      <c r="B204" s="1186"/>
      <c r="C204" s="1187"/>
    </row>
    <row r="205" spans="2:5" hidden="1" outlineLevel="1" x14ac:dyDescent="0.2"/>
    <row r="206" spans="2:5" hidden="1" outlineLevel="1" x14ac:dyDescent="0.2">
      <c r="B206" s="126"/>
      <c r="C206" s="288" t="s">
        <v>440</v>
      </c>
      <c r="D206" s="289" t="s">
        <v>1136</v>
      </c>
      <c r="E206" s="289" t="s">
        <v>0</v>
      </c>
    </row>
    <row r="207" spans="2:5" ht="34" hidden="1" outlineLevel="1" x14ac:dyDescent="0.2">
      <c r="B207" s="290" t="s">
        <v>441</v>
      </c>
      <c r="C207" s="291">
        <v>50</v>
      </c>
      <c r="D207" s="77" t="s">
        <v>1137</v>
      </c>
      <c r="E207" s="292" t="s">
        <v>1138</v>
      </c>
    </row>
    <row r="208" spans="2:5" hidden="1" outlineLevel="1" x14ac:dyDescent="0.2">
      <c r="B208" s="290" t="s">
        <v>442</v>
      </c>
      <c r="C208" s="291">
        <v>1</v>
      </c>
      <c r="D208" s="77" t="s">
        <v>1139</v>
      </c>
      <c r="E208" s="293"/>
    </row>
    <row r="209" spans="2:5" hidden="1" outlineLevel="1" x14ac:dyDescent="0.2">
      <c r="B209" s="290" t="s">
        <v>443</v>
      </c>
      <c r="C209" s="291">
        <v>6</v>
      </c>
      <c r="D209" s="77" t="s">
        <v>1140</v>
      </c>
      <c r="E209" s="293"/>
    </row>
    <row r="210" spans="2:5" hidden="1" outlineLevel="1" x14ac:dyDescent="0.2">
      <c r="B210" s="290" t="s">
        <v>444</v>
      </c>
      <c r="C210" s="291">
        <v>1</v>
      </c>
      <c r="D210" s="77" t="s">
        <v>1140</v>
      </c>
      <c r="E210" s="293"/>
    </row>
    <row r="211" spans="2:5" hidden="1" outlineLevel="1" x14ac:dyDescent="0.2">
      <c r="B211" s="290" t="s">
        <v>445</v>
      </c>
      <c r="C211" s="291">
        <v>9</v>
      </c>
      <c r="D211" s="77" t="s">
        <v>1140</v>
      </c>
      <c r="E211" s="293"/>
    </row>
    <row r="212" spans="2:5" hidden="1" outlineLevel="1" x14ac:dyDescent="0.2">
      <c r="B212" s="290" t="s">
        <v>446</v>
      </c>
      <c r="C212" s="291">
        <v>13</v>
      </c>
      <c r="D212" s="77" t="s">
        <v>1139</v>
      </c>
      <c r="E212" s="293"/>
    </row>
    <row r="213" spans="2:5" hidden="1" outlineLevel="1" x14ac:dyDescent="0.2">
      <c r="B213" s="290" t="s">
        <v>447</v>
      </c>
      <c r="C213" s="291">
        <v>11</v>
      </c>
      <c r="D213" s="77" t="s">
        <v>1139</v>
      </c>
      <c r="E213" s="293"/>
    </row>
    <row r="214" spans="2:5" hidden="1" outlineLevel="1" x14ac:dyDescent="0.2">
      <c r="B214" s="290" t="s">
        <v>448</v>
      </c>
      <c r="C214" s="291">
        <v>4</v>
      </c>
      <c r="D214" s="77" t="s">
        <v>1139</v>
      </c>
      <c r="E214" s="293"/>
    </row>
    <row r="215" spans="2:5" hidden="1" outlineLevel="1" x14ac:dyDescent="0.2">
      <c r="B215" s="290" t="s">
        <v>449</v>
      </c>
      <c r="C215" s="291">
        <v>3</v>
      </c>
      <c r="D215" s="77" t="s">
        <v>1139</v>
      </c>
      <c r="E215" s="293"/>
    </row>
    <row r="216" spans="2:5" ht="34" hidden="1" outlineLevel="1" x14ac:dyDescent="0.2">
      <c r="B216" s="290" t="s">
        <v>450</v>
      </c>
      <c r="C216" s="291">
        <v>23</v>
      </c>
      <c r="D216" s="77" t="s">
        <v>1137</v>
      </c>
      <c r="E216" s="292" t="s">
        <v>1138</v>
      </c>
    </row>
    <row r="217" spans="2:5" hidden="1" outlineLevel="1" x14ac:dyDescent="0.2">
      <c r="B217" s="290" t="s">
        <v>451</v>
      </c>
      <c r="C217" s="291">
        <v>2</v>
      </c>
      <c r="D217" s="77" t="s">
        <v>1139</v>
      </c>
      <c r="E217" s="81"/>
    </row>
    <row r="218" spans="2:5" hidden="1" outlineLevel="1" x14ac:dyDescent="0.2">
      <c r="B218" s="290" t="s">
        <v>452</v>
      </c>
      <c r="C218" s="291">
        <v>2</v>
      </c>
      <c r="D218" s="77" t="s">
        <v>1140</v>
      </c>
      <c r="E218" s="81"/>
    </row>
    <row r="219" spans="2:5" hidden="1" outlineLevel="1" x14ac:dyDescent="0.2">
      <c r="B219" s="290" t="s">
        <v>453</v>
      </c>
      <c r="C219" s="291">
        <v>4</v>
      </c>
      <c r="D219" s="77" t="s">
        <v>1140</v>
      </c>
      <c r="E219" s="81"/>
    </row>
    <row r="220" spans="2:5" hidden="1" outlineLevel="1" x14ac:dyDescent="0.2">
      <c r="B220" s="290" t="s">
        <v>454</v>
      </c>
      <c r="C220" s="291">
        <v>1</v>
      </c>
      <c r="D220" s="77" t="s">
        <v>1140</v>
      </c>
      <c r="E220" s="81"/>
    </row>
    <row r="221" spans="2:5" hidden="1" outlineLevel="1" x14ac:dyDescent="0.2">
      <c r="B221" s="290" t="s">
        <v>455</v>
      </c>
      <c r="C221" s="291">
        <v>1</v>
      </c>
      <c r="D221" s="77" t="s">
        <v>1140</v>
      </c>
      <c r="E221" s="81"/>
    </row>
    <row r="222" spans="2:5" hidden="1" outlineLevel="1" x14ac:dyDescent="0.2">
      <c r="B222" s="290" t="s">
        <v>456</v>
      </c>
      <c r="C222" s="291">
        <v>7</v>
      </c>
      <c r="D222" s="77" t="s">
        <v>1139</v>
      </c>
      <c r="E222" s="81"/>
    </row>
    <row r="223" spans="2:5" hidden="1" outlineLevel="1" x14ac:dyDescent="0.2">
      <c r="B223" s="294" t="s">
        <v>457</v>
      </c>
      <c r="C223" s="291">
        <v>105</v>
      </c>
      <c r="D223" s="77" t="s">
        <v>1139</v>
      </c>
      <c r="E223" s="81"/>
    </row>
    <row r="224" spans="2:5" hidden="1" outlineLevel="1" x14ac:dyDescent="0.2">
      <c r="B224" s="294" t="s">
        <v>458</v>
      </c>
      <c r="C224" s="291">
        <v>75</v>
      </c>
      <c r="D224" s="77" t="s">
        <v>1139</v>
      </c>
      <c r="E224" s="81"/>
    </row>
    <row r="225" spans="2:5" hidden="1" outlineLevel="1" x14ac:dyDescent="0.2">
      <c r="B225" s="294" t="s">
        <v>459</v>
      </c>
      <c r="C225" s="291">
        <v>6</v>
      </c>
      <c r="D225" s="77" t="s">
        <v>1139</v>
      </c>
      <c r="E225" s="81"/>
    </row>
    <row r="226" spans="2:5" hidden="1" outlineLevel="1" x14ac:dyDescent="0.2">
      <c r="B226" s="294" t="s">
        <v>460</v>
      </c>
      <c r="C226" s="291">
        <v>9</v>
      </c>
      <c r="D226" s="77" t="s">
        <v>1139</v>
      </c>
      <c r="E226" s="81"/>
    </row>
    <row r="227" spans="2:5" hidden="1" outlineLevel="1" x14ac:dyDescent="0.2">
      <c r="B227" s="294" t="s">
        <v>461</v>
      </c>
      <c r="C227" s="291">
        <v>30</v>
      </c>
      <c r="D227" s="77" t="s">
        <v>1139</v>
      </c>
      <c r="E227" s="81"/>
    </row>
    <row r="228" spans="2:5" hidden="1" outlineLevel="1" x14ac:dyDescent="0.2">
      <c r="B228" s="294" t="s">
        <v>462</v>
      </c>
      <c r="C228" s="291">
        <v>3</v>
      </c>
      <c r="D228" s="77" t="s">
        <v>1139</v>
      </c>
      <c r="E228" s="81"/>
    </row>
    <row r="229" spans="2:5" hidden="1" outlineLevel="1" x14ac:dyDescent="0.2">
      <c r="B229" s="294" t="s">
        <v>463</v>
      </c>
      <c r="C229" s="291">
        <v>1</v>
      </c>
      <c r="D229" s="77" t="s">
        <v>1139</v>
      </c>
      <c r="E229" s="81"/>
    </row>
    <row r="230" spans="2:5" hidden="1" outlineLevel="1" x14ac:dyDescent="0.2">
      <c r="B230" s="294" t="s">
        <v>464</v>
      </c>
      <c r="C230" s="291">
        <v>60</v>
      </c>
      <c r="D230" s="77" t="s">
        <v>1139</v>
      </c>
      <c r="E230" s="81"/>
    </row>
    <row r="231" spans="2:5" hidden="1" outlineLevel="1" x14ac:dyDescent="0.2">
      <c r="B231" s="294" t="s">
        <v>465</v>
      </c>
      <c r="C231" s="291">
        <v>7</v>
      </c>
      <c r="D231" s="77" t="s">
        <v>1139</v>
      </c>
      <c r="E231" s="81"/>
    </row>
    <row r="232" spans="2:5" hidden="1" outlineLevel="1" x14ac:dyDescent="0.2">
      <c r="B232" s="290" t="s">
        <v>466</v>
      </c>
      <c r="C232" s="291">
        <v>65</v>
      </c>
      <c r="D232" s="77" t="s">
        <v>1139</v>
      </c>
      <c r="E232" s="81"/>
    </row>
    <row r="233" spans="2:5" hidden="1" outlineLevel="1" x14ac:dyDescent="0.2">
      <c r="B233" s="290" t="s">
        <v>467</v>
      </c>
      <c r="C233" s="291">
        <v>1</v>
      </c>
      <c r="D233" s="77" t="s">
        <v>1139</v>
      </c>
      <c r="E233" s="81"/>
    </row>
    <row r="234" spans="2:5" hidden="1" outlineLevel="1" x14ac:dyDescent="0.2">
      <c r="B234" s="290" t="s">
        <v>468</v>
      </c>
      <c r="C234" s="291">
        <v>1</v>
      </c>
      <c r="D234" s="77" t="s">
        <v>1139</v>
      </c>
      <c r="E234" s="81"/>
    </row>
    <row r="235" spans="2:5" hidden="1" outlineLevel="1" x14ac:dyDescent="0.2">
      <c r="B235" s="290" t="s">
        <v>469</v>
      </c>
      <c r="C235" s="291">
        <v>1</v>
      </c>
      <c r="D235" s="77" t="s">
        <v>1139</v>
      </c>
      <c r="E235" s="81"/>
    </row>
    <row r="236" spans="2:5" hidden="1" outlineLevel="1" x14ac:dyDescent="0.2">
      <c r="B236" s="290" t="s">
        <v>470</v>
      </c>
      <c r="C236" s="291">
        <v>1</v>
      </c>
      <c r="D236" s="77" t="s">
        <v>1139</v>
      </c>
      <c r="E236" s="81"/>
    </row>
    <row r="237" spans="2:5" hidden="1" outlineLevel="1" x14ac:dyDescent="0.2">
      <c r="B237" s="290" t="s">
        <v>471</v>
      </c>
      <c r="C237" s="291">
        <v>1</v>
      </c>
      <c r="D237" s="77" t="s">
        <v>1139</v>
      </c>
      <c r="E237" s="81"/>
    </row>
    <row r="238" spans="2:5" hidden="1" outlineLevel="1" x14ac:dyDescent="0.2">
      <c r="B238" s="290" t="s">
        <v>472</v>
      </c>
      <c r="C238" s="291">
        <v>1</v>
      </c>
      <c r="D238" s="77" t="s">
        <v>1139</v>
      </c>
      <c r="E238" s="81"/>
    </row>
    <row r="239" spans="2:5" hidden="1" outlineLevel="1" x14ac:dyDescent="0.2">
      <c r="B239" s="290" t="s">
        <v>473</v>
      </c>
      <c r="C239" s="291">
        <v>63</v>
      </c>
      <c r="D239" s="77" t="s">
        <v>1139</v>
      </c>
      <c r="E239" s="81"/>
    </row>
    <row r="240" spans="2:5" hidden="1" outlineLevel="1" x14ac:dyDescent="0.2">
      <c r="B240" s="290" t="s">
        <v>474</v>
      </c>
      <c r="C240" s="291">
        <v>7</v>
      </c>
      <c r="D240" s="77" t="s">
        <v>1139</v>
      </c>
      <c r="E240" s="81"/>
    </row>
    <row r="241" spans="2:6" hidden="1" outlineLevel="1" x14ac:dyDescent="0.2">
      <c r="B241" s="290" t="s">
        <v>475</v>
      </c>
      <c r="C241" s="291">
        <v>1</v>
      </c>
      <c r="D241" s="77" t="s">
        <v>1139</v>
      </c>
      <c r="E241" s="81"/>
    </row>
    <row r="242" spans="2:6" hidden="1" outlineLevel="1" x14ac:dyDescent="0.2">
      <c r="B242" s="290" t="s">
        <v>476</v>
      </c>
      <c r="C242" s="291">
        <v>2</v>
      </c>
      <c r="D242" s="77" t="s">
        <v>1139</v>
      </c>
      <c r="E242" s="81"/>
    </row>
    <row r="243" spans="2:6" hidden="1" outlineLevel="1" x14ac:dyDescent="0.2">
      <c r="B243" s="290" t="s">
        <v>477</v>
      </c>
      <c r="C243" s="291">
        <v>1</v>
      </c>
      <c r="D243" s="77" t="s">
        <v>1139</v>
      </c>
      <c r="E243" s="81"/>
    </row>
    <row r="244" spans="2:6" hidden="1" outlineLevel="1" x14ac:dyDescent="0.2">
      <c r="B244" s="290" t="s">
        <v>478</v>
      </c>
      <c r="C244" s="291">
        <v>1</v>
      </c>
      <c r="D244" s="77" t="s">
        <v>1139</v>
      </c>
      <c r="E244" s="81"/>
    </row>
    <row r="245" spans="2:6" hidden="1" outlineLevel="1" x14ac:dyDescent="0.2">
      <c r="B245" s="290" t="s">
        <v>479</v>
      </c>
      <c r="C245" s="291">
        <v>2</v>
      </c>
      <c r="D245" s="77" t="s">
        <v>1139</v>
      </c>
      <c r="E245" s="81"/>
    </row>
    <row r="246" spans="2:6" hidden="1" outlineLevel="1" x14ac:dyDescent="0.2">
      <c r="B246" s="295" t="s">
        <v>198</v>
      </c>
      <c r="C246" s="296">
        <f>SUM(C207:C245)</f>
        <v>582</v>
      </c>
      <c r="D246" s="77"/>
      <c r="E246" s="81"/>
      <c r="F246" s="55" t="s">
        <v>1141</v>
      </c>
    </row>
    <row r="247" spans="2:6" hidden="1" outlineLevel="1" x14ac:dyDescent="0.2"/>
    <row r="248" spans="2:6" hidden="1" outlineLevel="1" x14ac:dyDescent="0.2"/>
    <row r="249" spans="2:6" ht="18" hidden="1" outlineLevel="1" x14ac:dyDescent="0.2">
      <c r="B249" s="1997" t="s">
        <v>1142</v>
      </c>
    </row>
    <row r="250" spans="2:6" hidden="1" outlineLevel="1" x14ac:dyDescent="0.2">
      <c r="B250" s="11"/>
    </row>
    <row r="251" spans="2:6" hidden="1" outlineLevel="1" x14ac:dyDescent="0.2">
      <c r="C251" s="1017"/>
    </row>
    <row r="252" spans="2:6" ht="17" hidden="1" outlineLevel="1" x14ac:dyDescent="0.2">
      <c r="B252" s="780" t="s">
        <v>1143</v>
      </c>
      <c r="E252" s="328" t="s">
        <v>1144</v>
      </c>
    </row>
    <row r="253" spans="2:6" hidden="1" outlineLevel="1" x14ac:dyDescent="0.2"/>
    <row r="254" spans="2:6" hidden="1" outlineLevel="1" x14ac:dyDescent="0.2">
      <c r="B254" s="1188" t="s">
        <v>1145</v>
      </c>
      <c r="C254" s="1166" t="s">
        <v>922</v>
      </c>
      <c r="E254" s="1188" t="s">
        <v>1145</v>
      </c>
      <c r="F254" s="1166" t="s">
        <v>922</v>
      </c>
    </row>
    <row r="255" spans="2:6" hidden="1" outlineLevel="1" x14ac:dyDescent="0.2">
      <c r="B255" s="81" t="s">
        <v>748</v>
      </c>
      <c r="C255" s="369">
        <v>0.7</v>
      </c>
      <c r="E255" s="87" t="s">
        <v>750</v>
      </c>
      <c r="F255" s="83">
        <v>0.23</v>
      </c>
    </row>
    <row r="256" spans="2:6" hidden="1" outlineLevel="1" x14ac:dyDescent="0.2">
      <c r="B256" s="81" t="s">
        <v>726</v>
      </c>
      <c r="C256" s="369">
        <v>0.17</v>
      </c>
      <c r="E256" s="87" t="s">
        <v>748</v>
      </c>
      <c r="F256" s="83">
        <v>0.66</v>
      </c>
    </row>
    <row r="257" spans="2:8" hidden="1" outlineLevel="1" x14ac:dyDescent="0.2">
      <c r="B257" s="81" t="s">
        <v>728</v>
      </c>
      <c r="C257" s="369">
        <v>0.12</v>
      </c>
      <c r="E257" s="87" t="s">
        <v>1146</v>
      </c>
      <c r="F257" s="83">
        <v>0.03</v>
      </c>
    </row>
    <row r="258" spans="2:8" hidden="1" outlineLevel="1" x14ac:dyDescent="0.2">
      <c r="B258" s="81" t="s">
        <v>742</v>
      </c>
      <c r="C258" s="369">
        <v>0.01</v>
      </c>
      <c r="E258" s="87" t="s">
        <v>1147</v>
      </c>
      <c r="F258" s="83">
        <v>0.08</v>
      </c>
    </row>
    <row r="259" spans="2:8" hidden="1" outlineLevel="1" x14ac:dyDescent="0.2">
      <c r="B259" s="1189" t="s">
        <v>13</v>
      </c>
      <c r="C259" s="1190">
        <f>SUM(C255:C258)</f>
        <v>1</v>
      </c>
      <c r="E259" s="1189" t="s">
        <v>13</v>
      </c>
      <c r="F259" s="1190">
        <f>SUM(F255:F258)</f>
        <v>1</v>
      </c>
    </row>
    <row r="260" spans="2:8" hidden="1" outlineLevel="1" x14ac:dyDescent="0.2"/>
    <row r="261" spans="2:8" hidden="1" outlineLevel="1" x14ac:dyDescent="0.2">
      <c r="B261" s="1191" t="s">
        <v>1148</v>
      </c>
      <c r="C261" s="11" t="s">
        <v>1149</v>
      </c>
      <c r="D261" s="11"/>
      <c r="E261" s="1191" t="s">
        <v>1148</v>
      </c>
      <c r="F261" s="11" t="s">
        <v>1150</v>
      </c>
    </row>
    <row r="262" spans="2:8" hidden="1" outlineLevel="1" x14ac:dyDescent="0.2">
      <c r="B262" s="11" t="s">
        <v>1151</v>
      </c>
      <c r="C262" s="1192">
        <v>428.43</v>
      </c>
      <c r="D262" s="11" t="s">
        <v>685</v>
      </c>
    </row>
    <row r="263" spans="2:8" hidden="1" outlineLevel="1" x14ac:dyDescent="0.2"/>
    <row r="264" spans="2:8" hidden="1" outlineLevel="1" x14ac:dyDescent="0.2"/>
    <row r="265" spans="2:8" hidden="1" outlineLevel="1" x14ac:dyDescent="0.2">
      <c r="B265"/>
      <c r="C265"/>
      <c r="D265"/>
      <c r="E265"/>
      <c r="F265"/>
      <c r="G265"/>
      <c r="H265"/>
    </row>
    <row r="266" spans="2:8" hidden="1" outlineLevel="1" x14ac:dyDescent="0.2">
      <c r="B266"/>
      <c r="C266"/>
      <c r="D266"/>
      <c r="E266"/>
      <c r="F266"/>
      <c r="G266"/>
      <c r="H266"/>
    </row>
    <row r="267" spans="2:8" hidden="1" outlineLevel="1" x14ac:dyDescent="0.2">
      <c r="B267"/>
      <c r="C267"/>
      <c r="D267"/>
      <c r="E267"/>
      <c r="F267"/>
      <c r="G267"/>
      <c r="H267"/>
    </row>
    <row r="268" spans="2:8" hidden="1" outlineLevel="1" x14ac:dyDescent="0.2">
      <c r="B268"/>
      <c r="C268"/>
      <c r="D268"/>
      <c r="E268"/>
      <c r="F268"/>
      <c r="G268"/>
      <c r="H268"/>
    </row>
    <row r="269" spans="2:8" hidden="1" outlineLevel="1" x14ac:dyDescent="0.2">
      <c r="B269"/>
      <c r="C269"/>
      <c r="D269"/>
      <c r="E269"/>
      <c r="F269"/>
      <c r="G269"/>
      <c r="H269"/>
    </row>
    <row r="270" spans="2:8" hidden="1" outlineLevel="1" x14ac:dyDescent="0.2">
      <c r="B270"/>
      <c r="C270"/>
      <c r="D270"/>
      <c r="E270"/>
      <c r="F270"/>
      <c r="G270"/>
      <c r="H270"/>
    </row>
    <row r="271" spans="2:8" hidden="1" outlineLevel="1" x14ac:dyDescent="0.2">
      <c r="B271"/>
      <c r="C271"/>
      <c r="D271"/>
      <c r="E271"/>
      <c r="F271"/>
      <c r="G271"/>
      <c r="H271"/>
    </row>
    <row r="272" spans="2:8" hidden="1" outlineLevel="1" x14ac:dyDescent="0.2">
      <c r="B272"/>
      <c r="C272"/>
      <c r="D272"/>
      <c r="E272"/>
      <c r="F272"/>
      <c r="G272"/>
      <c r="H272"/>
    </row>
    <row r="273" spans="2:10" hidden="1" outlineLevel="1" x14ac:dyDescent="0.2">
      <c r="B273"/>
      <c r="C273"/>
      <c r="D273"/>
      <c r="E273"/>
      <c r="F273"/>
      <c r="G273"/>
      <c r="H273"/>
      <c r="I273" s="286"/>
      <c r="J273" s="1194"/>
    </row>
    <row r="274" spans="2:10" hidden="1" outlineLevel="1" x14ac:dyDescent="0.2">
      <c r="B274"/>
      <c r="C274"/>
      <c r="D274"/>
      <c r="E274"/>
      <c r="F274"/>
      <c r="G274"/>
      <c r="H274"/>
    </row>
    <row r="275" spans="2:10" hidden="1" outlineLevel="1" x14ac:dyDescent="0.2">
      <c r="B275"/>
      <c r="C275"/>
      <c r="D275"/>
      <c r="E275"/>
      <c r="F275"/>
      <c r="G275"/>
      <c r="H275"/>
    </row>
    <row r="276" spans="2:10" hidden="1" outlineLevel="1" x14ac:dyDescent="0.2">
      <c r="B276"/>
      <c r="C276"/>
      <c r="D276"/>
      <c r="E276"/>
      <c r="F276"/>
      <c r="G276"/>
      <c r="H276"/>
    </row>
    <row r="277" spans="2:10" hidden="1" outlineLevel="1" x14ac:dyDescent="0.2">
      <c r="E277" s="379"/>
    </row>
    <row r="278" spans="2:10" hidden="1" outlineLevel="1" x14ac:dyDescent="0.2">
      <c r="E278" s="473"/>
    </row>
    <row r="279" spans="2:10" hidden="1" outlineLevel="1" x14ac:dyDescent="0.2"/>
    <row r="280" spans="2:10" hidden="1" outlineLevel="1" x14ac:dyDescent="0.2"/>
    <row r="281" spans="2:10" hidden="1" outlineLevel="1" x14ac:dyDescent="0.2"/>
    <row r="282" spans="2:10" hidden="1" outlineLevel="1" x14ac:dyDescent="0.2">
      <c r="I282" s="346"/>
    </row>
    <row r="283" spans="2:10" hidden="1" outlineLevel="1" x14ac:dyDescent="0.2"/>
    <row r="284" spans="2:10" hidden="1" outlineLevel="1" x14ac:dyDescent="0.2"/>
    <row r="285" spans="2:10" hidden="1" outlineLevel="1" x14ac:dyDescent="0.2"/>
    <row r="286" spans="2:10" hidden="1" outlineLevel="1" x14ac:dyDescent="0.2"/>
    <row r="287" spans="2:10" hidden="1" outlineLevel="1" x14ac:dyDescent="0.2"/>
    <row r="288" spans="2:10" hidden="1" outlineLevel="1" x14ac:dyDescent="0.2"/>
    <row r="289" spans="2:4" hidden="1" outlineLevel="1" x14ac:dyDescent="0.2"/>
    <row r="290" spans="2:4" hidden="1" outlineLevel="1" x14ac:dyDescent="0.2"/>
    <row r="291" spans="2:4" hidden="1" outlineLevel="1" x14ac:dyDescent="0.2"/>
    <row r="292" spans="2:4" hidden="1" outlineLevel="1" x14ac:dyDescent="0.2"/>
    <row r="293" spans="2:4" hidden="1" outlineLevel="1" x14ac:dyDescent="0.2"/>
    <row r="294" spans="2:4" hidden="1" outlineLevel="1" x14ac:dyDescent="0.2"/>
    <row r="295" spans="2:4" hidden="1" outlineLevel="1" x14ac:dyDescent="0.2"/>
    <row r="296" spans="2:4" hidden="1" outlineLevel="1" x14ac:dyDescent="0.2"/>
    <row r="297" spans="2:4" hidden="1" outlineLevel="1" x14ac:dyDescent="0.2"/>
    <row r="298" spans="2:4" collapsed="1" x14ac:dyDescent="0.2"/>
    <row r="300" spans="2:4" x14ac:dyDescent="0.2">
      <c r="B300" s="81" t="s">
        <v>742</v>
      </c>
      <c r="C300" s="1193">
        <f>F107*F108*F115*F122</f>
        <v>490790.83341912745</v>
      </c>
      <c r="D300" s="2306">
        <f>C300/SUM($C$300:$C$302)</f>
        <v>2.2779893644523097E-2</v>
      </c>
    </row>
    <row r="301" spans="2:4" x14ac:dyDescent="0.2">
      <c r="B301" s="81" t="s">
        <v>748</v>
      </c>
      <c r="C301" s="1193">
        <f>D107*D108*D109*D116+E107*E108*E109*E116+F107*F108*F109*F116</f>
        <v>20130480.864227459</v>
      </c>
      <c r="D301" s="2306">
        <f t="shared" ref="D301:D302" si="11">C301/SUM($C$300:$C$302)</f>
        <v>0.9343495882055266</v>
      </c>
    </row>
    <row r="302" spans="2:4" x14ac:dyDescent="0.2">
      <c r="B302" s="2540" t="s">
        <v>2658</v>
      </c>
      <c r="C302" s="2541">
        <f>D107*D108*SUMPRODUCT(D110:D112,D117:D119)+E107*E108*SUMPRODUCT(E110:E112,E117:E119)+F107*F108*SUMPRODUCT(F113:F114,F120:F121)</f>
        <v>923641.59641204367</v>
      </c>
      <c r="D302" s="2306">
        <f t="shared" si="11"/>
        <v>4.2870518149950188E-2</v>
      </c>
    </row>
    <row r="303" spans="2:4" x14ac:dyDescent="0.2">
      <c r="B303" s="81"/>
      <c r="C303" s="1193">
        <f>SUM(C300:C302)</f>
        <v>21544913.294058632</v>
      </c>
      <c r="D303" s="81"/>
    </row>
  </sheetData>
  <mergeCells count="28">
    <mergeCell ref="D169:H169"/>
    <mergeCell ref="D170:H170"/>
    <mergeCell ref="D171:H171"/>
    <mergeCell ref="D177:H177"/>
    <mergeCell ref="D172:H172"/>
    <mergeCell ref="D173:H173"/>
    <mergeCell ref="D174:H174"/>
    <mergeCell ref="D175:H175"/>
    <mergeCell ref="D176:H176"/>
    <mergeCell ref="C17:P17"/>
    <mergeCell ref="C18:P18"/>
    <mergeCell ref="C19:P19"/>
    <mergeCell ref="D167:H167"/>
    <mergeCell ref="D168:H168"/>
    <mergeCell ref="D89:I89"/>
    <mergeCell ref="B87:H87"/>
    <mergeCell ref="B109:B115"/>
    <mergeCell ref="B116:B122"/>
    <mergeCell ref="B12:P12"/>
    <mergeCell ref="C13:P13"/>
    <mergeCell ref="C14:P14"/>
    <mergeCell ref="C15:P15"/>
    <mergeCell ref="C16:P16"/>
    <mergeCell ref="C6:D6"/>
    <mergeCell ref="C7:D7"/>
    <mergeCell ref="C9:D9"/>
    <mergeCell ref="B2:E2"/>
    <mergeCell ref="B4:D4"/>
  </mergeCells>
  <conditionalFormatting sqref="C7">
    <cfRule type="containsText" dxfId="53" priority="12" operator="containsText" text="Calcul brouillon, odg">
      <formula>NOT(ISERROR(SEARCH("Calcul brouillon, odg",C7)))</formula>
    </cfRule>
    <cfRule type="containsText" dxfId="52" priority="13" operator="containsText" text="Pas ok">
      <formula>NOT(ISERROR(SEARCH("Pas ok",C7)))</formula>
    </cfRule>
    <cfRule type="containsText" dxfId="51" priority="14" operator="containsText" text="Calcul brouillon, ordre de grandeur">
      <formula>NOT(ISERROR(SEARCH("Calcul brouillon, ordre de grandeur",C7)))</formula>
    </cfRule>
    <cfRule type="containsText" dxfId="50" priority="15" operator="containsText" text="Bon ordre de grandeur">
      <formula>NOT(ISERROR(SEARCH("Bon ordre de grandeur",C7)))</formula>
    </cfRule>
    <cfRule type="containsText" dxfId="49" priority="16" operator="containsText" text="Calcul validé">
      <formula>NOT(ISERROR(SEARCH("Calcul validé",C7)))</formula>
    </cfRule>
    <cfRule type="containsText" dxfId="48" priority="18" operator="containsText" text="Pas ok">
      <formula>NOT(ISERROR(SEARCH("Pas ok",C7)))</formula>
    </cfRule>
    <cfRule type="containsText" dxfId="47" priority="19" operator="containsText" text="Calcul brouillon, ordre de grandeur">
      <formula>NOT(ISERROR(SEARCH("Calcul brouillon, ordre de grandeur",C7)))</formula>
    </cfRule>
    <cfRule type="containsText" dxfId="46" priority="20" operator="containsText" text="Bon ordre de grandeur">
      <formula>NOT(ISERROR(SEARCH("Bon ordre de grandeur",C7)))</formula>
    </cfRule>
    <cfRule type="containsText" dxfId="45" priority="21" operator="containsText" text="Calcul validé">
      <formula>NOT(ISERROR(SEARCH("Calcul validé",C7)))</formula>
    </cfRule>
  </conditionalFormatting>
  <dataValidations disablePrompts="1" count="1">
    <dataValidation type="list" allowBlank="1" showInputMessage="1" showErrorMessage="1" sqref="G35 B29 C154:CY154" xr:uid="{00EE00D2-00E4-42E6-B066-0078005500F4}">
      <formula1>$C$154:$CY$154</formula1>
    </dataValidation>
  </dataValidations>
  <pageMargins left="0.7" right="0.7" top="0.75" bottom="0.75" header="0.3" footer="0.3"/>
  <pageSetup paperSize="9"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A9C"/>
  </sheetPr>
  <dimension ref="A1:AG179"/>
  <sheetViews>
    <sheetView zoomScale="50" workbookViewId="0">
      <selection activeCell="C75" sqref="C75:D75"/>
    </sheetView>
  </sheetViews>
  <sheetFormatPr baseColWidth="10" defaultColWidth="10.85546875" defaultRowHeight="16" outlineLevelRow="1" x14ac:dyDescent="0.2"/>
  <cols>
    <col min="1" max="1" width="10.85546875" style="55"/>
    <col min="2" max="2" width="49.5703125" style="55" customWidth="1"/>
    <col min="3" max="3" width="39.85546875" style="55" customWidth="1"/>
    <col min="4" max="4" width="35.140625" style="55" customWidth="1"/>
    <col min="5" max="5" width="38.42578125" style="55" customWidth="1"/>
    <col min="6" max="15" width="35.140625" style="55" customWidth="1"/>
    <col min="16" max="16384" width="10.85546875" style="55"/>
  </cols>
  <sheetData>
    <row r="1" spans="2:10" ht="36" customHeight="1" x14ac:dyDescent="0.2">
      <c r="B1" s="126"/>
      <c r="C1" s="126"/>
      <c r="D1" s="126"/>
      <c r="E1" s="126"/>
      <c r="F1" s="126"/>
      <c r="G1" s="126"/>
      <c r="H1" s="126"/>
    </row>
    <row r="2" spans="2:10" ht="36" customHeight="1" x14ac:dyDescent="0.2">
      <c r="B2" s="2612" t="s">
        <v>1153</v>
      </c>
      <c r="C2" s="2613"/>
      <c r="D2" s="2614"/>
      <c r="E2" s="126"/>
      <c r="F2" s="126"/>
      <c r="G2" s="126"/>
      <c r="H2" s="126"/>
    </row>
    <row r="3" spans="2:10" ht="36" customHeight="1" x14ac:dyDescent="0.2">
      <c r="B3" s="126"/>
      <c r="C3" s="126"/>
      <c r="D3" s="126"/>
      <c r="E3" s="126"/>
      <c r="F3" s="126"/>
      <c r="G3" s="126"/>
      <c r="H3" s="126"/>
    </row>
    <row r="4" spans="2:10" ht="36" customHeight="1" x14ac:dyDescent="0.2">
      <c r="B4" s="126"/>
      <c r="C4" s="126"/>
      <c r="D4" s="126"/>
      <c r="E4" s="126"/>
      <c r="F4" s="126"/>
      <c r="G4" s="126"/>
      <c r="H4" s="126"/>
    </row>
    <row r="5" spans="2:10" ht="36" customHeight="1" x14ac:dyDescent="0.2">
      <c r="B5" s="2822" t="s">
        <v>17</v>
      </c>
      <c r="C5" s="2823"/>
      <c r="D5" s="2824"/>
      <c r="E5" s="126"/>
    </row>
    <row r="6" spans="2:10" ht="36" customHeight="1" x14ac:dyDescent="0.2">
      <c r="B6" s="127" t="s">
        <v>216</v>
      </c>
      <c r="C6" s="609">
        <f>D37</f>
        <v>21544.913294058635</v>
      </c>
      <c r="D6" s="129" t="s">
        <v>19</v>
      </c>
      <c r="E6" s="126"/>
    </row>
    <row r="7" spans="2:10" ht="36" customHeight="1" x14ac:dyDescent="0.2">
      <c r="B7" s="127" t="s">
        <v>217</v>
      </c>
      <c r="C7" s="128">
        <f>H37</f>
        <v>1938.5607461808454</v>
      </c>
      <c r="D7" s="129" t="s">
        <v>19</v>
      </c>
      <c r="E7" s="126"/>
    </row>
    <row r="8" spans="2:10" ht="36" customHeight="1" x14ac:dyDescent="0.2">
      <c r="B8" s="130" t="s">
        <v>218</v>
      </c>
      <c r="C8" s="2825">
        <f>C7/C6-1</f>
        <v>-0.91002234635516333</v>
      </c>
      <c r="D8" s="2826"/>
      <c r="E8" s="126"/>
    </row>
    <row r="9" spans="2:10" ht="36" customHeight="1" x14ac:dyDescent="0.2">
      <c r="B9" s="126"/>
      <c r="C9" s="126"/>
      <c r="D9" s="542"/>
      <c r="E9" s="542"/>
      <c r="F9" s="126"/>
      <c r="G9" s="126"/>
      <c r="H9" s="126"/>
    </row>
    <row r="10" spans="2:10" ht="36" customHeight="1" x14ac:dyDescent="0.2">
      <c r="B10" s="126"/>
      <c r="C10" s="126"/>
      <c r="D10" s="126"/>
      <c r="E10" s="126"/>
      <c r="F10" s="126"/>
      <c r="G10" s="126"/>
      <c r="H10" s="126"/>
    </row>
    <row r="11" spans="2:10" ht="36" customHeight="1" x14ac:dyDescent="0.2">
      <c r="B11" s="133" t="s">
        <v>219</v>
      </c>
    </row>
    <row r="12" spans="2:10" ht="36" customHeight="1" x14ac:dyDescent="0.2"/>
    <row r="13" spans="2:10" ht="36" customHeight="1" outlineLevel="1" x14ac:dyDescent="0.2">
      <c r="B13" s="1926" t="s">
        <v>149</v>
      </c>
      <c r="C13" s="728" t="s">
        <v>220</v>
      </c>
      <c r="D13" s="729" t="s">
        <v>1154</v>
      </c>
      <c r="E13" s="730" t="s">
        <v>222</v>
      </c>
      <c r="F13" s="731" t="s">
        <v>1155</v>
      </c>
      <c r="G13" s="730" t="s">
        <v>222</v>
      </c>
      <c r="H13" s="732" t="s">
        <v>774</v>
      </c>
      <c r="I13" s="730" t="s">
        <v>222</v>
      </c>
      <c r="J13" s="733" t="s">
        <v>775</v>
      </c>
    </row>
    <row r="14" spans="2:10" ht="36" customHeight="1" outlineLevel="1" x14ac:dyDescent="0.2"/>
    <row r="15" spans="2:10" ht="36" customHeight="1" x14ac:dyDescent="0.2">
      <c r="B15" s="133" t="s">
        <v>776</v>
      </c>
      <c r="C15" s="126"/>
      <c r="D15" s="126"/>
      <c r="H15" s="126"/>
    </row>
    <row r="16" spans="2:10" ht="36" customHeight="1" x14ac:dyDescent="0.2">
      <c r="B16" s="126"/>
      <c r="C16" s="126"/>
      <c r="D16" s="126"/>
      <c r="H16" s="126"/>
    </row>
    <row r="17" spans="2:18" ht="36" hidden="1" customHeight="1" outlineLevel="1" thickBot="1" x14ac:dyDescent="0.25">
      <c r="C17"/>
      <c r="D17"/>
      <c r="E17"/>
      <c r="F17"/>
      <c r="G17"/>
      <c r="H17"/>
      <c r="I17"/>
    </row>
    <row r="18" spans="2:18" ht="36" hidden="1" customHeight="1" outlineLevel="1" thickBot="1" x14ac:dyDescent="0.25">
      <c r="C18" s="1223"/>
      <c r="D18" s="3050">
        <v>2022</v>
      </c>
      <c r="E18" s="3051"/>
      <c r="F18" s="3052"/>
      <c r="G18" s="3050">
        <v>2050</v>
      </c>
      <c r="H18" s="3051"/>
      <c r="I18" s="3052"/>
      <c r="J18"/>
      <c r="K18"/>
      <c r="L18"/>
      <c r="M18"/>
      <c r="N18"/>
      <c r="O18"/>
      <c r="P18"/>
      <c r="Q18"/>
      <c r="R18"/>
    </row>
    <row r="19" spans="2:18" s="112" customFormat="1" ht="36" hidden="1" customHeight="1" outlineLevel="1" thickBot="1" x14ac:dyDescent="0.25">
      <c r="C19" s="1224"/>
      <c r="D19" s="1297" t="s">
        <v>1156</v>
      </c>
      <c r="E19" s="1298" t="s">
        <v>1157</v>
      </c>
      <c r="F19" s="1299" t="s">
        <v>1158</v>
      </c>
      <c r="G19" s="1225" t="s">
        <v>1156</v>
      </c>
      <c r="H19" s="1226" t="s">
        <v>1157</v>
      </c>
      <c r="I19" s="1227" t="s">
        <v>1158</v>
      </c>
      <c r="J19"/>
      <c r="K19"/>
      <c r="L19"/>
      <c r="M19"/>
      <c r="N19"/>
      <c r="O19"/>
      <c r="P19"/>
      <c r="Q19"/>
      <c r="R19"/>
    </row>
    <row r="20" spans="2:18" ht="36" hidden="1" customHeight="1" outlineLevel="1" thickBot="1" x14ac:dyDescent="0.25">
      <c r="B20" s="843" t="s">
        <v>1546</v>
      </c>
      <c r="C20" s="737" t="s">
        <v>1154</v>
      </c>
      <c r="D20" s="856">
        <f>'22'!D107</f>
        <v>1871350.9352750094</v>
      </c>
      <c r="E20" s="1300">
        <f>'22'!E107</f>
        <v>584499.39319498779</v>
      </c>
      <c r="F20" s="1301">
        <f>'22'!F107</f>
        <v>67938.930429004351</v>
      </c>
      <c r="G20" s="1050">
        <f t="shared" ref="G20:G21" si="0">D20</f>
        <v>1871350.9352750094</v>
      </c>
      <c r="H20" s="1241">
        <f>E20 + F20*C106</f>
        <v>604881.07232368912</v>
      </c>
      <c r="I20" s="1242">
        <f>F20*(1-C106)</f>
        <v>47557.25130030304</v>
      </c>
      <c r="J20"/>
      <c r="K20"/>
      <c r="L20"/>
      <c r="M20"/>
      <c r="N20"/>
      <c r="O20"/>
      <c r="P20"/>
      <c r="Q20"/>
      <c r="R20"/>
    </row>
    <row r="21" spans="2:18" ht="36" hidden="1" customHeight="1" outlineLevel="1" thickBot="1" x14ac:dyDescent="0.25">
      <c r="B21" s="978" t="s">
        <v>773</v>
      </c>
      <c r="C21" s="1228" t="s">
        <v>2030</v>
      </c>
      <c r="D21" s="856">
        <f>'22'!D108</f>
        <v>41.595245732871298</v>
      </c>
      <c r="E21" s="1300">
        <f>'22'!E108</f>
        <v>41.595245732871298</v>
      </c>
      <c r="F21" s="1301">
        <f>'22'!F108</f>
        <v>1120</v>
      </c>
      <c r="G21" s="1293">
        <f t="shared" si="0"/>
        <v>41.595245732871298</v>
      </c>
      <c r="H21" s="1248">
        <f t="shared" ref="H21:I21" si="1">E21</f>
        <v>41.595245732871298</v>
      </c>
      <c r="I21" s="1249">
        <f t="shared" si="1"/>
        <v>1120</v>
      </c>
      <c r="J21"/>
      <c r="K21"/>
      <c r="L21"/>
      <c r="M21"/>
      <c r="N21"/>
      <c r="O21"/>
      <c r="P21"/>
      <c r="Q21"/>
      <c r="R21"/>
    </row>
    <row r="22" spans="2:18" ht="36" hidden="1" customHeight="1" outlineLevel="1" x14ac:dyDescent="0.2">
      <c r="B22" s="2957" t="s">
        <v>722</v>
      </c>
      <c r="C22" s="1105" t="s">
        <v>1648</v>
      </c>
      <c r="D22" s="1302">
        <f>'22'!D109</f>
        <v>0.82511216926442388</v>
      </c>
      <c r="E22" s="1303">
        <f>'22'!E109</f>
        <v>0.82511216926442388</v>
      </c>
      <c r="F22" s="1304">
        <f>'22'!F109</f>
        <v>0.745</v>
      </c>
      <c r="G22" s="1294">
        <f>E66</f>
        <v>0.52542520212593036</v>
      </c>
      <c r="H22" s="1245">
        <f>E66</f>
        <v>0.52542520212593036</v>
      </c>
      <c r="I22" s="1246">
        <f>F66</f>
        <v>0.66975499999999999</v>
      </c>
      <c r="J22"/>
      <c r="K22"/>
      <c r="L22"/>
      <c r="M22"/>
      <c r="N22"/>
      <c r="O22"/>
      <c r="P22"/>
      <c r="Q22"/>
      <c r="R22"/>
    </row>
    <row r="23" spans="2:18" ht="36" hidden="1" customHeight="1" outlineLevel="1" x14ac:dyDescent="0.2">
      <c r="B23" s="2958"/>
      <c r="C23" s="1107" t="s">
        <v>1649</v>
      </c>
      <c r="D23" s="1305">
        <f>'22'!D110</f>
        <v>4.4467154023389771E-2</v>
      </c>
      <c r="E23" s="416">
        <f>'22'!E110</f>
        <v>4.4467154023389771E-2</v>
      </c>
      <c r="F23" s="725"/>
      <c r="G23" s="1295">
        <f>E67</f>
        <v>5.0025548276313489E-2</v>
      </c>
      <c r="H23" s="1231">
        <f>E67</f>
        <v>5.0025548276313489E-2</v>
      </c>
      <c r="I23" s="725"/>
      <c r="J23"/>
      <c r="K23"/>
      <c r="L23"/>
      <c r="M23"/>
      <c r="N23"/>
      <c r="O23"/>
      <c r="P23"/>
      <c r="Q23"/>
      <c r="R23"/>
    </row>
    <row r="24" spans="2:18" ht="36" hidden="1" customHeight="1" outlineLevel="1" x14ac:dyDescent="0.2">
      <c r="B24" s="2958"/>
      <c r="C24" s="1107" t="s">
        <v>930</v>
      </c>
      <c r="D24" s="1305">
        <f>'22'!D111</f>
        <v>4.4467154023389771E-2</v>
      </c>
      <c r="E24" s="416">
        <f>'22'!E111</f>
        <v>4.4467154023389771E-2</v>
      </c>
      <c r="F24" s="725"/>
      <c r="G24" s="1295">
        <f>E68</f>
        <v>4.8702121073236411E-2</v>
      </c>
      <c r="H24" s="1231">
        <f>E68</f>
        <v>4.8702121073236411E-2</v>
      </c>
      <c r="I24" s="725"/>
      <c r="J24"/>
      <c r="K24"/>
      <c r="L24"/>
      <c r="M24"/>
      <c r="N24"/>
      <c r="O24"/>
      <c r="P24"/>
      <c r="Q24"/>
      <c r="R24"/>
    </row>
    <row r="25" spans="2:18" ht="36" hidden="1" customHeight="1" outlineLevel="1" x14ac:dyDescent="0.2">
      <c r="B25" s="2958"/>
      <c r="C25" s="1107" t="s">
        <v>1650</v>
      </c>
      <c r="D25" s="1305">
        <f>'22'!D112</f>
        <v>8.5954512787806123E-2</v>
      </c>
      <c r="E25" s="416">
        <f>'22'!E112</f>
        <v>8.5954512787806123E-2</v>
      </c>
      <c r="F25" s="725"/>
      <c r="G25" s="1295">
        <f>E69</f>
        <v>0.37584712852451974</v>
      </c>
      <c r="H25" s="1231">
        <f>E69</f>
        <v>0.37584712852451974</v>
      </c>
      <c r="I25" s="725"/>
      <c r="J25"/>
      <c r="K25"/>
      <c r="L25"/>
      <c r="M25"/>
      <c r="N25"/>
      <c r="O25"/>
      <c r="P25"/>
      <c r="Q25"/>
      <c r="R25"/>
    </row>
    <row r="26" spans="2:18" ht="36" hidden="1" customHeight="1" outlineLevel="1" x14ac:dyDescent="0.2">
      <c r="B26" s="2958"/>
      <c r="C26" s="1107" t="s">
        <v>931</v>
      </c>
      <c r="D26" s="1305"/>
      <c r="E26" s="416"/>
      <c r="F26" s="725">
        <f>'22'!F113</f>
        <v>0.14000000000000001</v>
      </c>
      <c r="G26" s="1295"/>
      <c r="H26" s="1231"/>
      <c r="I26" s="725">
        <f>F70</f>
        <v>0.18887250000000003</v>
      </c>
      <c r="J26"/>
      <c r="K26"/>
      <c r="L26"/>
      <c r="M26"/>
      <c r="N26"/>
      <c r="O26"/>
      <c r="P26"/>
      <c r="Q26"/>
      <c r="R26"/>
    </row>
    <row r="27" spans="2:18" ht="36" hidden="1" customHeight="1" outlineLevel="1" x14ac:dyDescent="0.2">
      <c r="B27" s="2958"/>
      <c r="C27" s="1107" t="s">
        <v>932</v>
      </c>
      <c r="D27" s="1305"/>
      <c r="E27" s="416"/>
      <c r="F27" s="725">
        <f>'22'!F114</f>
        <v>0.09</v>
      </c>
      <c r="G27" s="1295"/>
      <c r="H27" s="1231"/>
      <c r="I27" s="725">
        <f>F71</f>
        <v>0.13887250000000001</v>
      </c>
      <c r="J27"/>
      <c r="K27"/>
      <c r="L27"/>
      <c r="M27"/>
      <c r="N27"/>
      <c r="O27"/>
      <c r="P27"/>
      <c r="Q27"/>
      <c r="R27"/>
    </row>
    <row r="28" spans="2:18" ht="36" hidden="1" customHeight="1" outlineLevel="1" thickBot="1" x14ac:dyDescent="0.25">
      <c r="B28" s="3055"/>
      <c r="C28" s="1232" t="s">
        <v>933</v>
      </c>
      <c r="D28" s="1306"/>
      <c r="E28" s="711"/>
      <c r="F28" s="636">
        <f>'22'!F115</f>
        <v>2.5000000000000001E-2</v>
      </c>
      <c r="G28" s="1296"/>
      <c r="H28" s="1235"/>
      <c r="I28" s="636">
        <f>F72</f>
        <v>2.4999999999999996E-3</v>
      </c>
      <c r="J28"/>
      <c r="K28"/>
      <c r="L28"/>
      <c r="M28"/>
      <c r="N28"/>
      <c r="O28"/>
      <c r="P28"/>
      <c r="Q28"/>
      <c r="R28"/>
    </row>
    <row r="29" spans="2:18" ht="36" hidden="1" customHeight="1" outlineLevel="1" x14ac:dyDescent="0.2">
      <c r="B29" s="3053" t="s">
        <v>775</v>
      </c>
      <c r="C29" s="1289" t="s">
        <v>1161</v>
      </c>
      <c r="D29" s="1307">
        <f>'22'!D116</f>
        <v>0.17280000000000001</v>
      </c>
      <c r="E29" s="1308">
        <f>'22'!E116</f>
        <v>0.17280000000000001</v>
      </c>
      <c r="F29" s="1309">
        <f>'22'!F116</f>
        <v>9.8181818181818176E-2</v>
      </c>
      <c r="G29" s="1039">
        <f>D29*(1+$C$90)</f>
        <v>2.391448161411475E-2</v>
      </c>
      <c r="H29" s="1237">
        <f>E29*(1+$C$90)</f>
        <v>2.391448161411475E-2</v>
      </c>
      <c r="I29" s="1195">
        <f>F29*(1+$C$90)</f>
        <v>1.3587773644383379E-2</v>
      </c>
      <c r="J29"/>
      <c r="K29"/>
      <c r="L29"/>
      <c r="M29"/>
      <c r="N29"/>
      <c r="O29"/>
      <c r="P29"/>
      <c r="Q29"/>
      <c r="R29"/>
    </row>
    <row r="30" spans="2:18" ht="36" hidden="1" customHeight="1" outlineLevel="1" x14ac:dyDescent="0.2">
      <c r="B30" s="3054"/>
      <c r="C30" s="1290" t="s">
        <v>1162</v>
      </c>
      <c r="D30" s="1310">
        <f>'22'!D117</f>
        <v>0.14599999999999999</v>
      </c>
      <c r="E30" s="1311">
        <f>'22'!E117</f>
        <v>0.14599999999999999</v>
      </c>
      <c r="F30" s="1312"/>
      <c r="G30" s="1238">
        <f>D30*(1+C89)</f>
        <v>1.4534467964601767E-2</v>
      </c>
      <c r="H30" s="1240">
        <f>E30*(1+C89)</f>
        <v>1.4534467964601767E-2</v>
      </c>
      <c r="I30" s="57"/>
      <c r="J30"/>
      <c r="K30"/>
      <c r="L30"/>
      <c r="M30"/>
      <c r="N30"/>
      <c r="O30"/>
      <c r="P30"/>
      <c r="Q30"/>
      <c r="R30"/>
    </row>
    <row r="31" spans="2:18" ht="36" hidden="1" customHeight="1" outlineLevel="1" x14ac:dyDescent="0.2">
      <c r="B31" s="3054"/>
      <c r="C31" s="1290" t="s">
        <v>1163</v>
      </c>
      <c r="D31" s="1943">
        <f>'22'!D118</f>
        <v>5.0299999999999997E-3</v>
      </c>
      <c r="E31" s="693">
        <f>'22'!E118</f>
        <v>5.0299999999999997E-3</v>
      </c>
      <c r="F31" s="1312"/>
      <c r="G31" s="1238">
        <f>D31*(1+$C$91)</f>
        <v>4.6147232000000003E-3</v>
      </c>
      <c r="H31" s="1238">
        <f>E31*(1+$C$91)</f>
        <v>4.6147232000000003E-3</v>
      </c>
      <c r="I31" s="57"/>
      <c r="J31"/>
      <c r="K31"/>
      <c r="L31"/>
      <c r="M31"/>
      <c r="N31"/>
      <c r="O31"/>
      <c r="P31"/>
      <c r="Q31"/>
      <c r="R31"/>
    </row>
    <row r="32" spans="2:18" ht="36" hidden="1" customHeight="1" outlineLevel="1" x14ac:dyDescent="0.2">
      <c r="B32" s="3054"/>
      <c r="C32" s="1290" t="s">
        <v>1164</v>
      </c>
      <c r="D32" s="1310"/>
      <c r="E32" s="1311"/>
      <c r="F32" s="1312"/>
      <c r="G32" s="1238">
        <f>0</f>
        <v>0</v>
      </c>
      <c r="H32" s="1238">
        <f>0</f>
        <v>0</v>
      </c>
      <c r="I32" s="57"/>
      <c r="J32"/>
      <c r="K32"/>
      <c r="L32"/>
      <c r="M32"/>
      <c r="N32"/>
      <c r="O32"/>
      <c r="P32"/>
      <c r="Q32"/>
      <c r="R32"/>
    </row>
    <row r="33" spans="1:18" ht="36" hidden="1" customHeight="1" outlineLevel="1" x14ac:dyDescent="0.2">
      <c r="B33" s="3054"/>
      <c r="C33" s="1291" t="s">
        <v>758</v>
      </c>
      <c r="D33" s="1310"/>
      <c r="E33" s="1311"/>
      <c r="F33" s="1316">
        <f>'22'!F120</f>
        <v>3.3400000000000001E-3</v>
      </c>
      <c r="G33" s="1041"/>
      <c r="H33" s="748"/>
      <c r="I33" s="1196">
        <f>F33*(1+C88)</f>
        <v>3.0642496E-3</v>
      </c>
      <c r="J33"/>
      <c r="K33"/>
      <c r="L33"/>
      <c r="M33"/>
      <c r="N33"/>
      <c r="O33"/>
      <c r="P33"/>
      <c r="Q33"/>
      <c r="R33"/>
    </row>
    <row r="34" spans="1:18" ht="36" hidden="1" customHeight="1" outlineLevel="1" x14ac:dyDescent="0.2">
      <c r="B34" s="3054"/>
      <c r="C34" s="1291" t="s">
        <v>759</v>
      </c>
      <c r="D34" s="1310"/>
      <c r="E34" s="1311"/>
      <c r="F34" s="1312">
        <f>'22'!F121</f>
        <v>2.9499999999999998E-2</v>
      </c>
      <c r="G34" s="1041"/>
      <c r="H34" s="750"/>
      <c r="I34" s="1196">
        <f>F34*(1+C89)</f>
        <v>2.9367589380530968E-3</v>
      </c>
      <c r="J34"/>
      <c r="K34"/>
      <c r="L34"/>
      <c r="M34"/>
      <c r="N34"/>
      <c r="O34"/>
      <c r="P34"/>
      <c r="Q34"/>
      <c r="R34"/>
    </row>
    <row r="35" spans="1:18" ht="36" hidden="1" customHeight="1" outlineLevel="1" thickBot="1" x14ac:dyDescent="0.25">
      <c r="B35" s="3054"/>
      <c r="C35" s="1292" t="s">
        <v>761</v>
      </c>
      <c r="D35" s="1313"/>
      <c r="E35" s="1314"/>
      <c r="F35" s="1315">
        <f>'22'!F122</f>
        <v>0.25800000000000001</v>
      </c>
      <c r="G35" s="1041"/>
      <c r="H35" s="750"/>
      <c r="I35" s="1196">
        <f>F35*(1+C92)</f>
        <v>6.778603934052703E-2</v>
      </c>
      <c r="J35"/>
      <c r="K35"/>
      <c r="L35"/>
      <c r="M35"/>
      <c r="N35"/>
      <c r="O35"/>
      <c r="P35"/>
      <c r="Q35"/>
      <c r="R35"/>
    </row>
    <row r="36" spans="1:18" ht="36" hidden="1" customHeight="1" outlineLevel="1" thickBot="1" x14ac:dyDescent="0.25">
      <c r="B36" s="3023" t="s">
        <v>764</v>
      </c>
      <c r="C36" s="3056"/>
      <c r="D36" s="1655">
        <f t="shared" ref="D36:I36" si="2">D20*D21*SUMPRODUCT(D22:D28,D29:D35)/10^3</f>
        <v>11621.038606989388</v>
      </c>
      <c r="E36" s="1656">
        <f t="shared" si="2"/>
        <v>3629.7253957246753</v>
      </c>
      <c r="F36" s="1657">
        <f t="shared" si="2"/>
        <v>6294.14929134457</v>
      </c>
      <c r="G36" s="1658">
        <f t="shared" si="2"/>
        <v>1052.1626311343796</v>
      </c>
      <c r="H36" s="1659">
        <f t="shared" si="2"/>
        <v>340.09295027602559</v>
      </c>
      <c r="I36" s="1660">
        <f t="shared" si="2"/>
        <v>546.30516477044011</v>
      </c>
      <c r="J36" s="269"/>
      <c r="K36"/>
      <c r="L36"/>
      <c r="M36"/>
      <c r="N36"/>
      <c r="O36"/>
      <c r="P36"/>
      <c r="Q36"/>
      <c r="R36"/>
    </row>
    <row r="37" spans="1:18" ht="36" hidden="1" customHeight="1" outlineLevel="1" thickBot="1" x14ac:dyDescent="0.25">
      <c r="C37" s="1250" t="s">
        <v>783</v>
      </c>
      <c r="D37" s="1661">
        <f>D36+E36+F36</f>
        <v>21544.913294058635</v>
      </c>
      <c r="E37" s="483"/>
      <c r="F37" s="483"/>
      <c r="G37" s="1662" t="s">
        <v>784</v>
      </c>
      <c r="H37" s="1661">
        <f>G36+H36+I36</f>
        <v>1938.5607461808454</v>
      </c>
      <c r="I37" s="483"/>
      <c r="J37" s="269"/>
      <c r="K37"/>
      <c r="L37"/>
      <c r="M37"/>
      <c r="N37"/>
      <c r="O37"/>
      <c r="P37"/>
      <c r="Q37"/>
      <c r="R37"/>
    </row>
    <row r="38" spans="1:18" s="676" customFormat="1" ht="36" hidden="1" customHeight="1" outlineLevel="1" x14ac:dyDescent="0.2">
      <c r="A38" s="55"/>
      <c r="B38" s="55"/>
      <c r="C38" s="55"/>
      <c r="D38" s="55"/>
      <c r="E38" s="55"/>
      <c r="F38" s="55"/>
      <c r="G38" s="55"/>
      <c r="H38" s="55"/>
      <c r="I38" s="55"/>
      <c r="J38"/>
      <c r="K38"/>
      <c r="L38"/>
      <c r="M38"/>
      <c r="N38"/>
      <c r="O38"/>
      <c r="P38"/>
      <c r="Q38"/>
      <c r="R38"/>
    </row>
    <row r="39" spans="1:18" ht="36" hidden="1" customHeight="1" outlineLevel="1" x14ac:dyDescent="0.2">
      <c r="J39"/>
      <c r="K39"/>
      <c r="L39"/>
      <c r="M39"/>
      <c r="N39"/>
      <c r="O39"/>
      <c r="P39"/>
      <c r="Q39"/>
      <c r="R39"/>
    </row>
    <row r="40" spans="1:18" s="2" customFormat="1" ht="26" customHeight="1" collapsed="1" x14ac:dyDescent="0.2">
      <c r="B40" s="133" t="s">
        <v>785</v>
      </c>
      <c r="J40"/>
      <c r="K40"/>
      <c r="L40"/>
      <c r="M40"/>
      <c r="N40"/>
      <c r="O40"/>
      <c r="P40"/>
      <c r="Q40"/>
      <c r="R40"/>
    </row>
    <row r="41" spans="1:18" s="2" customFormat="1" ht="24" customHeight="1" x14ac:dyDescent="0.2">
      <c r="B41" s="133"/>
      <c r="J41"/>
      <c r="K41"/>
      <c r="L41"/>
      <c r="M41"/>
      <c r="N41"/>
      <c r="O41"/>
      <c r="P41"/>
      <c r="Q41"/>
      <c r="R41"/>
    </row>
    <row r="42" spans="1:18" s="2" customFormat="1" ht="24" customHeight="1" x14ac:dyDescent="0.2">
      <c r="B42" s="1198" t="s">
        <v>1165</v>
      </c>
    </row>
    <row r="43" spans="1:18" ht="24" customHeight="1" x14ac:dyDescent="0.2"/>
    <row r="44" spans="1:18" ht="28" customHeight="1" x14ac:dyDescent="0.2">
      <c r="B44" s="701" t="s">
        <v>947</v>
      </c>
    </row>
    <row r="45" spans="1:18" ht="28" customHeight="1" x14ac:dyDescent="0.2"/>
    <row r="46" spans="1:18" ht="71.5" hidden="1" customHeight="1" outlineLevel="1" x14ac:dyDescent="0.2">
      <c r="B46" s="2797" t="s">
        <v>948</v>
      </c>
      <c r="C46" s="2797"/>
      <c r="D46" s="2797"/>
      <c r="E46" s="2797"/>
    </row>
    <row r="47" spans="1:18" ht="26" hidden="1" customHeight="1" outlineLevel="1" x14ac:dyDescent="0.2">
      <c r="B47" s="545" t="s">
        <v>1166</v>
      </c>
      <c r="C47" s="707"/>
      <c r="D47" s="707"/>
      <c r="E47" s="707"/>
    </row>
    <row r="48" spans="1:18" ht="30.5" hidden="1" customHeight="1" outlineLevel="1" x14ac:dyDescent="0.2">
      <c r="B48" s="409" t="s">
        <v>1167</v>
      </c>
      <c r="C48" s="707"/>
      <c r="D48" s="707"/>
      <c r="E48" s="707"/>
    </row>
    <row r="49" spans="2:8" ht="37.5" hidden="1" customHeight="1" outlineLevel="1" x14ac:dyDescent="0.2">
      <c r="B49" s="2797" t="s">
        <v>1168</v>
      </c>
      <c r="C49" s="2797"/>
      <c r="D49" s="2797"/>
      <c r="E49" s="2797"/>
    </row>
    <row r="50" spans="2:8" ht="30.5" hidden="1" customHeight="1" outlineLevel="1" x14ac:dyDescent="0.2">
      <c r="B50" s="409" t="s">
        <v>952</v>
      </c>
      <c r="C50" s="707"/>
      <c r="D50" s="707"/>
      <c r="E50" s="707"/>
    </row>
    <row r="51" spans="2:8" ht="26" hidden="1" customHeight="1" outlineLevel="1" x14ac:dyDescent="0.2">
      <c r="B51" s="545" t="s">
        <v>1169</v>
      </c>
      <c r="C51" s="707"/>
      <c r="D51" s="707"/>
      <c r="E51" s="707"/>
    </row>
    <row r="52" spans="2:8" ht="26" hidden="1" customHeight="1" outlineLevel="1" thickBot="1" x14ac:dyDescent="0.25">
      <c r="B52" s="409" t="s">
        <v>954</v>
      </c>
      <c r="C52" s="707"/>
      <c r="D52" s="707"/>
      <c r="E52" s="707"/>
    </row>
    <row r="53" spans="2:8" ht="30.5" hidden="1" customHeight="1" outlineLevel="1" x14ac:dyDescent="0.2">
      <c r="B53" s="518"/>
      <c r="C53" s="2191" t="s">
        <v>955</v>
      </c>
      <c r="D53" s="707"/>
      <c r="E53" s="707"/>
    </row>
    <row r="54" spans="2:8" ht="23.5" hidden="1" customHeight="1" outlineLevel="1" x14ac:dyDescent="0.2">
      <c r="B54" s="803" t="s">
        <v>748</v>
      </c>
      <c r="C54" s="2274">
        <v>0.6367924528301887</v>
      </c>
      <c r="D54" s="707"/>
      <c r="E54" s="707"/>
    </row>
    <row r="55" spans="2:8" ht="30.5" hidden="1" customHeight="1" outlineLevel="1" x14ac:dyDescent="0.2">
      <c r="B55" s="803" t="s">
        <v>956</v>
      </c>
      <c r="C55" s="2274">
        <v>14.499999999999998</v>
      </c>
      <c r="D55" s="707"/>
      <c r="E55" s="707"/>
    </row>
    <row r="56" spans="2:8" ht="30.5" hidden="1" customHeight="1" outlineLevel="1" x14ac:dyDescent="0.2">
      <c r="B56" s="803" t="s">
        <v>749</v>
      </c>
      <c r="C56" s="2274">
        <v>1.125</v>
      </c>
      <c r="D56" s="707"/>
      <c r="E56" s="707"/>
    </row>
    <row r="57" spans="2:8" ht="30.5" hidden="1" customHeight="1" outlineLevel="1" x14ac:dyDescent="0.2">
      <c r="B57" s="803" t="s">
        <v>913</v>
      </c>
      <c r="C57" s="2274">
        <v>1.0952380952380951</v>
      </c>
      <c r="D57" s="707"/>
      <c r="E57" s="707"/>
      <c r="H57" s="539"/>
    </row>
    <row r="58" spans="2:8" ht="30.5" hidden="1" customHeight="1" outlineLevel="1" thickBot="1" x14ac:dyDescent="0.25">
      <c r="B58" s="806" t="s">
        <v>726</v>
      </c>
      <c r="C58" s="2275">
        <v>1.326086956521739</v>
      </c>
      <c r="D58" s="707"/>
      <c r="E58" s="707"/>
      <c r="H58" s="539"/>
    </row>
    <row r="59" spans="2:8" ht="30.5" hidden="1" customHeight="1" outlineLevel="1" x14ac:dyDescent="0.2">
      <c r="B59" s="2685" t="s">
        <v>1170</v>
      </c>
      <c r="C59" s="2685"/>
      <c r="D59" s="2685"/>
      <c r="E59" s="707"/>
      <c r="H59" s="539"/>
    </row>
    <row r="60" spans="2:8" ht="30.5" hidden="1" customHeight="1" outlineLevel="1" x14ac:dyDescent="0.2">
      <c r="B60" s="2685" t="s">
        <v>1171</v>
      </c>
      <c r="C60" s="2685"/>
      <c r="D60" s="2685"/>
      <c r="E60" s="707"/>
      <c r="H60" s="539"/>
    </row>
    <row r="61" spans="2:8" ht="30.5" hidden="1" customHeight="1" outlineLevel="1" x14ac:dyDescent="0.2">
      <c r="B61" s="2685" t="s">
        <v>959</v>
      </c>
      <c r="C61" s="2685"/>
      <c r="D61" s="2685"/>
      <c r="E61" s="707"/>
      <c r="H61" s="539"/>
    </row>
    <row r="62" spans="2:8" ht="36" hidden="1" customHeight="1" outlineLevel="1" x14ac:dyDescent="0.2">
      <c r="B62" s="55" t="s">
        <v>790</v>
      </c>
    </row>
    <row r="63" spans="2:8" ht="31" hidden="1" customHeight="1" outlineLevel="1" x14ac:dyDescent="0.2">
      <c r="B63" s="3002" t="s">
        <v>960</v>
      </c>
      <c r="C63" s="3002"/>
      <c r="D63" s="3002"/>
      <c r="E63" s="3002"/>
      <c r="F63" s="3002"/>
    </row>
    <row r="64" spans="2:8" ht="31" hidden="1" customHeight="1" outlineLevel="1" x14ac:dyDescent="0.2">
      <c r="B64" s="808"/>
      <c r="C64" s="3003">
        <v>2022</v>
      </c>
      <c r="D64" s="3004"/>
      <c r="E64" s="3003" t="s">
        <v>961</v>
      </c>
      <c r="F64" s="3004"/>
    </row>
    <row r="65" spans="2:8" ht="36" hidden="1" customHeight="1" outlineLevel="1" x14ac:dyDescent="0.2">
      <c r="B65" s="60" t="s">
        <v>721</v>
      </c>
      <c r="C65" s="74" t="s">
        <v>1172</v>
      </c>
      <c r="D65" s="74" t="s">
        <v>1173</v>
      </c>
      <c r="E65" s="74" t="s">
        <v>1172</v>
      </c>
      <c r="F65" s="74" t="s">
        <v>1173</v>
      </c>
    </row>
    <row r="66" spans="2:8" ht="31" hidden="1" customHeight="1" outlineLevel="1" x14ac:dyDescent="0.2">
      <c r="B66" s="81" t="s">
        <v>748</v>
      </c>
      <c r="C66" s="416">
        <f>D22</f>
        <v>0.82511216926442388</v>
      </c>
      <c r="D66" s="369">
        <f>F22</f>
        <v>0.745</v>
      </c>
      <c r="E66" s="809">
        <f>C66*C54</f>
        <v>0.52542520212593036</v>
      </c>
      <c r="F66" s="673">
        <f>D66*(1-10.1%)</f>
        <v>0.66975499999999999</v>
      </c>
    </row>
    <row r="67" spans="2:8" ht="31" hidden="1" customHeight="1" outlineLevel="1" x14ac:dyDescent="0.2">
      <c r="B67" s="81" t="s">
        <v>749</v>
      </c>
      <c r="C67" s="416">
        <f>D23</f>
        <v>4.4467154023389771E-2</v>
      </c>
      <c r="D67" s="369"/>
      <c r="E67" s="809">
        <f t="shared" ref="E67:E68" si="3">C67*C56</f>
        <v>5.0025548276313489E-2</v>
      </c>
      <c r="F67" s="81"/>
    </row>
    <row r="68" spans="2:8" ht="31" hidden="1" customHeight="1" outlineLevel="1" x14ac:dyDescent="0.2">
      <c r="B68" s="81" t="s">
        <v>913</v>
      </c>
      <c r="C68" s="416">
        <f>D24</f>
        <v>4.4467154023389771E-2</v>
      </c>
      <c r="D68" s="369"/>
      <c r="E68" s="809">
        <f t="shared" si="3"/>
        <v>4.8702121073236411E-2</v>
      </c>
      <c r="F68" s="81"/>
    </row>
    <row r="69" spans="2:8" ht="31" hidden="1" customHeight="1" outlineLevel="1" x14ac:dyDescent="0.2">
      <c r="B69" s="81" t="s">
        <v>1174</v>
      </c>
      <c r="C69" s="416">
        <f>D25</f>
        <v>8.5954512787806123E-2</v>
      </c>
      <c r="D69" s="369"/>
      <c r="E69" s="809">
        <f>100%-SUM(E66:E68)</f>
        <v>0.37584712852451974</v>
      </c>
      <c r="F69" s="81"/>
    </row>
    <row r="70" spans="2:8" ht="31" hidden="1" customHeight="1" outlineLevel="1" x14ac:dyDescent="0.2">
      <c r="B70" s="81" t="s">
        <v>726</v>
      </c>
      <c r="C70" s="416"/>
      <c r="D70" s="369">
        <f>F26</f>
        <v>0.14000000000000001</v>
      </c>
      <c r="E70" s="809"/>
      <c r="F70" s="673">
        <f>D70+(D66*10.1%*0.5) + D72*90%*0.5</f>
        <v>0.18887250000000003</v>
      </c>
    </row>
    <row r="71" spans="2:8" ht="31" hidden="1" customHeight="1" outlineLevel="1" x14ac:dyDescent="0.2">
      <c r="B71" s="81" t="s">
        <v>728</v>
      </c>
      <c r="C71" s="416"/>
      <c r="D71" s="369">
        <f>F27</f>
        <v>0.09</v>
      </c>
      <c r="E71" s="81"/>
      <c r="F71" s="416">
        <f>D71+(D66*10.1%*0.5) + D72*90%*0.5</f>
        <v>0.13887250000000001</v>
      </c>
    </row>
    <row r="72" spans="2:8" ht="31" hidden="1" customHeight="1" outlineLevel="1" x14ac:dyDescent="0.2">
      <c r="B72" s="81" t="s">
        <v>742</v>
      </c>
      <c r="C72" s="416"/>
      <c r="D72" s="369">
        <f>F28</f>
        <v>2.5000000000000001E-2</v>
      </c>
      <c r="E72" s="81"/>
      <c r="F72" s="416">
        <f>D72*(1-90%)</f>
        <v>2.4999999999999996E-3</v>
      </c>
    </row>
    <row r="73" spans="2:8" ht="31" hidden="1" customHeight="1" outlineLevel="1" x14ac:dyDescent="0.2">
      <c r="B73" s="7" t="s">
        <v>13</v>
      </c>
      <c r="C73" s="482">
        <f>SUM(C66:C72)</f>
        <v>1.0000009900990094</v>
      </c>
      <c r="D73" s="385">
        <f t="shared" ref="D73:E73" si="4">SUM(D66:D72)</f>
        <v>1</v>
      </c>
      <c r="E73" s="385">
        <f t="shared" si="4"/>
        <v>1</v>
      </c>
      <c r="F73" s="385">
        <f>SUM(F66:F72)</f>
        <v>1</v>
      </c>
    </row>
    <row r="74" spans="2:8" ht="30" hidden="1" customHeight="1" outlineLevel="1" thickBot="1" x14ac:dyDescent="0.25"/>
    <row r="75" spans="2:8" ht="36" hidden="1" customHeight="1" outlineLevel="1" thickBot="1" x14ac:dyDescent="0.25">
      <c r="C75" s="3008" t="s">
        <v>923</v>
      </c>
      <c r="D75" s="3009"/>
      <c r="E75" s="3006" t="s">
        <v>924</v>
      </c>
      <c r="F75" s="3009"/>
      <c r="G75" s="3006" t="s">
        <v>13</v>
      </c>
      <c r="H75" s="3007"/>
    </row>
    <row r="76" spans="2:8" ht="34.5" hidden="1" customHeight="1" outlineLevel="1" x14ac:dyDescent="0.2">
      <c r="B76" s="1199" t="s">
        <v>1175</v>
      </c>
      <c r="C76" s="1200">
        <f>(D20*D21+E20*E21)*SUMPRODUCT(E66:E72,D29:D35)/10^3</f>
        <v>10045.820319031005</v>
      </c>
      <c r="D76" s="1201" t="s">
        <v>19</v>
      </c>
      <c r="E76" s="1200">
        <f>F20*F21*SUMPRODUCT(F66:F72,F29:F35)/10^3</f>
        <v>5412.421263575955</v>
      </c>
      <c r="F76" s="1201" t="s">
        <v>19</v>
      </c>
      <c r="G76" s="1200">
        <f>C76+E76</f>
        <v>15458.241582606959</v>
      </c>
      <c r="H76" s="818" t="s">
        <v>19</v>
      </c>
    </row>
    <row r="77" spans="2:8" ht="27" hidden="1" customHeight="1" outlineLevel="1" thickBot="1" x14ac:dyDescent="0.25">
      <c r="B77" s="1202" t="s">
        <v>806</v>
      </c>
      <c r="C77" s="1203">
        <f>1-C76/(D36+E36)</f>
        <v>0.34129068437205989</v>
      </c>
      <c r="D77" s="1204" t="s">
        <v>971</v>
      </c>
      <c r="E77" s="1203">
        <f>1-E76/F36</f>
        <v>0.14008692627947794</v>
      </c>
      <c r="F77" s="1204" t="s">
        <v>971</v>
      </c>
      <c r="G77" s="1203">
        <f>1-G76/D37</f>
        <v>0.28251084738086074</v>
      </c>
      <c r="H77" s="824" t="s">
        <v>971</v>
      </c>
    </row>
    <row r="78" spans="2:8" ht="36" hidden="1" customHeight="1" outlineLevel="1" x14ac:dyDescent="0.2"/>
    <row r="79" spans="2:8" ht="26" customHeight="1" collapsed="1" x14ac:dyDescent="0.2">
      <c r="B79" s="701" t="s">
        <v>1176</v>
      </c>
    </row>
    <row r="80" spans="2:8" ht="36" customHeight="1" x14ac:dyDescent="0.2"/>
    <row r="81" spans="2:3" ht="36" hidden="1" customHeight="1" outlineLevel="1" x14ac:dyDescent="0.2">
      <c r="B81" s="825" t="s">
        <v>973</v>
      </c>
    </row>
    <row r="82" spans="2:3" ht="36" hidden="1" customHeight="1" outlineLevel="1" x14ac:dyDescent="0.2">
      <c r="B82" s="551" t="s">
        <v>974</v>
      </c>
    </row>
    <row r="83" spans="2:3" ht="36" hidden="1" customHeight="1" outlineLevel="1" x14ac:dyDescent="0.2">
      <c r="B83" s="551" t="s">
        <v>975</v>
      </c>
    </row>
    <row r="84" spans="2:3" ht="36" hidden="1" customHeight="1" outlineLevel="1" x14ac:dyDescent="0.2">
      <c r="B84" s="551" t="s">
        <v>2035</v>
      </c>
    </row>
    <row r="85" spans="2:3" ht="36" hidden="1" customHeight="1" outlineLevel="1" x14ac:dyDescent="0.2">
      <c r="B85" s="551" t="s">
        <v>2190</v>
      </c>
    </row>
    <row r="86" spans="2:3" ht="36" hidden="1" customHeight="1" outlineLevel="1" thickBot="1" x14ac:dyDescent="0.25">
      <c r="B86" s="551"/>
    </row>
    <row r="87" spans="2:3" ht="59.5" hidden="1" customHeight="1" outlineLevel="1" x14ac:dyDescent="0.2">
      <c r="B87" s="708" t="s">
        <v>857</v>
      </c>
      <c r="C87" s="714" t="s">
        <v>1177</v>
      </c>
    </row>
    <row r="88" spans="2:3" ht="36" hidden="1" customHeight="1" outlineLevel="1" x14ac:dyDescent="0.2">
      <c r="B88" s="709" t="s">
        <v>860</v>
      </c>
      <c r="C88" s="723">
        <f>'Fiche levier - 13'!C210</f>
        <v>-8.2560000000000022E-2</v>
      </c>
    </row>
    <row r="89" spans="2:3" ht="36" hidden="1" customHeight="1" outlineLevel="1" x14ac:dyDescent="0.2">
      <c r="B89" s="709" t="s">
        <v>977</v>
      </c>
      <c r="C89" s="725">
        <f>'Fiche levier - 13'!C211</f>
        <v>-0.90044884955752214</v>
      </c>
    </row>
    <row r="90" spans="2:3" ht="36" hidden="1" customHeight="1" outlineLevel="1" x14ac:dyDescent="0.2">
      <c r="B90" s="709" t="s">
        <v>862</v>
      </c>
      <c r="C90" s="725">
        <f>(1+'Fiche levier - 13'!C212)*(1-15%) - 1</f>
        <v>-0.86160600917757668</v>
      </c>
    </row>
    <row r="91" spans="2:3" ht="36" hidden="1" customHeight="1" outlineLevel="1" x14ac:dyDescent="0.2">
      <c r="B91" s="1944" t="s">
        <v>2034</v>
      </c>
      <c r="C91" s="1945">
        <f>C88</f>
        <v>-8.2560000000000022E-2</v>
      </c>
    </row>
    <row r="92" spans="2:3" ht="36" hidden="1" customHeight="1" outlineLevel="1" thickBot="1" x14ac:dyDescent="0.25">
      <c r="B92" s="710" t="s">
        <v>863</v>
      </c>
      <c r="C92" s="636">
        <f>'Fiche levier - 13'!C213</f>
        <v>-0.73726341340880996</v>
      </c>
    </row>
    <row r="93" spans="2:3" ht="36" hidden="1" customHeight="1" outlineLevel="1" x14ac:dyDescent="0.2"/>
    <row r="94" spans="2:3" ht="21" customHeight="1" collapsed="1" x14ac:dyDescent="0.2">
      <c r="B94" s="1198" t="s">
        <v>1178</v>
      </c>
    </row>
    <row r="95" spans="2:3" ht="21" customHeight="1" x14ac:dyDescent="0.2"/>
    <row r="96" spans="2:3" ht="21" customHeight="1" x14ac:dyDescent="0.2">
      <c r="B96" s="701" t="s">
        <v>1179</v>
      </c>
    </row>
    <row r="97" spans="2:4" ht="21" customHeight="1" x14ac:dyDescent="0.2"/>
    <row r="98" spans="2:4" ht="21" hidden="1" customHeight="1" outlineLevel="1" x14ac:dyDescent="0.2">
      <c r="B98" s="86" t="s">
        <v>1180</v>
      </c>
    </row>
    <row r="99" spans="2:4" ht="21" hidden="1" customHeight="1" outlineLevel="1" x14ac:dyDescent="0.2">
      <c r="B99" s="55" t="s">
        <v>1181</v>
      </c>
    </row>
    <row r="100" spans="2:4" ht="21" hidden="1" customHeight="1" outlineLevel="1" x14ac:dyDescent="0.2"/>
    <row r="101" spans="2:4" ht="21" customHeight="1" collapsed="1" x14ac:dyDescent="0.2">
      <c r="B101" s="701" t="s">
        <v>1182</v>
      </c>
    </row>
    <row r="102" spans="2:4" ht="21" customHeight="1" x14ac:dyDescent="0.2"/>
    <row r="103" spans="2:4" ht="21" hidden="1" customHeight="1" outlineLevel="1" x14ac:dyDescent="0.2">
      <c r="B103" s="86" t="s">
        <v>1183</v>
      </c>
    </row>
    <row r="104" spans="2:4" ht="21" hidden="1" customHeight="1" outlineLevel="1" x14ac:dyDescent="0.2">
      <c r="B104" s="118" t="s">
        <v>1647</v>
      </c>
    </row>
    <row r="105" spans="2:4" ht="36" hidden="1" customHeight="1" outlineLevel="1" x14ac:dyDescent="0.2"/>
    <row r="106" spans="2:4" ht="35" hidden="1" customHeight="1" outlineLevel="1" x14ac:dyDescent="0.2">
      <c r="B106" s="705" t="s">
        <v>1184</v>
      </c>
      <c r="C106" s="1205">
        <v>0.3</v>
      </c>
    </row>
    <row r="107" spans="2:4" ht="27" hidden="1" customHeight="1" outlineLevel="1" x14ac:dyDescent="0.2"/>
    <row r="108" spans="2:4" ht="27" customHeight="1" collapsed="1" x14ac:dyDescent="0.2"/>
    <row r="109" spans="2:4" ht="27" customHeight="1" x14ac:dyDescent="0.2">
      <c r="B109" s="133" t="s">
        <v>980</v>
      </c>
    </row>
    <row r="110" spans="2:4" ht="27" customHeight="1" x14ac:dyDescent="0.2"/>
    <row r="111" spans="2:4" ht="27" hidden="1" customHeight="1" outlineLevel="1" x14ac:dyDescent="0.2">
      <c r="B111" s="828"/>
      <c r="C111" s="829"/>
      <c r="D111" s="830">
        <v>2050</v>
      </c>
    </row>
    <row r="112" spans="2:4" ht="34.5" hidden="1" customHeight="1" outlineLevel="1" x14ac:dyDescent="0.2">
      <c r="B112" s="1206" t="s">
        <v>981</v>
      </c>
      <c r="C112" s="832">
        <f>D37</f>
        <v>21544.913294058635</v>
      </c>
      <c r="D112" s="833"/>
    </row>
    <row r="113" spans="2:33" ht="27" hidden="1" customHeight="1" outlineLevel="1" x14ac:dyDescent="0.2">
      <c r="B113" s="1207" t="s">
        <v>1185</v>
      </c>
      <c r="C113" s="832">
        <f>D20*D21*SUMPRODUCT(D22:D28,D29:D35)/10^3 + H20*E21*SUMPRODUCT(E22:E28,E29:E35)/10^3 + I20*F21*SUMPRODUCT(F22:F28,F29:F35)/10^3</f>
        <v>19783.238181837591</v>
      </c>
      <c r="D113" s="833">
        <f t="shared" ref="D113:D117" si="5">C112-C113</f>
        <v>1761.6751122210444</v>
      </c>
    </row>
    <row r="114" spans="2:33" ht="27" hidden="1" customHeight="1" outlineLevel="1" x14ac:dyDescent="0.2">
      <c r="B114" s="1208" t="s">
        <v>982</v>
      </c>
      <c r="C114" s="428">
        <f>D20*D21*(D22*D29*(1-10%)+SUMPRODUCT(D23:D28,D30:D35))/10^3 + H20*E21*(E22*E29*(1-10%)+SUMPRODUCT(E23:E28,E30:E35))/10^3 + I20*F21*(F22*F29*(1-10%)+SUMPRODUCT(F23:F28,F30:F35))/10^3</f>
        <v>17925.075131562946</v>
      </c>
      <c r="D114" s="833">
        <f t="shared" si="5"/>
        <v>1858.1630502746448</v>
      </c>
    </row>
    <row r="115" spans="2:33" ht="27" hidden="1" customHeight="1" outlineLevel="1" x14ac:dyDescent="0.2">
      <c r="B115" s="1206" t="s">
        <v>983</v>
      </c>
      <c r="C115" s="832">
        <f>D20*D21*(G22*D29*(1-10%)+SUMPRODUCT(G23:G28,D30:D35))/10^3 + H20*E21*(H22*E29*(1-10%)+SUMPRODUCT(H23:H28,E30:E35))/10^3 + I20*F21*(I22*F29*(1-10%)+SUMPRODUCT(I23:I28,F30:F35))/10^3</f>
        <v>12632.466816721619</v>
      </c>
      <c r="D115" s="833">
        <f t="shared" si="5"/>
        <v>5292.6083148413272</v>
      </c>
    </row>
    <row r="116" spans="2:33" ht="27" hidden="1" customHeight="1" outlineLevel="1" x14ac:dyDescent="0.2">
      <c r="B116" s="1206" t="s">
        <v>1186</v>
      </c>
      <c r="C116" s="832">
        <f>D20*D21*(G22*D29*(1-10%)*'Fiche levier - 13'!C163+SUMPRODUCT(G23:G28,D30:D35))/10^3 + H20*E21*(H22*E29*(1-10%)*'Fiche levier - 13'!C163+SUMPRODUCT(H23:H28,E30:E35))/10^3 + I20*F21*(I22*F29*(1-10%)*'Fiche levier - 13'!C163+SUMPRODUCT(I23:I28,F30:F35))/10^3</f>
        <v>6167.8703159136585</v>
      </c>
      <c r="D116" s="833">
        <f t="shared" si="5"/>
        <v>6464.5965008079602</v>
      </c>
    </row>
    <row r="117" spans="2:33" ht="27" hidden="1" customHeight="1" outlineLevel="1" x14ac:dyDescent="0.2">
      <c r="B117" s="1208" t="s">
        <v>985</v>
      </c>
      <c r="C117" s="832">
        <f>H37</f>
        <v>1938.5607461808454</v>
      </c>
      <c r="D117" s="833">
        <f t="shared" si="5"/>
        <v>4229.3095697328135</v>
      </c>
    </row>
    <row r="118" spans="2:33" ht="27" hidden="1" customHeight="1" outlineLevel="1" x14ac:dyDescent="0.2">
      <c r="B118" s="684" t="s">
        <v>986</v>
      </c>
      <c r="C118" s="835">
        <f>C117</f>
        <v>1938.5607461808454</v>
      </c>
      <c r="D118" s="836"/>
    </row>
    <row r="119" spans="2:33" ht="27" hidden="1" customHeight="1" outlineLevel="1" x14ac:dyDescent="0.15">
      <c r="AG119" s="142"/>
    </row>
    <row r="120" spans="2:33" ht="27" hidden="1" customHeight="1" outlineLevel="1" x14ac:dyDescent="0.15">
      <c r="AG120" s="142"/>
    </row>
    <row r="121" spans="2:33" ht="27" hidden="1" customHeight="1" outlineLevel="1" x14ac:dyDescent="0.15">
      <c r="AG121" s="142"/>
    </row>
    <row r="122" spans="2:33" ht="27" hidden="1" customHeight="1" outlineLevel="1" x14ac:dyDescent="0.15">
      <c r="M122" s="142"/>
      <c r="N122" s="142"/>
      <c r="O122" s="142"/>
      <c r="P122" s="142"/>
      <c r="Q122" s="142"/>
      <c r="R122" s="142"/>
      <c r="S122" s="142"/>
      <c r="AG122" s="142"/>
    </row>
    <row r="123" spans="2:33" ht="27" hidden="1" customHeight="1" outlineLevel="1" x14ac:dyDescent="0.15">
      <c r="M123" s="142"/>
      <c r="N123" s="142"/>
      <c r="O123" s="142"/>
      <c r="P123" s="142"/>
      <c r="Q123" s="142"/>
      <c r="R123" s="142"/>
      <c r="S123" s="142"/>
      <c r="AG123" s="142"/>
    </row>
    <row r="124" spans="2:33" ht="27" hidden="1" customHeight="1" outlineLevel="1" x14ac:dyDescent="0.15">
      <c r="M124" s="1209"/>
      <c r="N124" s="1209"/>
      <c r="O124" s="1209"/>
      <c r="P124" s="1209"/>
      <c r="Q124" s="1209"/>
      <c r="R124" s="1209"/>
      <c r="S124" s="1209"/>
      <c r="AG124" s="142"/>
    </row>
    <row r="125" spans="2:33" ht="27" customHeight="1" collapsed="1" x14ac:dyDescent="0.15">
      <c r="M125" s="1209"/>
      <c r="N125" s="1209"/>
      <c r="O125" s="1209"/>
      <c r="P125" s="1209"/>
      <c r="Q125" s="1209"/>
      <c r="R125" s="1209"/>
      <c r="S125" s="1209"/>
      <c r="AG125" s="142"/>
    </row>
    <row r="126" spans="2:33" ht="27" customHeight="1" x14ac:dyDescent="0.15">
      <c r="M126" s="142"/>
      <c r="N126" s="142"/>
      <c r="O126" s="142"/>
      <c r="P126" s="142"/>
      <c r="Q126" s="142"/>
      <c r="R126" s="142"/>
      <c r="S126" s="142"/>
      <c r="AG126" s="142"/>
    </row>
    <row r="127" spans="2:33" ht="27" customHeight="1" x14ac:dyDescent="0.15">
      <c r="M127" s="142"/>
      <c r="N127" s="142"/>
      <c r="O127" s="142"/>
      <c r="P127" s="142"/>
      <c r="Q127" s="142"/>
      <c r="R127" s="142"/>
      <c r="S127" s="142"/>
      <c r="AG127" s="142"/>
    </row>
    <row r="128" spans="2:33" ht="27" customHeight="1" x14ac:dyDescent="0.15">
      <c r="M128" s="142"/>
      <c r="N128" s="142"/>
      <c r="O128" s="142"/>
      <c r="P128" s="142"/>
      <c r="Q128" s="142"/>
      <c r="R128" s="142"/>
      <c r="S128" s="142"/>
      <c r="AG128" s="142"/>
    </row>
    <row r="129" spans="13:33" ht="27" customHeight="1" x14ac:dyDescent="0.15">
      <c r="M129" s="142"/>
      <c r="N129" s="142"/>
      <c r="O129" s="142"/>
      <c r="P129" s="142"/>
      <c r="Q129" s="142"/>
      <c r="R129" s="142"/>
      <c r="S129" s="142"/>
      <c r="AG129" s="142"/>
    </row>
    <row r="130" spans="13:33" ht="27" customHeight="1" x14ac:dyDescent="0.15">
      <c r="M130" s="142"/>
      <c r="N130" s="142"/>
      <c r="O130" s="142"/>
      <c r="P130" s="142"/>
      <c r="Q130" s="142"/>
      <c r="R130" s="142"/>
      <c r="S130" s="142"/>
      <c r="AG130" s="142"/>
    </row>
    <row r="131" spans="13:33" ht="27" customHeight="1" x14ac:dyDescent="0.15">
      <c r="M131" s="142"/>
      <c r="N131" s="142"/>
      <c r="O131" s="142"/>
      <c r="P131" s="142"/>
      <c r="Q131" s="142"/>
      <c r="R131" s="142"/>
      <c r="S131" s="142"/>
      <c r="AG131" s="142"/>
    </row>
    <row r="132" spans="13:33" ht="27" customHeight="1" x14ac:dyDescent="0.15">
      <c r="AG132" s="142"/>
    </row>
    <row r="133" spans="13:33" ht="27" customHeight="1" x14ac:dyDescent="0.15">
      <c r="AG133" s="142"/>
    </row>
    <row r="134" spans="13:33" ht="27" customHeight="1" x14ac:dyDescent="0.15">
      <c r="AG134" s="142"/>
    </row>
    <row r="135" spans="13:33" ht="27" customHeight="1" x14ac:dyDescent="0.15">
      <c r="AG135" s="142"/>
    </row>
    <row r="136" spans="13:33" ht="27" customHeight="1" x14ac:dyDescent="0.2"/>
    <row r="137" spans="13:33" ht="27" customHeight="1" x14ac:dyDescent="0.2"/>
    <row r="138" spans="13:33" ht="27" customHeight="1" x14ac:dyDescent="0.2"/>
    <row r="139" spans="13:33" ht="27" customHeight="1" x14ac:dyDescent="0.2"/>
    <row r="140" spans="13:33" ht="27" customHeight="1" x14ac:dyDescent="0.2"/>
    <row r="141" spans="13:33" ht="27" customHeight="1" x14ac:dyDescent="0.2"/>
    <row r="142" spans="13:33" ht="27" customHeight="1" x14ac:dyDescent="0.2"/>
    <row r="143" spans="13:33" ht="27" customHeight="1" x14ac:dyDescent="0.2"/>
    <row r="144" spans="13:33" ht="27" customHeight="1" x14ac:dyDescent="0.2"/>
    <row r="145" ht="27" customHeight="1" x14ac:dyDescent="0.2"/>
    <row r="146" ht="27" customHeight="1" x14ac:dyDescent="0.2"/>
    <row r="147" ht="27" customHeight="1" x14ac:dyDescent="0.2"/>
    <row r="148" ht="27" customHeight="1" x14ac:dyDescent="0.2"/>
    <row r="149" ht="27" customHeight="1" x14ac:dyDescent="0.2"/>
    <row r="150" ht="27" customHeight="1" x14ac:dyDescent="0.2"/>
    <row r="151" ht="27" customHeight="1" x14ac:dyDescent="0.2"/>
    <row r="152" ht="27" customHeight="1" x14ac:dyDescent="0.2"/>
    <row r="153" ht="27" customHeight="1" x14ac:dyDescent="0.2"/>
    <row r="154" ht="27" customHeight="1" x14ac:dyDescent="0.2"/>
    <row r="155" ht="27" customHeight="1" x14ac:dyDescent="0.2"/>
    <row r="156" ht="27" customHeight="1" x14ac:dyDescent="0.2"/>
    <row r="157" ht="27" customHeight="1" x14ac:dyDescent="0.2"/>
    <row r="158" ht="27" customHeight="1" x14ac:dyDescent="0.2"/>
    <row r="159" ht="27" customHeight="1" x14ac:dyDescent="0.2"/>
    <row r="160" ht="27" customHeight="1" x14ac:dyDescent="0.2"/>
    <row r="161" ht="27" customHeight="1" x14ac:dyDescent="0.2"/>
    <row r="162" ht="27" customHeight="1" x14ac:dyDescent="0.2"/>
    <row r="163" ht="27" customHeight="1" x14ac:dyDescent="0.2"/>
    <row r="164" ht="27" customHeight="1" x14ac:dyDescent="0.2"/>
    <row r="165" ht="27" customHeight="1" x14ac:dyDescent="0.2"/>
    <row r="166" ht="27" customHeight="1" x14ac:dyDescent="0.2"/>
    <row r="167" ht="27" customHeight="1" x14ac:dyDescent="0.2"/>
    <row r="168" ht="27" customHeight="1" x14ac:dyDescent="0.2"/>
    <row r="169" ht="27" customHeight="1" x14ac:dyDescent="0.2"/>
    <row r="170" ht="27" customHeight="1" x14ac:dyDescent="0.2"/>
    <row r="171" ht="27" customHeight="1" x14ac:dyDescent="0.2"/>
    <row r="172" ht="27" customHeight="1" x14ac:dyDescent="0.2"/>
    <row r="173" ht="27" customHeight="1" x14ac:dyDescent="0.2"/>
    <row r="174" ht="27" customHeight="1" x14ac:dyDescent="0.2"/>
    <row r="175" ht="27" customHeight="1" x14ac:dyDescent="0.2"/>
    <row r="176" ht="27" customHeight="1" x14ac:dyDescent="0.2"/>
    <row r="177" ht="27" customHeight="1" x14ac:dyDescent="0.2"/>
    <row r="178" ht="27" customHeight="1" x14ac:dyDescent="0.2"/>
    <row r="179" ht="27" customHeight="1" x14ac:dyDescent="0.2"/>
  </sheetData>
  <mergeCells count="19">
    <mergeCell ref="B29:B35"/>
    <mergeCell ref="B22:B28"/>
    <mergeCell ref="B36:C36"/>
    <mergeCell ref="G75:H75"/>
    <mergeCell ref="B60:D60"/>
    <mergeCell ref="B61:D61"/>
    <mergeCell ref="B63:F63"/>
    <mergeCell ref="C64:D64"/>
    <mergeCell ref="E64:F64"/>
    <mergeCell ref="B46:E46"/>
    <mergeCell ref="B49:E49"/>
    <mergeCell ref="B59:D59"/>
    <mergeCell ref="C75:D75"/>
    <mergeCell ref="E75:F75"/>
    <mergeCell ref="B2:D2"/>
    <mergeCell ref="B5:D5"/>
    <mergeCell ref="C8:D8"/>
    <mergeCell ref="D18:F18"/>
    <mergeCell ref="G18:I18"/>
  </mergeCells>
  <conditionalFormatting sqref="D9">
    <cfRule type="containsText" dxfId="44" priority="7" operator="containsText" text="Pas ok">
      <formula>NOT(ISERROR(SEARCH("Pas ok",D9)))</formula>
    </cfRule>
    <cfRule type="containsText" dxfId="43" priority="8" operator="containsText" text="Calcul brouillon, ordre de grandeur">
      <formula>NOT(ISERROR(SEARCH("Calcul brouillon, ordre de grandeur",D9)))</formula>
    </cfRule>
    <cfRule type="containsText" dxfId="42" priority="9" operator="containsText" text="Bon ordre de grandeur">
      <formula>NOT(ISERROR(SEARCH("Bon ordre de grandeur",D9)))</formula>
    </cfRule>
    <cfRule type="containsText" dxfId="41" priority="10" operator="containsText" text="Calcul validé">
      <formula>NOT(ISERROR(SEARCH("Calcul validé",D9)))</formula>
    </cfRule>
    <cfRule type="containsText" dxfId="40" priority="11" operator="containsText" text="Pas ok">
      <formula>NOT(ISERROR(SEARCH("Pas ok",D9)))</formula>
    </cfRule>
    <cfRule type="containsText" dxfId="39" priority="12" operator="containsText" text="Calcul brouillon, ordre de grandeur">
      <formula>NOT(ISERROR(SEARCH("Calcul brouillon, ordre de grandeur",D9)))</formula>
    </cfRule>
    <cfRule type="containsText" dxfId="38" priority="13" operator="containsText" text="Bon ordre de grandeur">
      <formula>NOT(ISERROR(SEARCH("Bon ordre de grandeur",D9)))</formula>
    </cfRule>
    <cfRule type="containsText" dxfId="37" priority="14" operator="containsText" text="Calcul validé">
      <formula>NOT(ISERROR(SEARCH("Calcul validé",D9)))</formula>
    </cfRule>
  </conditionalFormatting>
  <conditionalFormatting sqref="D9:E9">
    <cfRule type="containsText" dxfId="36" priority="15" operator="containsText" text="Calcul brouillon, odg">
      <formula>NOT(ISERROR(SEARCH("Calcul brouillon, odg",D9)))</formula>
    </cfRule>
  </conditionalFormatting>
  <conditionalFormatting sqref="D29:F35">
    <cfRule type="colorScale" priority="1">
      <colorScale>
        <cfvo type="min"/>
        <cfvo type="percentile" val="50"/>
        <cfvo type="max"/>
        <color rgb="FF63BE7B"/>
        <color rgb="FFFFEB84"/>
        <color rgb="FFF8696B"/>
      </colorScale>
    </cfRule>
  </conditionalFormatting>
  <conditionalFormatting sqref="G29:I35">
    <cfRule type="colorScale" priority="4">
      <colorScale>
        <cfvo type="min"/>
        <cfvo type="percentile" val="50"/>
        <cfvo type="max"/>
        <color rgb="FF63BE7B"/>
        <color rgb="FFFFEB84"/>
        <color rgb="FFF8696B"/>
      </colorScale>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outlinePr summaryBelow="0" summaryRight="0"/>
  </sheetPr>
  <dimension ref="A1:U232"/>
  <sheetViews>
    <sheetView topLeftCell="A49" zoomScale="43" workbookViewId="0">
      <selection activeCell="G33" sqref="G33"/>
    </sheetView>
  </sheetViews>
  <sheetFormatPr baseColWidth="10" defaultColWidth="9.5703125" defaultRowHeight="15" customHeight="1" outlineLevelRow="1" x14ac:dyDescent="0.2"/>
  <cols>
    <col min="1" max="1" width="11.42578125" style="55" customWidth="1"/>
    <col min="2" max="2" width="35.5703125" style="55" customWidth="1"/>
    <col min="3" max="5" width="17" style="55" customWidth="1"/>
    <col min="6" max="6" width="15.5703125" style="55" customWidth="1"/>
    <col min="7" max="7" width="27.85546875" style="55" customWidth="1"/>
    <col min="8" max="8" width="17" style="55" customWidth="1"/>
    <col min="9" max="9" width="22.7109375" style="55" customWidth="1"/>
    <col min="10" max="10" width="20.140625" style="55" customWidth="1"/>
    <col min="11" max="11" width="15.140625" style="55" customWidth="1"/>
    <col min="12" max="12" width="41.85546875" style="55" customWidth="1"/>
    <col min="13" max="13" width="13.42578125" style="55" customWidth="1"/>
    <col min="14" max="14" width="14.7109375" style="55" customWidth="1"/>
    <col min="15" max="15" width="17.42578125" style="55" customWidth="1"/>
    <col min="16" max="16" width="15.7109375" style="55" customWidth="1"/>
    <col min="17" max="17" width="30.5703125" style="55" customWidth="1"/>
    <col min="18" max="18" width="16.5703125" style="55" customWidth="1"/>
    <col min="19" max="19" width="15.5703125" style="55" customWidth="1"/>
    <col min="20" max="20" width="11.85546875" style="55" customWidth="1"/>
    <col min="21" max="21" width="13.5703125" style="55" customWidth="1"/>
    <col min="22" max="22" width="29.42578125" style="55" customWidth="1"/>
    <col min="23" max="23" width="13.5703125" style="55" customWidth="1"/>
    <col min="24" max="24" width="15.85546875" style="55" customWidth="1"/>
    <col min="25" max="25" width="13.5703125" style="55" customWidth="1"/>
    <col min="26" max="28" width="9.5703125" style="55"/>
    <col min="29" max="29" width="9.7109375" style="55" customWidth="1"/>
    <col min="30" max="30" width="11" style="55" customWidth="1"/>
    <col min="31" max="31" width="26.140625" style="55" customWidth="1"/>
    <col min="32" max="35" width="9.7109375" style="55" customWidth="1"/>
    <col min="36" max="16384" width="9.5703125" style="55"/>
  </cols>
  <sheetData>
    <row r="1" spans="2:14" ht="15" customHeight="1" thickBot="1" x14ac:dyDescent="0.25"/>
    <row r="2" spans="2:14" ht="24" customHeight="1" thickBot="1" x14ac:dyDescent="0.25">
      <c r="B2" s="2559" t="s">
        <v>16</v>
      </c>
      <c r="C2" s="2560"/>
      <c r="D2" s="2560"/>
      <c r="E2" s="2561"/>
      <c r="F2"/>
      <c r="G2"/>
      <c r="H2"/>
      <c r="I2"/>
      <c r="J2"/>
      <c r="K2"/>
      <c r="L2"/>
      <c r="M2"/>
      <c r="N2"/>
    </row>
    <row r="3" spans="2:14" ht="24" customHeight="1" thickBot="1" x14ac:dyDescent="0.25">
      <c r="F3"/>
      <c r="G3"/>
      <c r="H3"/>
      <c r="I3"/>
      <c r="J3"/>
      <c r="K3"/>
      <c r="L3"/>
      <c r="M3"/>
      <c r="N3"/>
    </row>
    <row r="4" spans="2:14" ht="21" customHeight="1" thickBot="1" x14ac:dyDescent="0.25">
      <c r="B4" s="2562" t="s">
        <v>17</v>
      </c>
      <c r="C4" s="2563"/>
      <c r="D4" s="2564"/>
      <c r="F4"/>
      <c r="G4"/>
      <c r="H4"/>
      <c r="I4"/>
      <c r="J4"/>
      <c r="K4"/>
      <c r="L4"/>
      <c r="M4"/>
      <c r="N4"/>
    </row>
    <row r="5" spans="2:14" ht="19" customHeight="1" x14ac:dyDescent="0.2">
      <c r="B5" s="56" t="s">
        <v>18</v>
      </c>
      <c r="C5" s="857">
        <f>C59</f>
        <v>4830.0217065881843</v>
      </c>
      <c r="D5" s="57" t="s">
        <v>19</v>
      </c>
      <c r="F5"/>
      <c r="G5"/>
      <c r="H5"/>
      <c r="I5"/>
      <c r="J5"/>
      <c r="K5"/>
      <c r="L5"/>
      <c r="M5"/>
      <c r="N5"/>
    </row>
    <row r="6" spans="2:14" ht="19" customHeight="1" x14ac:dyDescent="0.2">
      <c r="B6" s="59" t="s">
        <v>20</v>
      </c>
      <c r="C6" s="2565" t="str">
        <f>C9</f>
        <v>vFinale</v>
      </c>
      <c r="D6" s="2566"/>
      <c r="F6"/>
      <c r="G6"/>
      <c r="H6"/>
      <c r="I6"/>
      <c r="J6"/>
      <c r="K6"/>
      <c r="L6"/>
      <c r="M6"/>
      <c r="N6"/>
    </row>
    <row r="7" spans="2:14" ht="19" customHeight="1" thickBot="1" x14ac:dyDescent="0.25">
      <c r="B7" s="61" t="s">
        <v>21</v>
      </c>
      <c r="C7" s="2567"/>
      <c r="D7" s="2568"/>
      <c r="F7"/>
      <c r="G7"/>
      <c r="H7"/>
      <c r="I7"/>
      <c r="J7"/>
      <c r="K7"/>
      <c r="L7"/>
      <c r="M7"/>
      <c r="N7"/>
    </row>
    <row r="8" spans="2:14" ht="19" customHeight="1" thickBot="1" x14ac:dyDescent="0.25"/>
    <row r="9" spans="2:14" ht="18" customHeight="1" x14ac:dyDescent="0.2">
      <c r="B9" s="974" t="s">
        <v>22</v>
      </c>
      <c r="C9" s="2569" t="s">
        <v>1602</v>
      </c>
      <c r="D9" s="2570"/>
      <c r="E9" s="62"/>
      <c r="F9" s="62"/>
      <c r="G9" s="62"/>
      <c r="H9" s="62"/>
      <c r="I9" s="62"/>
      <c r="J9" s="62"/>
      <c r="K9" s="62"/>
      <c r="L9" s="62"/>
      <c r="M9" s="62"/>
      <c r="N9" s="63"/>
    </row>
    <row r="10" spans="2:14" ht="18" customHeight="1" thickBot="1" x14ac:dyDescent="0.25">
      <c r="B10" s="975" t="s">
        <v>1905</v>
      </c>
      <c r="C10" s="976">
        <f>C5/'ANNEXE A'!$C$248</f>
        <v>3.3173226006786982</v>
      </c>
      <c r="D10" s="977" t="s">
        <v>24</v>
      </c>
      <c r="E10" s="64"/>
      <c r="F10" s="64"/>
      <c r="G10" s="64"/>
      <c r="H10" s="64"/>
      <c r="I10" s="64"/>
      <c r="J10" s="64"/>
      <c r="K10" s="64"/>
      <c r="L10" s="64"/>
      <c r="M10" s="64"/>
      <c r="N10" s="65"/>
    </row>
    <row r="11" spans="2:14" ht="21" customHeight="1" thickBot="1" x14ac:dyDescent="0.25">
      <c r="B11" s="66"/>
      <c r="C11" s="67"/>
      <c r="D11" s="67"/>
      <c r="E11" s="67"/>
      <c r="F11" s="67"/>
      <c r="G11" s="67"/>
      <c r="H11" s="67"/>
      <c r="I11" s="67"/>
      <c r="J11" s="67"/>
      <c r="K11" s="67"/>
      <c r="L11" s="67"/>
      <c r="M11" s="67"/>
      <c r="N11" s="68"/>
    </row>
    <row r="12" spans="2:14" ht="15" customHeight="1" thickBot="1" x14ac:dyDescent="0.25">
      <c r="B12" s="2571" t="s">
        <v>25</v>
      </c>
      <c r="C12" s="2572"/>
      <c r="D12" s="2572"/>
      <c r="E12" s="2572"/>
      <c r="F12" s="2572"/>
      <c r="G12" s="2572"/>
      <c r="H12" s="2572"/>
      <c r="I12" s="2572"/>
      <c r="J12" s="2572"/>
      <c r="K12" s="2572"/>
      <c r="L12" s="2572"/>
      <c r="M12" s="2572"/>
      <c r="N12" s="2573"/>
    </row>
    <row r="13" spans="2:14" ht="51" customHeight="1" x14ac:dyDescent="0.2">
      <c r="B13" s="69" t="s">
        <v>26</v>
      </c>
      <c r="C13" s="2574" t="s">
        <v>1956</v>
      </c>
      <c r="D13" s="2575"/>
      <c r="E13" s="2575"/>
      <c r="F13" s="2575"/>
      <c r="G13" s="2575"/>
      <c r="H13" s="2575"/>
      <c r="I13" s="2575"/>
      <c r="J13" s="2575"/>
      <c r="K13" s="2575"/>
      <c r="L13" s="2575"/>
      <c r="M13" s="2575"/>
      <c r="N13" s="2576"/>
    </row>
    <row r="14" spans="2:14" ht="39" customHeight="1" x14ac:dyDescent="0.2">
      <c r="B14" s="70" t="s">
        <v>27</v>
      </c>
      <c r="C14" s="2577" t="s">
        <v>1957</v>
      </c>
      <c r="D14" s="2578"/>
      <c r="E14" s="2578"/>
      <c r="F14" s="2578"/>
      <c r="G14" s="2578"/>
      <c r="H14" s="2578"/>
      <c r="I14" s="2578"/>
      <c r="J14" s="2578"/>
      <c r="K14" s="2578"/>
      <c r="L14" s="2578"/>
      <c r="M14" s="2578"/>
      <c r="N14" s="2579"/>
    </row>
    <row r="15" spans="2:14" ht="108" customHeight="1" x14ac:dyDescent="0.2">
      <c r="B15" s="70" t="s">
        <v>28</v>
      </c>
      <c r="C15" s="2577" t="s">
        <v>1958</v>
      </c>
      <c r="D15" s="2578"/>
      <c r="E15" s="2578"/>
      <c r="F15" s="2578"/>
      <c r="G15" s="2578"/>
      <c r="H15" s="2578"/>
      <c r="I15" s="2578"/>
      <c r="J15" s="2578"/>
      <c r="K15" s="2578"/>
      <c r="L15" s="2578"/>
      <c r="M15" s="2578"/>
      <c r="N15" s="2579"/>
    </row>
    <row r="16" spans="2:14" ht="39" customHeight="1" x14ac:dyDescent="0.2">
      <c r="B16" s="70" t="s">
        <v>29</v>
      </c>
      <c r="C16" s="2577" t="s">
        <v>2303</v>
      </c>
      <c r="D16" s="2578"/>
      <c r="E16" s="2578"/>
      <c r="F16" s="2578"/>
      <c r="G16" s="2578"/>
      <c r="H16" s="2578"/>
      <c r="I16" s="2578"/>
      <c r="J16" s="2578"/>
      <c r="K16" s="2578"/>
      <c r="L16" s="2578"/>
      <c r="M16" s="2578"/>
      <c r="N16" s="2579"/>
    </row>
    <row r="17" spans="2:14" ht="59" customHeight="1" x14ac:dyDescent="0.2">
      <c r="B17" s="70" t="s">
        <v>30</v>
      </c>
      <c r="C17" s="2577" t="s">
        <v>213</v>
      </c>
      <c r="D17" s="2578"/>
      <c r="E17" s="2578"/>
      <c r="F17" s="2578"/>
      <c r="G17" s="2578"/>
      <c r="H17" s="2578"/>
      <c r="I17" s="2578"/>
      <c r="J17" s="2578"/>
      <c r="K17" s="2578"/>
      <c r="L17" s="2578"/>
      <c r="M17" s="2578"/>
      <c r="N17" s="2579"/>
    </row>
    <row r="18" spans="2:14" ht="34" customHeight="1" x14ac:dyDescent="0.2">
      <c r="B18" s="70" t="s">
        <v>31</v>
      </c>
      <c r="C18" s="2583" t="s">
        <v>1959</v>
      </c>
      <c r="D18" s="2584"/>
      <c r="E18" s="2584"/>
      <c r="F18" s="2584"/>
      <c r="G18" s="2584"/>
      <c r="H18" s="2584"/>
      <c r="I18" s="2584"/>
      <c r="J18" s="2584"/>
      <c r="K18" s="2584"/>
      <c r="L18" s="2584"/>
      <c r="M18" s="2584"/>
      <c r="N18" s="2585"/>
    </row>
    <row r="19" spans="2:14" ht="34" customHeight="1" x14ac:dyDescent="0.2">
      <c r="B19" s="71" t="s">
        <v>33</v>
      </c>
      <c r="C19" s="2580"/>
      <c r="D19" s="2581"/>
      <c r="E19" s="2581"/>
      <c r="F19" s="2581"/>
      <c r="G19" s="2581"/>
      <c r="H19" s="2581"/>
      <c r="I19" s="2581"/>
      <c r="J19" s="2581"/>
      <c r="K19" s="2581"/>
      <c r="L19" s="2581"/>
      <c r="M19" s="2581"/>
      <c r="N19" s="2582"/>
    </row>
    <row r="20" spans="2:14" ht="20" customHeight="1" x14ac:dyDescent="0.2"/>
    <row r="21" spans="2:14" ht="20" customHeight="1" x14ac:dyDescent="0.2">
      <c r="B21" s="433" t="s">
        <v>1353</v>
      </c>
    </row>
    <row r="22" spans="2:14" ht="20" customHeight="1" x14ac:dyDescent="0.2"/>
    <row r="23" spans="2:14" ht="24" customHeight="1" x14ac:dyDescent="0.2">
      <c r="B23" s="430" t="s">
        <v>1895</v>
      </c>
    </row>
    <row r="24" spans="2:14" ht="24" customHeight="1" x14ac:dyDescent="0.2">
      <c r="B24" s="55" t="s">
        <v>1896</v>
      </c>
    </row>
    <row r="25" spans="2:14" ht="24" customHeight="1" x14ac:dyDescent="0.2"/>
    <row r="26" spans="2:14" ht="34" customHeight="1" x14ac:dyDescent="0.2">
      <c r="B26" s="76" t="s">
        <v>1891</v>
      </c>
      <c r="C26" s="91">
        <f>'ANNEXE A'!$C$240</f>
        <v>21000</v>
      </c>
      <c r="D26"/>
      <c r="E26"/>
    </row>
    <row r="27" spans="2:14" ht="36" customHeight="1" x14ac:dyDescent="0.2">
      <c r="B27" s="76" t="s">
        <v>40</v>
      </c>
      <c r="C27" s="789">
        <f>'ANNEXE A'!$C$238</f>
        <v>18</v>
      </c>
      <c r="D27"/>
      <c r="E27"/>
    </row>
    <row r="28" spans="2:14" ht="30" customHeight="1" x14ac:dyDescent="0.2"/>
    <row r="29" spans="2:14" ht="24" customHeight="1" x14ac:dyDescent="0.2">
      <c r="B29" s="325" t="s">
        <v>1897</v>
      </c>
    </row>
    <row r="30" spans="2:14" ht="24" customHeight="1" collapsed="1" x14ac:dyDescent="0.2">
      <c r="B30" s="325"/>
    </row>
    <row r="31" spans="2:14" ht="19" hidden="1" customHeight="1" outlineLevel="1" x14ac:dyDescent="0.2">
      <c r="B31" s="118" t="s">
        <v>1357</v>
      </c>
    </row>
    <row r="32" spans="2:14" ht="24" hidden="1" customHeight="1" outlineLevel="1" x14ac:dyDescent="0.2">
      <c r="B32" s="86" t="s">
        <v>1899</v>
      </c>
    </row>
    <row r="33" spans="2:9" ht="24" hidden="1" customHeight="1" outlineLevel="1" x14ac:dyDescent="0.2">
      <c r="B33" s="86" t="s">
        <v>1900</v>
      </c>
    </row>
    <row r="34" spans="2:9" ht="22" hidden="1" customHeight="1" outlineLevel="1" x14ac:dyDescent="0.2">
      <c r="B34" s="55" t="s">
        <v>1898</v>
      </c>
    </row>
    <row r="35" spans="2:9" ht="25" hidden="1" customHeight="1" outlineLevel="1" x14ac:dyDescent="0.2"/>
    <row r="36" spans="2:9" ht="35" hidden="1" customHeight="1" outlineLevel="1" x14ac:dyDescent="0.2">
      <c r="B36" s="79" t="s">
        <v>57</v>
      </c>
      <c r="C36" s="79" t="s">
        <v>58</v>
      </c>
      <c r="D36" s="79" t="s">
        <v>59</v>
      </c>
      <c r="E36" s="79" t="s">
        <v>60</v>
      </c>
      <c r="F36" s="79" t="s">
        <v>59</v>
      </c>
      <c r="G36" s="79" t="s">
        <v>61</v>
      </c>
      <c r="H36" s="79" t="s">
        <v>62</v>
      </c>
      <c r="I36" s="971" t="s">
        <v>37</v>
      </c>
    </row>
    <row r="37" spans="2:9" ht="28" hidden="1" customHeight="1" outlineLevel="1" x14ac:dyDescent="0.2">
      <c r="B37" s="575" t="s">
        <v>64</v>
      </c>
      <c r="C37" s="973">
        <f>C26*H107</f>
        <v>204482.84802966111</v>
      </c>
      <c r="D37" s="77" t="s">
        <v>65</v>
      </c>
      <c r="E37" s="81">
        <f>C139</f>
        <v>0.22700000000000001</v>
      </c>
      <c r="F37" s="81" t="s">
        <v>66</v>
      </c>
      <c r="G37" s="502">
        <f t="shared" ref="G37:G38" si="0">C37*E37</f>
        <v>46417.60650273307</v>
      </c>
      <c r="H37" s="81" t="s">
        <v>67</v>
      </c>
      <c r="I37" s="9"/>
    </row>
    <row r="38" spans="2:9" ht="28" hidden="1" customHeight="1" outlineLevel="1" x14ac:dyDescent="0.2">
      <c r="B38" s="7" t="s">
        <v>43</v>
      </c>
      <c r="C38" s="973">
        <f>C128</f>
        <v>27225.321897305057</v>
      </c>
      <c r="D38" s="77" t="s">
        <v>65</v>
      </c>
      <c r="E38" s="81">
        <f>C138</f>
        <v>0.32400000000000001</v>
      </c>
      <c r="F38" s="81" t="s">
        <v>66</v>
      </c>
      <c r="G38" s="502">
        <f t="shared" si="0"/>
        <v>8821.0042947268394</v>
      </c>
      <c r="H38" s="81" t="s">
        <v>67</v>
      </c>
      <c r="I38" s="9"/>
    </row>
    <row r="39" spans="2:9" ht="30" hidden="1" customHeight="1" outlineLevel="1" x14ac:dyDescent="0.2">
      <c r="B39" s="7" t="s">
        <v>78</v>
      </c>
      <c r="C39" s="973">
        <f>C129</f>
        <v>28800</v>
      </c>
      <c r="D39" s="77" t="s">
        <v>65</v>
      </c>
      <c r="E39" s="81">
        <f>C138</f>
        <v>0.32400000000000001</v>
      </c>
      <c r="F39" s="81" t="s">
        <v>66</v>
      </c>
      <c r="G39" s="502">
        <f>C39*E39</f>
        <v>9331.2000000000007</v>
      </c>
      <c r="H39" s="81" t="s">
        <v>67</v>
      </c>
      <c r="I39" s="94"/>
    </row>
    <row r="40" spans="2:9" ht="28" hidden="1" customHeight="1" outlineLevel="1" x14ac:dyDescent="0.2">
      <c r="F40" s="7" t="s">
        <v>198</v>
      </c>
      <c r="G40" s="51">
        <f>SUM(G37:G39)/1000</f>
        <v>64.569810797459908</v>
      </c>
      <c r="H40" s="7" t="s">
        <v>71</v>
      </c>
      <c r="I40"/>
    </row>
    <row r="41" spans="2:9" ht="23" hidden="1" customHeight="1" outlineLevel="1" x14ac:dyDescent="0.2"/>
    <row r="42" spans="2:9" ht="24" customHeight="1" x14ac:dyDescent="0.2">
      <c r="B42" s="325" t="s">
        <v>1901</v>
      </c>
    </row>
    <row r="43" spans="2:9" ht="24" customHeight="1" x14ac:dyDescent="0.2">
      <c r="B43" s="325"/>
    </row>
    <row r="44" spans="2:9" ht="24" customHeight="1" x14ac:dyDescent="0.2">
      <c r="B44" s="430" t="s">
        <v>1895</v>
      </c>
    </row>
    <row r="45" spans="2:9" ht="20" customHeight="1" x14ac:dyDescent="0.2">
      <c r="B45" s="55" t="s">
        <v>1902</v>
      </c>
    </row>
    <row r="46" spans="2:9" ht="20" customHeight="1" x14ac:dyDescent="0.2">
      <c r="B46" s="55" t="s">
        <v>1903</v>
      </c>
    </row>
    <row r="47" spans="2:9" ht="20" customHeight="1" thickBot="1" x14ac:dyDescent="0.25"/>
    <row r="48" spans="2:9" ht="45" customHeight="1" thickBot="1" x14ac:dyDescent="0.25">
      <c r="B48" s="871"/>
      <c r="C48" s="870" t="s">
        <v>57</v>
      </c>
      <c r="D48" s="869" t="s">
        <v>106</v>
      </c>
      <c r="E48" s="869" t="s">
        <v>1591</v>
      </c>
      <c r="F48" s="869" t="s">
        <v>1590</v>
      </c>
      <c r="G48" s="872" t="s">
        <v>1593</v>
      </c>
      <c r="H48" s="879" t="s">
        <v>1592</v>
      </c>
    </row>
    <row r="49" spans="1:8" ht="27" customHeight="1" x14ac:dyDescent="0.2">
      <c r="B49" s="2588" t="s">
        <v>1463</v>
      </c>
      <c r="C49" s="519" t="str">
        <f>B37</f>
        <v>Gaz naturel</v>
      </c>
      <c r="D49" s="2591">
        <f>$C$26</f>
        <v>21000</v>
      </c>
      <c r="E49" s="754">
        <f>C37/$D$49</f>
        <v>9.73727847760291</v>
      </c>
      <c r="F49" s="625">
        <f>E49*$D$49</f>
        <v>204482.84802966111</v>
      </c>
      <c r="G49" s="873">
        <f>E37</f>
        <v>0.22700000000000001</v>
      </c>
      <c r="H49" s="880">
        <f>E49*$D$49*G49/1000</f>
        <v>46.417606502733072</v>
      </c>
    </row>
    <row r="50" spans="1:8" ht="27" customHeight="1" x14ac:dyDescent="0.2">
      <c r="B50" s="2589"/>
      <c r="C50" s="520" t="str">
        <f>B38</f>
        <v>Fioul</v>
      </c>
      <c r="D50" s="2592"/>
      <c r="E50" s="541">
        <f>C38/$D$49</f>
        <v>1.2964438998716694</v>
      </c>
      <c r="F50" s="91">
        <f>E50*$D$49</f>
        <v>27225.321897305057</v>
      </c>
      <c r="G50" s="874">
        <f>E38</f>
        <v>0.32400000000000001</v>
      </c>
      <c r="H50" s="881">
        <f>E50*$D$49*G50/1000</f>
        <v>8.8210042947268388</v>
      </c>
    </row>
    <row r="51" spans="1:8" ht="27" customHeight="1" thickBot="1" x14ac:dyDescent="0.25">
      <c r="B51" s="2590"/>
      <c r="C51" s="521" t="str">
        <f>B39</f>
        <v>Fioul (groupe électrogène)</v>
      </c>
      <c r="D51" s="2593"/>
      <c r="E51" s="758">
        <f>C39/$D$49</f>
        <v>1.3714285714285714</v>
      </c>
      <c r="F51" s="627">
        <f>E51*$D$49</f>
        <v>28800</v>
      </c>
      <c r="G51" s="875">
        <f>E39</f>
        <v>0.32400000000000001</v>
      </c>
      <c r="H51" s="882">
        <f>E51*$D$49*G51/1000</f>
        <v>9.3312000000000008</v>
      </c>
    </row>
    <row r="52" spans="1:8" ht="27" customHeight="1" thickBot="1" x14ac:dyDescent="0.25">
      <c r="B52" s="2594"/>
      <c r="C52" s="2595"/>
      <c r="D52" s="2595"/>
      <c r="E52" s="2595"/>
      <c r="F52" s="2595"/>
      <c r="G52" s="945" t="s">
        <v>1595</v>
      </c>
      <c r="H52" s="946">
        <f>SUM(H49:H51)</f>
        <v>64.569810797459908</v>
      </c>
    </row>
    <row r="53" spans="1:8" ht="27" customHeight="1" x14ac:dyDescent="0.2">
      <c r="B53" s="2588" t="s">
        <v>1594</v>
      </c>
      <c r="C53" s="519" t="str">
        <f>C49</f>
        <v>Gaz naturel</v>
      </c>
      <c r="D53" s="2591">
        <f>'ANNEXE A'!$C$241</f>
        <v>1570865</v>
      </c>
      <c r="E53" s="860">
        <f>E49</f>
        <v>9.73727847760291</v>
      </c>
      <c r="F53" s="625">
        <f>E53*$D$53</f>
        <v>15295949.955719694</v>
      </c>
      <c r="G53" s="876">
        <f>G49</f>
        <v>0.22700000000000001</v>
      </c>
      <c r="H53" s="880">
        <f>E53*$D$53*G53/1000</f>
        <v>3472.1806399483708</v>
      </c>
    </row>
    <row r="54" spans="1:8" ht="27" customHeight="1" x14ac:dyDescent="0.2">
      <c r="B54" s="2589"/>
      <c r="C54" s="520" t="str">
        <f>C50</f>
        <v>Fioul</v>
      </c>
      <c r="D54" s="2592"/>
      <c r="E54" s="356">
        <f>E50</f>
        <v>1.2964438998716694</v>
      </c>
      <c r="F54" s="91">
        <f>E54*$D$53</f>
        <v>2036538.3467719101</v>
      </c>
      <c r="G54" s="877">
        <f>G50</f>
        <v>0.32400000000000001</v>
      </c>
      <c r="H54" s="881">
        <f>E54*$D$53*G54/1000</f>
        <v>659.83842435409883</v>
      </c>
    </row>
    <row r="55" spans="1:8" ht="27" customHeight="1" thickBot="1" x14ac:dyDescent="0.25">
      <c r="B55" s="2590"/>
      <c r="C55" s="521" t="str">
        <f>C51</f>
        <v>Fioul (groupe électrogène)</v>
      </c>
      <c r="D55" s="2593"/>
      <c r="E55" s="861">
        <f>E51</f>
        <v>1.3714285714285714</v>
      </c>
      <c r="F55" s="627">
        <f>E55*$D$53</f>
        <v>2154329.1428571427</v>
      </c>
      <c r="G55" s="878">
        <f>G51</f>
        <v>0.32400000000000001</v>
      </c>
      <c r="H55" s="882">
        <f>E55*$D$53*G55/1000</f>
        <v>698.00264228571427</v>
      </c>
    </row>
    <row r="56" spans="1:8" ht="27" customHeight="1" thickBot="1" x14ac:dyDescent="0.25">
      <c r="B56" s="2586"/>
      <c r="C56" s="2587"/>
      <c r="D56" s="2587"/>
      <c r="E56" s="2587"/>
      <c r="F56" s="2587"/>
      <c r="G56" s="2101" t="s">
        <v>1595</v>
      </c>
      <c r="H56" s="947">
        <f>SUM(H53:H55)</f>
        <v>4830.0217065881843</v>
      </c>
    </row>
    <row r="57" spans="1:8" ht="24" customHeight="1" x14ac:dyDescent="0.2"/>
    <row r="58" spans="1:8" ht="24" customHeight="1" thickBot="1" x14ac:dyDescent="0.25">
      <c r="A58"/>
      <c r="E58"/>
    </row>
    <row r="59" spans="1:8" ht="38" customHeight="1" thickBot="1" x14ac:dyDescent="0.25">
      <c r="B59" s="862" t="s">
        <v>765</v>
      </c>
      <c r="C59" s="863">
        <f>H56</f>
        <v>4830.0217065881843</v>
      </c>
      <c r="D59" s="864" t="s">
        <v>71</v>
      </c>
    </row>
    <row r="60" spans="1:8" ht="17" customHeight="1" x14ac:dyDescent="0.2"/>
    <row r="61" spans="1:8" ht="17" customHeight="1" x14ac:dyDescent="0.2"/>
    <row r="62" spans="1:8" ht="17" customHeight="1" x14ac:dyDescent="0.2">
      <c r="C62" s="346"/>
    </row>
    <row r="63" spans="1:8" ht="20" customHeight="1" collapsed="1" x14ac:dyDescent="0.2">
      <c r="B63" s="433" t="s">
        <v>1352</v>
      </c>
    </row>
    <row r="64" spans="1:8" ht="20" hidden="1" customHeight="1" outlineLevel="1" x14ac:dyDescent="0.2">
      <c r="B64" s="433"/>
    </row>
    <row r="65" spans="2:21" ht="30" hidden="1" customHeight="1" outlineLevel="1" x14ac:dyDescent="0.2">
      <c r="B65" s="1592" t="s">
        <v>35</v>
      </c>
      <c r="C65" s="72"/>
      <c r="D65" s="72"/>
      <c r="E65" s="72"/>
    </row>
    <row r="66" spans="2:21" ht="20" hidden="1" customHeight="1" outlineLevel="1" x14ac:dyDescent="0.2"/>
    <row r="67" spans="2:21" ht="20" hidden="1" customHeight="1" outlineLevel="1" x14ac:dyDescent="0.2">
      <c r="B67" s="75" t="s">
        <v>1904</v>
      </c>
    </row>
    <row r="68" spans="2:21" ht="20" hidden="1" customHeight="1" outlineLevel="1" x14ac:dyDescent="0.2">
      <c r="B68" s="55" t="s">
        <v>39</v>
      </c>
    </row>
    <row r="69" spans="2:21" ht="20" hidden="1" customHeight="1" outlineLevel="1" x14ac:dyDescent="0.2"/>
    <row r="70" spans="2:21" ht="37" hidden="1" customHeight="1" outlineLevel="1" x14ac:dyDescent="0.2">
      <c r="B70" s="79" t="s">
        <v>41</v>
      </c>
      <c r="C70" s="79" t="s">
        <v>42</v>
      </c>
      <c r="D70" s="79" t="s">
        <v>43</v>
      </c>
      <c r="E70" s="79" t="s">
        <v>44</v>
      </c>
      <c r="F70" s="79" t="s">
        <v>45</v>
      </c>
      <c r="G70" s="79" t="s">
        <v>46</v>
      </c>
      <c r="H70" s="79" t="s">
        <v>47</v>
      </c>
      <c r="I70" s="79" t="s">
        <v>48</v>
      </c>
      <c r="J70" s="80" t="s">
        <v>49</v>
      </c>
    </row>
    <row r="71" spans="2:21" ht="19" hidden="1" customHeight="1" outlineLevel="1" x14ac:dyDescent="0.2">
      <c r="B71" s="81" t="s">
        <v>50</v>
      </c>
      <c r="C71" s="77">
        <v>58000</v>
      </c>
      <c r="D71" s="82">
        <v>0</v>
      </c>
      <c r="E71" s="82">
        <v>1</v>
      </c>
      <c r="F71" s="83">
        <v>0</v>
      </c>
      <c r="G71" s="83">
        <v>0</v>
      </c>
      <c r="H71" s="84">
        <v>0</v>
      </c>
      <c r="I71" s="84">
        <v>0</v>
      </c>
      <c r="J71" s="84">
        <v>0</v>
      </c>
      <c r="U71" s="85"/>
    </row>
    <row r="72" spans="2:21" ht="19" hidden="1" customHeight="1" outlineLevel="1" x14ac:dyDescent="0.2">
      <c r="B72" s="81" t="s">
        <v>51</v>
      </c>
      <c r="C72" s="77">
        <v>47926</v>
      </c>
      <c r="D72" s="82">
        <v>0.01</v>
      </c>
      <c r="E72" s="82">
        <v>0.75</v>
      </c>
      <c r="F72" s="82">
        <v>0.24</v>
      </c>
      <c r="G72" s="83">
        <v>0</v>
      </c>
      <c r="H72" s="84">
        <v>730</v>
      </c>
      <c r="I72" s="78">
        <v>2044188</v>
      </c>
      <c r="J72" s="84">
        <v>0</v>
      </c>
    </row>
    <row r="73" spans="2:21" ht="19" hidden="1" customHeight="1" outlineLevel="1" x14ac:dyDescent="0.2">
      <c r="B73" s="87" t="s">
        <v>52</v>
      </c>
      <c r="C73" s="77">
        <v>22143</v>
      </c>
      <c r="D73" s="88"/>
      <c r="E73" s="88"/>
      <c r="F73" s="88"/>
      <c r="G73" s="88"/>
      <c r="H73" s="84">
        <v>0</v>
      </c>
      <c r="I73" s="78">
        <v>1260000</v>
      </c>
      <c r="J73" s="84">
        <v>0</v>
      </c>
    </row>
    <row r="74" spans="2:21" ht="19" hidden="1" customHeight="1" outlineLevel="1" x14ac:dyDescent="0.2">
      <c r="B74" s="81" t="s">
        <v>53</v>
      </c>
      <c r="C74" s="77">
        <v>30857</v>
      </c>
      <c r="D74" s="82">
        <v>0</v>
      </c>
      <c r="E74" s="82">
        <v>1</v>
      </c>
      <c r="F74" s="82">
        <v>0</v>
      </c>
      <c r="G74" s="83">
        <v>0</v>
      </c>
      <c r="H74" s="84">
        <v>0</v>
      </c>
      <c r="I74" s="84">
        <v>0</v>
      </c>
      <c r="J74" s="84">
        <v>0</v>
      </c>
    </row>
    <row r="75" spans="2:21" ht="19" hidden="1" customHeight="1" outlineLevel="1" x14ac:dyDescent="0.2">
      <c r="B75" s="81" t="s">
        <v>54</v>
      </c>
      <c r="C75" s="77">
        <v>35000</v>
      </c>
      <c r="D75" s="82">
        <v>0</v>
      </c>
      <c r="E75" s="82">
        <v>1</v>
      </c>
      <c r="F75" s="82">
        <v>0</v>
      </c>
      <c r="G75" s="83">
        <v>0</v>
      </c>
      <c r="H75" s="84">
        <v>0</v>
      </c>
      <c r="I75" s="84">
        <v>0</v>
      </c>
      <c r="J75" s="84">
        <v>0</v>
      </c>
    </row>
    <row r="76" spans="2:21" ht="19" hidden="1" customHeight="1" outlineLevel="1" x14ac:dyDescent="0.2">
      <c r="B76" s="81" t="s">
        <v>55</v>
      </c>
      <c r="C76" s="77">
        <v>22000</v>
      </c>
      <c r="D76" s="88"/>
      <c r="E76" s="88"/>
      <c r="F76" s="88"/>
      <c r="G76" s="88"/>
      <c r="H76" s="84">
        <v>0</v>
      </c>
      <c r="I76" s="78">
        <v>342837</v>
      </c>
      <c r="J76" s="84">
        <v>0</v>
      </c>
    </row>
    <row r="77" spans="2:21" ht="19" hidden="1" customHeight="1" outlineLevel="1" x14ac:dyDescent="0.2">
      <c r="B77" s="81" t="s">
        <v>56</v>
      </c>
      <c r="C77" s="77">
        <v>50000</v>
      </c>
      <c r="D77" s="82">
        <v>0</v>
      </c>
      <c r="E77" s="82">
        <v>0.67</v>
      </c>
      <c r="F77" s="82">
        <v>0.33</v>
      </c>
      <c r="G77" s="83">
        <v>0</v>
      </c>
      <c r="H77" s="84">
        <v>0</v>
      </c>
      <c r="I77" s="84">
        <v>0</v>
      </c>
      <c r="J77" s="84">
        <v>0</v>
      </c>
    </row>
    <row r="78" spans="2:21" ht="19" hidden="1" customHeight="1" outlineLevel="1" x14ac:dyDescent="0.2">
      <c r="B78" s="81" t="s">
        <v>63</v>
      </c>
      <c r="C78" s="77">
        <v>25000</v>
      </c>
      <c r="D78" s="88"/>
      <c r="E78" s="88"/>
      <c r="F78" s="88"/>
      <c r="G78" s="88"/>
      <c r="H78" s="84">
        <v>0</v>
      </c>
      <c r="I78" s="78">
        <v>130000</v>
      </c>
      <c r="J78" s="84">
        <v>0</v>
      </c>
    </row>
    <row r="79" spans="2:21" ht="19" hidden="1" customHeight="1" outlineLevel="1" x14ac:dyDescent="0.2">
      <c r="B79" s="81" t="s">
        <v>68</v>
      </c>
      <c r="C79" s="77">
        <v>25000</v>
      </c>
      <c r="D79" s="82">
        <v>0</v>
      </c>
      <c r="E79" s="83">
        <v>1</v>
      </c>
      <c r="F79" s="82">
        <v>0</v>
      </c>
      <c r="G79" s="83">
        <v>0</v>
      </c>
      <c r="H79" s="84">
        <v>0</v>
      </c>
      <c r="I79" s="84">
        <v>0</v>
      </c>
      <c r="J79" s="84">
        <v>0</v>
      </c>
    </row>
    <row r="80" spans="2:21" ht="19" hidden="1" customHeight="1" outlineLevel="1" x14ac:dyDescent="0.2">
      <c r="B80" s="81" t="s">
        <v>70</v>
      </c>
      <c r="C80" s="77">
        <v>18990</v>
      </c>
      <c r="D80" s="82">
        <v>0</v>
      </c>
      <c r="E80" s="82">
        <v>0.34</v>
      </c>
      <c r="F80" s="82">
        <v>0.19</v>
      </c>
      <c r="G80" s="82">
        <v>0.47</v>
      </c>
      <c r="H80" s="84">
        <v>0</v>
      </c>
      <c r="I80" s="78">
        <v>222729</v>
      </c>
      <c r="J80" s="84">
        <v>562640</v>
      </c>
    </row>
    <row r="81" spans="2:15" ht="19" hidden="1" customHeight="1" outlineLevel="1" x14ac:dyDescent="0.2">
      <c r="B81" s="81" t="s">
        <v>72</v>
      </c>
      <c r="C81" s="77">
        <v>42115</v>
      </c>
      <c r="D81" s="82">
        <v>0.05</v>
      </c>
      <c r="E81" s="82">
        <v>0.95</v>
      </c>
      <c r="F81" s="83">
        <v>0</v>
      </c>
      <c r="G81" s="83">
        <v>0</v>
      </c>
      <c r="H81" s="84">
        <v>32621</v>
      </c>
      <c r="I81" s="84">
        <v>0</v>
      </c>
      <c r="J81" s="84">
        <v>0</v>
      </c>
    </row>
    <row r="82" spans="2:15" ht="19" hidden="1" customHeight="1" outlineLevel="1" x14ac:dyDescent="0.2">
      <c r="B82" s="81" t="s">
        <v>73</v>
      </c>
      <c r="C82" s="77">
        <v>28152</v>
      </c>
      <c r="D82" s="82">
        <v>0</v>
      </c>
      <c r="E82" s="82">
        <v>0.6</v>
      </c>
      <c r="F82" s="83">
        <v>0</v>
      </c>
      <c r="G82" s="82">
        <v>0.4</v>
      </c>
      <c r="H82" s="84">
        <v>0</v>
      </c>
      <c r="I82" s="84">
        <v>0</v>
      </c>
      <c r="J82" s="84">
        <v>0</v>
      </c>
    </row>
    <row r="83" spans="2:15" ht="19" hidden="1" customHeight="1" outlineLevel="1" x14ac:dyDescent="0.2">
      <c r="B83" s="81" t="s">
        <v>74</v>
      </c>
      <c r="C83" s="77">
        <v>26000</v>
      </c>
      <c r="D83" s="88"/>
      <c r="E83" s="88"/>
      <c r="F83" s="88"/>
      <c r="G83" s="88"/>
      <c r="H83" s="84">
        <v>21000</v>
      </c>
      <c r="I83" s="78">
        <v>649435</v>
      </c>
      <c r="J83" s="84">
        <v>0</v>
      </c>
    </row>
    <row r="84" spans="2:15" ht="19" hidden="1" customHeight="1" outlineLevel="1" x14ac:dyDescent="0.2">
      <c r="B84" s="81" t="s">
        <v>75</v>
      </c>
      <c r="C84" s="77">
        <v>10000</v>
      </c>
      <c r="D84" s="88"/>
      <c r="E84" s="88"/>
      <c r="F84" s="88"/>
      <c r="G84" s="88"/>
      <c r="H84" s="84">
        <v>0</v>
      </c>
      <c r="I84" s="78">
        <v>261470</v>
      </c>
      <c r="J84" s="84">
        <v>0</v>
      </c>
    </row>
    <row r="85" spans="2:15" ht="19" hidden="1" customHeight="1" outlineLevel="1" x14ac:dyDescent="0.2">
      <c r="B85" s="81" t="s">
        <v>76</v>
      </c>
      <c r="C85" s="77">
        <v>14700</v>
      </c>
      <c r="D85" s="82">
        <v>0</v>
      </c>
      <c r="E85" s="82">
        <v>1</v>
      </c>
      <c r="F85" s="83">
        <v>0</v>
      </c>
      <c r="G85" s="83">
        <v>0</v>
      </c>
      <c r="H85" s="84">
        <v>0</v>
      </c>
      <c r="I85" s="84">
        <v>0</v>
      </c>
      <c r="J85" s="84">
        <v>0</v>
      </c>
      <c r="O85" s="443"/>
    </row>
    <row r="86" spans="2:15" ht="19" hidden="1" customHeight="1" outlineLevel="1" x14ac:dyDescent="0.2">
      <c r="B86" s="81" t="s">
        <v>77</v>
      </c>
      <c r="C86" s="77">
        <v>12907</v>
      </c>
      <c r="D86" s="82">
        <v>0</v>
      </c>
      <c r="E86" s="82">
        <v>0.55000000000000004</v>
      </c>
      <c r="F86" s="83">
        <v>0</v>
      </c>
      <c r="G86" s="82">
        <v>0.45</v>
      </c>
      <c r="H86" s="84">
        <v>0</v>
      </c>
      <c r="I86" s="84">
        <v>0</v>
      </c>
      <c r="J86" s="84">
        <v>965000</v>
      </c>
    </row>
    <row r="87" spans="2:15" ht="19" hidden="1" customHeight="1" outlineLevel="1" x14ac:dyDescent="0.2">
      <c r="B87" s="81" t="s">
        <v>79</v>
      </c>
      <c r="C87" s="77">
        <v>15500</v>
      </c>
      <c r="D87" s="82">
        <v>0.34</v>
      </c>
      <c r="E87" s="82">
        <v>0.57999999999999996</v>
      </c>
      <c r="F87" s="82">
        <v>0.08</v>
      </c>
      <c r="G87" s="83">
        <v>0</v>
      </c>
      <c r="H87" s="84">
        <v>2500</v>
      </c>
      <c r="I87" s="84">
        <v>0</v>
      </c>
      <c r="J87" s="84">
        <v>0</v>
      </c>
    </row>
    <row r="88" spans="2:15" ht="19" hidden="1" customHeight="1" outlineLevel="1" x14ac:dyDescent="0.2">
      <c r="B88" s="81" t="s">
        <v>80</v>
      </c>
      <c r="C88" s="77">
        <v>16000</v>
      </c>
      <c r="D88" s="82">
        <v>0</v>
      </c>
      <c r="E88" s="82">
        <v>1</v>
      </c>
      <c r="F88" s="82">
        <v>0</v>
      </c>
      <c r="G88" s="83">
        <v>0</v>
      </c>
      <c r="H88" s="84">
        <v>20000</v>
      </c>
      <c r="I88" s="78">
        <v>108510</v>
      </c>
      <c r="J88" s="84">
        <v>0</v>
      </c>
    </row>
    <row r="89" spans="2:15" ht="19" hidden="1" customHeight="1" outlineLevel="1" x14ac:dyDescent="0.2">
      <c r="B89" s="81" t="s">
        <v>81</v>
      </c>
      <c r="C89" s="77">
        <v>8000</v>
      </c>
      <c r="D89" s="82">
        <v>0</v>
      </c>
      <c r="E89" s="82">
        <v>1</v>
      </c>
      <c r="F89" s="82">
        <v>0</v>
      </c>
      <c r="G89" s="83">
        <v>0</v>
      </c>
      <c r="H89" s="84">
        <v>0</v>
      </c>
      <c r="I89" s="84">
        <v>0</v>
      </c>
      <c r="J89" s="84">
        <v>0</v>
      </c>
    </row>
    <row r="90" spans="2:15" ht="19" hidden="1" customHeight="1" outlineLevel="1" x14ac:dyDescent="0.2">
      <c r="B90" s="81" t="s">
        <v>82</v>
      </c>
      <c r="C90" s="77">
        <v>35624</v>
      </c>
      <c r="D90" s="82">
        <v>0</v>
      </c>
      <c r="E90" s="82">
        <v>1</v>
      </c>
      <c r="F90" s="82">
        <v>0</v>
      </c>
      <c r="G90" s="83">
        <v>0</v>
      </c>
      <c r="H90" s="84">
        <v>0</v>
      </c>
      <c r="I90" s="84">
        <v>0</v>
      </c>
      <c r="J90" s="84">
        <v>0</v>
      </c>
    </row>
    <row r="91" spans="2:15" ht="19" hidden="1" customHeight="1" outlineLevel="1" x14ac:dyDescent="0.2">
      <c r="B91" s="81" t="s">
        <v>83</v>
      </c>
      <c r="C91" s="77">
        <v>21877</v>
      </c>
      <c r="D91" s="88"/>
      <c r="E91" s="88"/>
      <c r="F91" s="88"/>
      <c r="G91" s="88"/>
      <c r="H91" s="84">
        <v>15000</v>
      </c>
      <c r="I91" s="78">
        <v>950014</v>
      </c>
      <c r="J91" s="84">
        <v>0</v>
      </c>
    </row>
    <row r="92" spans="2:15" ht="19" hidden="1" customHeight="1" outlineLevel="1" x14ac:dyDescent="0.2">
      <c r="B92" s="87" t="s">
        <v>84</v>
      </c>
      <c r="C92" s="77">
        <v>67000</v>
      </c>
      <c r="D92" s="82"/>
      <c r="E92" s="88"/>
      <c r="F92" s="88"/>
      <c r="G92" s="88"/>
      <c r="H92" s="84">
        <v>0</v>
      </c>
      <c r="I92" s="78">
        <v>17740</v>
      </c>
      <c r="J92" s="84">
        <v>0</v>
      </c>
    </row>
    <row r="93" spans="2:15" ht="19" hidden="1" customHeight="1" outlineLevel="1" x14ac:dyDescent="0.2">
      <c r="B93" s="81" t="s">
        <v>85</v>
      </c>
      <c r="C93" s="77">
        <v>38223</v>
      </c>
      <c r="D93" s="82">
        <v>0</v>
      </c>
      <c r="E93" s="82">
        <v>1</v>
      </c>
      <c r="F93" s="82">
        <v>0</v>
      </c>
      <c r="G93" s="83">
        <v>0</v>
      </c>
      <c r="H93" s="84">
        <v>0</v>
      </c>
      <c r="I93" s="78">
        <v>24000</v>
      </c>
      <c r="J93" s="84">
        <v>0</v>
      </c>
    </row>
    <row r="94" spans="2:15" ht="19" hidden="1" customHeight="1" outlineLevel="1" x14ac:dyDescent="0.2">
      <c r="B94" s="81" t="s">
        <v>86</v>
      </c>
      <c r="C94" s="77">
        <v>12171</v>
      </c>
      <c r="D94" s="82">
        <v>0.2</v>
      </c>
      <c r="E94" s="82">
        <v>0.55000000000000004</v>
      </c>
      <c r="F94" s="82">
        <v>0.43</v>
      </c>
      <c r="G94" s="83">
        <v>0</v>
      </c>
      <c r="H94" s="84">
        <v>2000</v>
      </c>
      <c r="I94" s="78">
        <v>364000</v>
      </c>
      <c r="J94" s="84">
        <v>0</v>
      </c>
    </row>
    <row r="95" spans="2:15" ht="19" hidden="1" customHeight="1" outlineLevel="1" x14ac:dyDescent="0.2">
      <c r="B95" s="81" t="s">
        <v>87</v>
      </c>
      <c r="C95" s="77">
        <v>20395</v>
      </c>
      <c r="D95" s="82">
        <v>0.04</v>
      </c>
      <c r="E95" s="82">
        <v>0.59</v>
      </c>
      <c r="F95" s="82">
        <v>0.37</v>
      </c>
      <c r="G95" s="83">
        <v>0</v>
      </c>
      <c r="H95" s="84">
        <v>0</v>
      </c>
      <c r="I95" s="78">
        <v>650000</v>
      </c>
      <c r="J95" s="84">
        <v>0</v>
      </c>
      <c r="K95" s="95"/>
    </row>
    <row r="96" spans="2:15" ht="19" hidden="1" customHeight="1" outlineLevel="1" x14ac:dyDescent="0.2">
      <c r="B96" s="81" t="s">
        <v>88</v>
      </c>
      <c r="C96" s="77">
        <v>4331</v>
      </c>
      <c r="D96" s="82">
        <v>0.01</v>
      </c>
      <c r="E96" s="82">
        <v>0.89</v>
      </c>
      <c r="F96" s="82">
        <v>0.1</v>
      </c>
      <c r="G96" s="83">
        <v>0</v>
      </c>
      <c r="H96" s="84">
        <v>0</v>
      </c>
      <c r="I96" s="78">
        <v>24000</v>
      </c>
      <c r="J96" s="84">
        <v>0</v>
      </c>
    </row>
    <row r="97" spans="2:14" ht="19" hidden="1" customHeight="1" outlineLevel="1" x14ac:dyDescent="0.2">
      <c r="B97" s="81" t="s">
        <v>89</v>
      </c>
      <c r="C97" s="77">
        <v>16000</v>
      </c>
      <c r="D97" s="96">
        <v>0</v>
      </c>
      <c r="E97" s="96">
        <v>1</v>
      </c>
      <c r="F97" s="96">
        <v>0</v>
      </c>
      <c r="G97" s="97">
        <v>0</v>
      </c>
      <c r="H97" s="84">
        <v>0</v>
      </c>
      <c r="I97" s="84">
        <v>0</v>
      </c>
      <c r="J97" s="84">
        <v>0</v>
      </c>
    </row>
    <row r="98" spans="2:14" ht="19" hidden="1" customHeight="1" outlineLevel="1" x14ac:dyDescent="0.2">
      <c r="B98" s="50" t="s">
        <v>90</v>
      </c>
      <c r="C98" s="98">
        <f t="shared" ref="C98:G98" si="1">AVERAGE(C71:C97)</f>
        <v>26811.518518518518</v>
      </c>
      <c r="D98" s="99">
        <f>AVERAGE(D71:D97)</f>
        <v>3.2500000000000008E-2</v>
      </c>
      <c r="E98" s="99">
        <f t="shared" si="1"/>
        <v>0.8234999999999999</v>
      </c>
      <c r="F98" s="99">
        <f t="shared" si="1"/>
        <v>8.7000000000000008E-2</v>
      </c>
      <c r="G98" s="99">
        <f t="shared" si="1"/>
        <v>6.6000000000000003E-2</v>
      </c>
      <c r="H98" s="100">
        <f>AVERAGE(H71:H97)</f>
        <v>3475.962962962963</v>
      </c>
      <c r="I98" s="100">
        <f t="shared" ref="I98:J98" si="2">AVERAGE(I71:I97)</f>
        <v>261071.22222222222</v>
      </c>
      <c r="J98" s="100">
        <f t="shared" si="2"/>
        <v>56579.259259259263</v>
      </c>
    </row>
    <row r="99" spans="2:14" ht="15" hidden="1" customHeight="1" outlineLevel="1" x14ac:dyDescent="0.2">
      <c r="B99" s="75"/>
    </row>
    <row r="100" spans="2:14" ht="15" hidden="1" customHeight="1" outlineLevel="1" x14ac:dyDescent="0.2">
      <c r="G100" s="101"/>
    </row>
    <row r="101" spans="2:14" ht="15" hidden="1" customHeight="1" outlineLevel="1" x14ac:dyDescent="0.2">
      <c r="B101" s="75" t="s">
        <v>91</v>
      </c>
    </row>
    <row r="102" spans="2:14" ht="15" hidden="1" customHeight="1" outlineLevel="1" x14ac:dyDescent="0.2">
      <c r="B102" s="55" t="s">
        <v>92</v>
      </c>
    </row>
    <row r="103" spans="2:14" ht="15" hidden="1" customHeight="1" outlineLevel="1" x14ac:dyDescent="0.2"/>
    <row r="104" spans="2:14" ht="15" hidden="1" customHeight="1" outlineLevel="1" x14ac:dyDescent="0.2">
      <c r="B104" s="102" t="s">
        <v>93</v>
      </c>
      <c r="G104" s="102" t="s">
        <v>94</v>
      </c>
      <c r="L104" s="102" t="s">
        <v>95</v>
      </c>
    </row>
    <row r="105" spans="2:14" ht="15" hidden="1" customHeight="1" outlineLevel="1" thickBot="1" x14ac:dyDescent="0.25"/>
    <row r="106" spans="2:14" ht="33" hidden="1" customHeight="1" outlineLevel="1" x14ac:dyDescent="0.2">
      <c r="B106" s="103" t="s">
        <v>96</v>
      </c>
      <c r="C106" s="104">
        <f>COUNTA(B112:B118)/COUNTA(B71:B97)</f>
        <v>0.25925925925925924</v>
      </c>
      <c r="D106" s="105"/>
      <c r="G106" s="103" t="s">
        <v>97</v>
      </c>
      <c r="H106" s="104">
        <f>COUNTA(G112:G125)/COUNTA(B71:B97)</f>
        <v>0.51851851851851849</v>
      </c>
      <c r="I106" s="105"/>
      <c r="L106" s="106" t="s">
        <v>98</v>
      </c>
      <c r="M106" s="104">
        <f>COUNTA(L112:L113)/COUNTA(B71:B97)</f>
        <v>7.407407407407407E-2</v>
      </c>
      <c r="N106" s="105"/>
    </row>
    <row r="107" spans="2:14" ht="33" hidden="1" customHeight="1" outlineLevel="1" thickBot="1" x14ac:dyDescent="0.25">
      <c r="B107" s="107" t="s">
        <v>99</v>
      </c>
      <c r="C107" s="108">
        <f>H98/C98</f>
        <v>0.12964438998716693</v>
      </c>
      <c r="D107" s="109" t="s">
        <v>100</v>
      </c>
      <c r="G107" s="107" t="s">
        <v>101</v>
      </c>
      <c r="H107" s="108">
        <f>I98/C98</f>
        <v>9.73727847760291</v>
      </c>
      <c r="I107" s="109" t="s">
        <v>102</v>
      </c>
      <c r="L107" s="107" t="s">
        <v>103</v>
      </c>
      <c r="M107" s="108">
        <f>J98/C98</f>
        <v>2.1102594103418792</v>
      </c>
      <c r="N107" s="109" t="s">
        <v>104</v>
      </c>
    </row>
    <row r="108" spans="2:14" ht="15" hidden="1" customHeight="1" outlineLevel="1" x14ac:dyDescent="0.2"/>
    <row r="109" spans="2:14" ht="15" hidden="1" customHeight="1" outlineLevel="1" x14ac:dyDescent="0.2"/>
    <row r="110" spans="2:14" ht="15" hidden="1" customHeight="1" outlineLevel="1" x14ac:dyDescent="0.2"/>
    <row r="111" spans="2:14" ht="15" hidden="1" customHeight="1" outlineLevel="1" x14ac:dyDescent="0.2">
      <c r="B111" s="79" t="s">
        <v>41</v>
      </c>
      <c r="C111" s="79" t="s">
        <v>42</v>
      </c>
      <c r="D111" s="79" t="s">
        <v>47</v>
      </c>
      <c r="G111" s="79" t="s">
        <v>41</v>
      </c>
      <c r="H111" s="79" t="s">
        <v>42</v>
      </c>
      <c r="I111" s="50" t="s">
        <v>48</v>
      </c>
      <c r="L111" s="110" t="s">
        <v>105</v>
      </c>
      <c r="M111" s="110" t="s">
        <v>106</v>
      </c>
      <c r="N111" s="79" t="s">
        <v>49</v>
      </c>
    </row>
    <row r="112" spans="2:14" ht="15" hidden="1" customHeight="1" outlineLevel="1" x14ac:dyDescent="0.2">
      <c r="B112" s="81" t="s">
        <v>51</v>
      </c>
      <c r="C112" s="78">
        <v>47926</v>
      </c>
      <c r="D112" s="111">
        <v>730</v>
      </c>
      <c r="G112" s="81" t="s">
        <v>51</v>
      </c>
      <c r="H112" s="77">
        <v>47926</v>
      </c>
      <c r="I112" s="91">
        <v>2044188</v>
      </c>
      <c r="L112" s="87" t="s">
        <v>70</v>
      </c>
      <c r="M112" s="111">
        <v>18990</v>
      </c>
      <c r="N112" s="91">
        <v>562640</v>
      </c>
    </row>
    <row r="113" spans="2:14" ht="15" hidden="1" customHeight="1" outlineLevel="1" x14ac:dyDescent="0.2">
      <c r="B113" s="81" t="s">
        <v>72</v>
      </c>
      <c r="C113" s="78">
        <v>42115</v>
      </c>
      <c r="D113" s="111">
        <v>32621</v>
      </c>
      <c r="E113" s="112"/>
      <c r="G113" s="87" t="s">
        <v>52</v>
      </c>
      <c r="H113" s="77">
        <v>22143</v>
      </c>
      <c r="I113" s="91">
        <v>1260000</v>
      </c>
      <c r="L113" s="87" t="s">
        <v>77</v>
      </c>
      <c r="M113" s="111">
        <v>12907</v>
      </c>
      <c r="N113" s="91">
        <v>965000</v>
      </c>
    </row>
    <row r="114" spans="2:14" ht="15" hidden="1" customHeight="1" outlineLevel="1" x14ac:dyDescent="0.2">
      <c r="B114" s="81" t="s">
        <v>74</v>
      </c>
      <c r="C114" s="78">
        <v>26000</v>
      </c>
      <c r="D114" s="111">
        <v>21000</v>
      </c>
      <c r="G114" s="81" t="s">
        <v>55</v>
      </c>
      <c r="H114" s="77">
        <v>22000</v>
      </c>
      <c r="I114" s="91">
        <v>342837</v>
      </c>
      <c r="L114" s="7" t="s">
        <v>90</v>
      </c>
      <c r="M114" s="8">
        <f>AVERAGE(M112:M113)</f>
        <v>15948.5</v>
      </c>
      <c r="N114" s="8">
        <f>AVERAGE(N112:N113)</f>
        <v>763820</v>
      </c>
    </row>
    <row r="115" spans="2:14" ht="15" hidden="1" customHeight="1" outlineLevel="1" x14ac:dyDescent="0.2">
      <c r="B115" s="81" t="s">
        <v>79</v>
      </c>
      <c r="C115" s="78">
        <v>15500</v>
      </c>
      <c r="D115" s="111">
        <v>2500</v>
      </c>
      <c r="G115" s="81" t="s">
        <v>63</v>
      </c>
      <c r="H115" s="77">
        <v>25000</v>
      </c>
      <c r="I115" s="113">
        <v>130000</v>
      </c>
    </row>
    <row r="116" spans="2:14" ht="15" hidden="1" customHeight="1" outlineLevel="1" thickBot="1" x14ac:dyDescent="0.25">
      <c r="B116" s="81" t="s">
        <v>80</v>
      </c>
      <c r="C116" s="78">
        <v>16000</v>
      </c>
      <c r="D116" s="111">
        <v>20000</v>
      </c>
      <c r="G116" s="81" t="s">
        <v>70</v>
      </c>
      <c r="H116" s="77">
        <v>18990</v>
      </c>
      <c r="I116" s="91">
        <v>222729</v>
      </c>
      <c r="L116" s="55" t="s">
        <v>107</v>
      </c>
    </row>
    <row r="117" spans="2:14" ht="33" hidden="1" customHeight="1" outlineLevel="1" thickBot="1" x14ac:dyDescent="0.25">
      <c r="B117" s="81" t="s">
        <v>83</v>
      </c>
      <c r="C117" s="78">
        <v>21877</v>
      </c>
      <c r="D117" s="111">
        <v>15000</v>
      </c>
      <c r="G117" s="81" t="s">
        <v>74</v>
      </c>
      <c r="H117" s="77">
        <v>26000</v>
      </c>
      <c r="I117" s="91">
        <v>649435</v>
      </c>
      <c r="L117" s="114" t="s">
        <v>108</v>
      </c>
      <c r="M117" s="115">
        <f>N114/M114</f>
        <v>47.892905288898639</v>
      </c>
      <c r="N117" s="116" t="s">
        <v>102</v>
      </c>
    </row>
    <row r="118" spans="2:14" ht="15" hidden="1" customHeight="1" outlineLevel="1" x14ac:dyDescent="0.2">
      <c r="B118" s="81" t="s">
        <v>86</v>
      </c>
      <c r="C118" s="78">
        <v>12171</v>
      </c>
      <c r="D118" s="111">
        <v>2000</v>
      </c>
      <c r="G118" s="81" t="s">
        <v>75</v>
      </c>
      <c r="H118" s="77">
        <v>10000</v>
      </c>
      <c r="I118" s="91">
        <v>261470</v>
      </c>
    </row>
    <row r="119" spans="2:14" ht="15" hidden="1" customHeight="1" outlineLevel="1" x14ac:dyDescent="0.2">
      <c r="B119" s="7" t="s">
        <v>90</v>
      </c>
      <c r="C119" s="8">
        <f>AVERAGE(C112:C118)</f>
        <v>25941.285714285714</v>
      </c>
      <c r="D119" s="8">
        <f>AVERAGE(D112:D118)</f>
        <v>13407.285714285714</v>
      </c>
      <c r="G119" s="81" t="s">
        <v>80</v>
      </c>
      <c r="H119" s="77">
        <v>16000</v>
      </c>
      <c r="I119" s="91">
        <v>108510</v>
      </c>
    </row>
    <row r="120" spans="2:14" ht="15" hidden="1" customHeight="1" outlineLevel="1" x14ac:dyDescent="0.2">
      <c r="G120" s="81" t="s">
        <v>83</v>
      </c>
      <c r="H120" s="77">
        <v>21877</v>
      </c>
      <c r="I120" s="91">
        <v>950014</v>
      </c>
    </row>
    <row r="121" spans="2:14" ht="15" hidden="1" customHeight="1" outlineLevel="1" thickBot="1" x14ac:dyDescent="0.25">
      <c r="B121" s="55" t="s">
        <v>109</v>
      </c>
      <c r="E121" s="117"/>
      <c r="G121" s="87" t="s">
        <v>84</v>
      </c>
      <c r="H121" s="77">
        <v>67000</v>
      </c>
      <c r="I121" s="91">
        <v>17740</v>
      </c>
    </row>
    <row r="122" spans="2:14" ht="33" hidden="1" customHeight="1" outlineLevel="1" thickBot="1" x14ac:dyDescent="0.25">
      <c r="B122" s="114" t="s">
        <v>110</v>
      </c>
      <c r="C122" s="115">
        <f>D119/C119</f>
        <v>0.51683196669401776</v>
      </c>
      <c r="D122" s="116" t="s">
        <v>111</v>
      </c>
      <c r="G122" s="81" t="s">
        <v>85</v>
      </c>
      <c r="H122" s="77">
        <v>38223</v>
      </c>
      <c r="I122" s="91">
        <v>24000</v>
      </c>
    </row>
    <row r="123" spans="2:14" ht="15" hidden="1" customHeight="1" outlineLevel="1" x14ac:dyDescent="0.2">
      <c r="G123" s="81" t="s">
        <v>86</v>
      </c>
      <c r="H123" s="77">
        <v>12171</v>
      </c>
      <c r="I123" s="91">
        <v>364000</v>
      </c>
    </row>
    <row r="124" spans="2:14" ht="15" hidden="1" customHeight="1" outlineLevel="1" thickBot="1" x14ac:dyDescent="0.25">
      <c r="B124" s="118" t="s">
        <v>112</v>
      </c>
      <c r="G124" s="81" t="s">
        <v>87</v>
      </c>
      <c r="H124" s="77">
        <v>20395</v>
      </c>
      <c r="I124" s="91">
        <v>650000</v>
      </c>
    </row>
    <row r="125" spans="2:14" ht="33" hidden="1" customHeight="1" outlineLevel="1" x14ac:dyDescent="0.2">
      <c r="B125" s="2557" t="s">
        <v>113</v>
      </c>
      <c r="C125" s="119">
        <f>C107*C26</f>
        <v>2722.5321897305057</v>
      </c>
      <c r="D125" s="554" t="s">
        <v>114</v>
      </c>
      <c r="E125" s="555"/>
      <c r="G125" s="81" t="s">
        <v>88</v>
      </c>
      <c r="H125" s="77">
        <v>4331</v>
      </c>
      <c r="I125" s="91">
        <v>24000</v>
      </c>
    </row>
    <row r="126" spans="2:14" ht="33" hidden="1" customHeight="1" outlineLevel="1" thickBot="1" x14ac:dyDescent="0.25">
      <c r="B126" s="2558"/>
      <c r="C126" s="121">
        <f>4*40*C27</f>
        <v>2880</v>
      </c>
      <c r="D126" s="552" t="s">
        <v>115</v>
      </c>
      <c r="E126" s="553"/>
      <c r="G126" s="7" t="s">
        <v>90</v>
      </c>
      <c r="H126" s="8">
        <f>AVERAGE(H112:H125)</f>
        <v>25146.857142857141</v>
      </c>
      <c r="I126" s="8">
        <f>AVERAGE(I112:I125)</f>
        <v>503494.5</v>
      </c>
    </row>
    <row r="127" spans="2:14" ht="33" hidden="1" customHeight="1" outlineLevel="1" thickBot="1" x14ac:dyDescent="0.25">
      <c r="B127" s="122" t="s">
        <v>116</v>
      </c>
      <c r="C127" s="123">
        <v>10</v>
      </c>
      <c r="D127" s="616" t="s">
        <v>117</v>
      </c>
      <c r="E127" s="865"/>
    </row>
    <row r="128" spans="2:14" ht="33" hidden="1" customHeight="1" outlineLevel="1" thickBot="1" x14ac:dyDescent="0.25">
      <c r="B128" s="2557" t="s">
        <v>113</v>
      </c>
      <c r="C128" s="124">
        <f>C125*C127</f>
        <v>27225.321897305057</v>
      </c>
      <c r="D128" s="554" t="s">
        <v>118</v>
      </c>
      <c r="E128" s="555"/>
      <c r="G128" s="55" t="s">
        <v>109</v>
      </c>
    </row>
    <row r="129" spans="2:9" ht="33" hidden="1" customHeight="1" outlineLevel="1" thickBot="1" x14ac:dyDescent="0.25">
      <c r="B129" s="2558"/>
      <c r="C129" s="121">
        <f>C127*C126</f>
        <v>28800</v>
      </c>
      <c r="D129" s="552" t="s">
        <v>119</v>
      </c>
      <c r="E129" s="553"/>
      <c r="G129" s="114" t="s">
        <v>120</v>
      </c>
      <c r="H129" s="115">
        <f>I126/H126</f>
        <v>20.022164087531529</v>
      </c>
      <c r="I129" s="116" t="s">
        <v>102</v>
      </c>
    </row>
    <row r="130" spans="2:9" ht="33" hidden="1" customHeight="1" outlineLevel="1" thickBot="1" x14ac:dyDescent="0.25">
      <c r="B130" s="120" t="s">
        <v>121</v>
      </c>
      <c r="C130" s="125">
        <f>C128+C129</f>
        <v>56025.321897305053</v>
      </c>
      <c r="D130" s="866" t="s">
        <v>122</v>
      </c>
      <c r="E130" s="867"/>
    </row>
    <row r="131" spans="2:9" ht="15" hidden="1" customHeight="1" outlineLevel="1" x14ac:dyDescent="0.2"/>
    <row r="132" spans="2:9" ht="15" hidden="1" customHeight="1" outlineLevel="1" x14ac:dyDescent="0.2"/>
    <row r="133" spans="2:9" ht="15" hidden="1" customHeight="1" outlineLevel="1" x14ac:dyDescent="0.2"/>
    <row r="134" spans="2:9" ht="15" hidden="1" customHeight="1" outlineLevel="1" x14ac:dyDescent="0.2">
      <c r="B134" s="1592" t="s">
        <v>123</v>
      </c>
    </row>
    <row r="135" spans="2:9" ht="15" hidden="1" customHeight="1" outlineLevel="1" x14ac:dyDescent="0.2"/>
    <row r="136" spans="2:9" ht="15" hidden="1" customHeight="1" outlineLevel="1" x14ac:dyDescent="0.2">
      <c r="B136" s="60" t="s">
        <v>124</v>
      </c>
      <c r="C136" s="60" t="s">
        <v>36</v>
      </c>
      <c r="D136" s="60" t="s">
        <v>59</v>
      </c>
      <c r="E136" s="60" t="s">
        <v>125</v>
      </c>
    </row>
    <row r="137" spans="2:9" ht="15" hidden="1" customHeight="1" outlineLevel="1" x14ac:dyDescent="0.2">
      <c r="B137" s="89" t="s">
        <v>126</v>
      </c>
      <c r="C137" s="77">
        <v>3.25</v>
      </c>
      <c r="D137" s="89" t="s">
        <v>69</v>
      </c>
      <c r="E137" s="77" t="s">
        <v>127</v>
      </c>
    </row>
    <row r="138" spans="2:9" ht="15" hidden="1" customHeight="1" outlineLevel="1" x14ac:dyDescent="0.2">
      <c r="B138" s="89" t="s">
        <v>126</v>
      </c>
      <c r="C138" s="868">
        <v>0.32400000000000001</v>
      </c>
      <c r="D138" s="89" t="s">
        <v>128</v>
      </c>
      <c r="E138" s="77" t="s">
        <v>127</v>
      </c>
    </row>
    <row r="139" spans="2:9" ht="15" hidden="1" customHeight="1" outlineLevel="1" x14ac:dyDescent="0.2">
      <c r="B139" s="89" t="s">
        <v>64</v>
      </c>
      <c r="C139" s="77">
        <v>0.22700000000000001</v>
      </c>
      <c r="D139" s="89" t="s">
        <v>128</v>
      </c>
      <c r="E139" s="77" t="s">
        <v>127</v>
      </c>
    </row>
    <row r="232" spans="2:2" ht="15" customHeight="1" x14ac:dyDescent="0.2">
      <c r="B232" s="220"/>
    </row>
  </sheetData>
  <mergeCells count="21">
    <mergeCell ref="B53:B55"/>
    <mergeCell ref="B49:B51"/>
    <mergeCell ref="D53:D55"/>
    <mergeCell ref="D49:D51"/>
    <mergeCell ref="B52:F52"/>
    <mergeCell ref="B125:B126"/>
    <mergeCell ref="B128:B129"/>
    <mergeCell ref="B2:E2"/>
    <mergeCell ref="B4:D4"/>
    <mergeCell ref="C6:D6"/>
    <mergeCell ref="C7:D7"/>
    <mergeCell ref="C9:D9"/>
    <mergeCell ref="B12:N12"/>
    <mergeCell ref="C13:N13"/>
    <mergeCell ref="C14:N14"/>
    <mergeCell ref="C19:N19"/>
    <mergeCell ref="C15:N15"/>
    <mergeCell ref="C16:N16"/>
    <mergeCell ref="C17:N17"/>
    <mergeCell ref="C18:N18"/>
    <mergeCell ref="B56:F56"/>
  </mergeCells>
  <conditionalFormatting sqref="C7">
    <cfRule type="containsText" dxfId="199" priority="10" operator="containsText" text="Calcul brouillon, odg">
      <formula>NOT(ISERROR(SEARCH("Calcul brouillon, odg",C7)))</formula>
    </cfRule>
    <cfRule type="containsText" dxfId="198" priority="11" operator="containsText" text="Pas ok">
      <formula>NOT(ISERROR(SEARCH("Pas ok",C7)))</formula>
    </cfRule>
    <cfRule type="containsText" dxfId="197" priority="12" operator="containsText" text="Calcul brouillon, ordre de grandeur">
      <formula>NOT(ISERROR(SEARCH("Calcul brouillon, ordre de grandeur",C7)))</formula>
    </cfRule>
    <cfRule type="containsText" dxfId="196" priority="13" operator="containsText" text="Bon ordre de grandeur">
      <formula>NOT(ISERROR(SEARCH("Bon ordre de grandeur",C7)))</formula>
    </cfRule>
    <cfRule type="containsText" dxfId="195" priority="14" operator="containsText" text="Calcul validé">
      <formula>NOT(ISERROR(SEARCH("Calcul validé",C7)))</formula>
    </cfRule>
    <cfRule type="containsText" dxfId="194" priority="15" operator="containsText" text="Pas ok">
      <formula>NOT(ISERROR(SEARCH("Pas ok",C7)))</formula>
    </cfRule>
    <cfRule type="containsText" dxfId="193" priority="16" operator="containsText" text="Calcul brouillon, ordre de grandeur">
      <formula>NOT(ISERROR(SEARCH("Calcul brouillon, ordre de grandeur",C7)))</formula>
    </cfRule>
    <cfRule type="containsText" dxfId="192" priority="17" operator="containsText" text="Bon ordre de grandeur">
      <formula>NOT(ISERROR(SEARCH("Bon ordre de grandeur",C7)))</formula>
    </cfRule>
    <cfRule type="containsText" dxfId="191" priority="18" operator="containsText" text="Calcul validé">
      <formula>NOT(ISERROR(SEARCH("Calcul validé",C7)))</formula>
    </cfRule>
  </conditionalFormatting>
  <pageMargins left="0.7" right="0.7" top="0.75" bottom="0.75" header="0.3" footer="0.3"/>
  <pageSetup paperSize="9" orientation="portrait"/>
  <ignoredErrors>
    <ignoredError sqref="F53:F55"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249977111117893"/>
  </sheetPr>
  <dimension ref="A1:Z219"/>
  <sheetViews>
    <sheetView zoomScale="50" workbookViewId="0">
      <selection activeCell="C16" sqref="C16:L16"/>
    </sheetView>
  </sheetViews>
  <sheetFormatPr baseColWidth="10" defaultColWidth="10.85546875" defaultRowHeight="16" outlineLevelRow="1" x14ac:dyDescent="0.2"/>
  <cols>
    <col min="1" max="1" width="10.85546875" style="55"/>
    <col min="2" max="2" width="37.85546875" style="55" customWidth="1"/>
    <col min="3" max="3" width="22" style="55" customWidth="1"/>
    <col min="4" max="4" width="28.140625" style="55" customWidth="1"/>
    <col min="5" max="5" width="24.5703125" style="55" customWidth="1"/>
    <col min="6" max="6" width="19.7109375" style="55" customWidth="1"/>
    <col min="7" max="8" width="16.28515625" style="55" customWidth="1"/>
    <col min="9" max="9" width="52.5703125" style="55" customWidth="1"/>
    <col min="10" max="12" width="20.42578125" style="55" customWidth="1"/>
    <col min="13" max="13" width="10.85546875" style="55"/>
    <col min="14" max="14" width="16.140625" style="55" customWidth="1"/>
    <col min="15" max="17" width="10.85546875" style="55"/>
    <col min="18" max="18" width="17.85546875" style="55" customWidth="1"/>
    <col min="19" max="19" width="8.85546875" style="55" customWidth="1"/>
    <col min="20" max="21" width="10.85546875" style="55"/>
    <col min="22" max="22" width="6.5703125" style="55" customWidth="1"/>
    <col min="23" max="23" width="18.28515625" style="55" customWidth="1"/>
    <col min="24" max="16384" width="10.85546875" style="55"/>
  </cols>
  <sheetData>
    <row r="1" spans="2:12" ht="17" thickBot="1" x14ac:dyDescent="0.25"/>
    <row r="2" spans="2:12" ht="21" thickBot="1" x14ac:dyDescent="0.25">
      <c r="B2" s="2559" t="s">
        <v>1187</v>
      </c>
      <c r="C2" s="2560"/>
      <c r="D2" s="2560"/>
      <c r="E2" s="2561"/>
      <c r="F2" s="2"/>
      <c r="G2" s="2"/>
    </row>
    <row r="3" spans="2:12" ht="17" thickBot="1" x14ac:dyDescent="0.25">
      <c r="F3" s="2"/>
      <c r="G3" s="2"/>
    </row>
    <row r="4" spans="2:12" ht="17" thickBot="1" x14ac:dyDescent="0.25">
      <c r="B4" s="2607" t="s">
        <v>17</v>
      </c>
      <c r="C4" s="2608"/>
      <c r="D4" s="2609"/>
      <c r="F4" s="2"/>
      <c r="G4" s="2"/>
      <c r="H4" s="2"/>
      <c r="I4" s="2"/>
      <c r="J4" s="2"/>
      <c r="K4" s="2"/>
      <c r="L4" s="2"/>
    </row>
    <row r="5" spans="2:12" x14ac:dyDescent="0.2">
      <c r="B5" s="320" t="s">
        <v>18</v>
      </c>
      <c r="C5" s="1461">
        <f>C50</f>
        <v>2776.5596334039947</v>
      </c>
      <c r="D5" s="441" t="s">
        <v>19</v>
      </c>
      <c r="F5" s="2"/>
      <c r="G5" s="2"/>
      <c r="H5" s="2"/>
      <c r="I5" s="2"/>
      <c r="J5" s="2"/>
      <c r="K5" s="2"/>
      <c r="L5" s="2"/>
    </row>
    <row r="6" spans="2:12" x14ac:dyDescent="0.2">
      <c r="B6" s="442" t="s">
        <v>20</v>
      </c>
      <c r="C6" s="2658" t="str">
        <f>C9</f>
        <v>vFinale</v>
      </c>
      <c r="D6" s="2566"/>
      <c r="F6" s="2"/>
      <c r="G6" s="2"/>
      <c r="H6" s="2"/>
      <c r="I6" s="2"/>
      <c r="J6" s="2"/>
      <c r="K6" s="2"/>
      <c r="L6" s="2"/>
    </row>
    <row r="7" spans="2:12" ht="17" thickBot="1" x14ac:dyDescent="0.25">
      <c r="B7" s="321" t="s">
        <v>21</v>
      </c>
      <c r="C7" s="3059"/>
      <c r="D7" s="3060"/>
      <c r="F7" s="2"/>
      <c r="G7" s="2"/>
      <c r="H7" s="2"/>
      <c r="I7" s="2"/>
      <c r="J7" s="2"/>
      <c r="K7" s="2"/>
      <c r="L7" s="2"/>
    </row>
    <row r="8" spans="2:12" ht="17" thickBot="1" x14ac:dyDescent="0.25"/>
    <row r="9" spans="2:12" x14ac:dyDescent="0.2">
      <c r="B9" s="1319" t="s">
        <v>22</v>
      </c>
      <c r="C9" s="3061" t="s">
        <v>1602</v>
      </c>
      <c r="D9" s="3062"/>
      <c r="E9" s="62"/>
      <c r="F9" s="62"/>
      <c r="G9" s="62"/>
      <c r="H9" s="62"/>
      <c r="I9" s="62"/>
      <c r="J9" s="62"/>
      <c r="K9" s="62"/>
      <c r="L9" s="63"/>
    </row>
    <row r="10" spans="2:12" ht="17" thickBot="1" x14ac:dyDescent="0.25">
      <c r="B10" s="980" t="s">
        <v>1905</v>
      </c>
      <c r="C10" s="1016">
        <f>C5/'ANNEXE A'!$C$248</f>
        <v>1.9069777701950512</v>
      </c>
      <c r="D10" s="977" t="s">
        <v>24</v>
      </c>
      <c r="E10" s="64"/>
      <c r="F10" s="64"/>
      <c r="G10" s="64"/>
      <c r="H10" s="64"/>
      <c r="I10" s="64"/>
      <c r="J10" s="64"/>
      <c r="K10" s="64"/>
      <c r="L10" s="65"/>
    </row>
    <row r="11" spans="2:12" ht="17" thickBot="1" x14ac:dyDescent="0.25">
      <c r="B11" s="66"/>
      <c r="C11" s="67"/>
      <c r="D11" s="67"/>
      <c r="E11" s="67"/>
      <c r="F11" s="67"/>
      <c r="G11" s="67"/>
      <c r="H11" s="67"/>
      <c r="I11" s="67"/>
      <c r="J11" s="67"/>
      <c r="K11" s="67"/>
      <c r="L11" s="68"/>
    </row>
    <row r="12" spans="2:12" ht="17" thickBot="1" x14ac:dyDescent="0.25">
      <c r="B12" s="2642" t="s">
        <v>25</v>
      </c>
      <c r="C12" s="2643"/>
      <c r="D12" s="2643"/>
      <c r="E12" s="2643"/>
      <c r="F12" s="2643"/>
      <c r="G12" s="2643"/>
      <c r="H12" s="2643"/>
      <c r="I12" s="2643"/>
      <c r="J12" s="2643"/>
      <c r="K12" s="2643"/>
      <c r="L12" s="2644"/>
    </row>
    <row r="13" spans="2:12" ht="43" customHeight="1" x14ac:dyDescent="0.2">
      <c r="B13" s="69" t="s">
        <v>26</v>
      </c>
      <c r="C13" s="2574" t="s">
        <v>1862</v>
      </c>
      <c r="D13" s="2575"/>
      <c r="E13" s="2575"/>
      <c r="F13" s="2575"/>
      <c r="G13" s="2575"/>
      <c r="H13" s="2575"/>
      <c r="I13" s="2575"/>
      <c r="J13" s="2575"/>
      <c r="K13" s="2575"/>
      <c r="L13" s="2576"/>
    </row>
    <row r="14" spans="2:12" ht="38" customHeight="1" x14ac:dyDescent="0.2">
      <c r="B14" s="70" t="s">
        <v>27</v>
      </c>
      <c r="C14" s="2577" t="s">
        <v>1868</v>
      </c>
      <c r="D14" s="2578"/>
      <c r="E14" s="2578"/>
      <c r="F14" s="2578"/>
      <c r="G14" s="2578"/>
      <c r="H14" s="2578"/>
      <c r="I14" s="2578"/>
      <c r="J14" s="2578"/>
      <c r="K14" s="2578"/>
      <c r="L14" s="2579"/>
    </row>
    <row r="15" spans="2:12" ht="38" customHeight="1" x14ac:dyDescent="0.2">
      <c r="B15" s="70" t="s">
        <v>28</v>
      </c>
      <c r="C15" s="2600" t="s">
        <v>1867</v>
      </c>
      <c r="D15" s="2578"/>
      <c r="E15" s="2578"/>
      <c r="F15" s="2578"/>
      <c r="G15" s="2578"/>
      <c r="H15" s="2578"/>
      <c r="I15" s="2578"/>
      <c r="J15" s="2578"/>
      <c r="K15" s="2578"/>
      <c r="L15" s="2579"/>
    </row>
    <row r="16" spans="2:12" ht="27" customHeight="1" x14ac:dyDescent="0.2">
      <c r="B16" s="70" t="s">
        <v>29</v>
      </c>
      <c r="C16" s="2577"/>
      <c r="D16" s="2578"/>
      <c r="E16" s="2578"/>
      <c r="F16" s="2578"/>
      <c r="G16" s="2578"/>
      <c r="H16" s="2578"/>
      <c r="I16" s="2578"/>
      <c r="J16" s="2578"/>
      <c r="K16" s="2578"/>
      <c r="L16" s="2579"/>
    </row>
    <row r="17" spans="2:12" ht="27" customHeight="1" x14ac:dyDescent="0.2">
      <c r="B17" s="70" t="s">
        <v>30</v>
      </c>
      <c r="C17" s="2577" t="s">
        <v>1864</v>
      </c>
      <c r="D17" s="2578"/>
      <c r="E17" s="2578"/>
      <c r="F17" s="2578"/>
      <c r="G17" s="2578"/>
      <c r="H17" s="2578"/>
      <c r="I17" s="2578"/>
      <c r="J17" s="2578"/>
      <c r="K17" s="2578"/>
      <c r="L17" s="2579"/>
    </row>
    <row r="18" spans="2:12" ht="27" customHeight="1" x14ac:dyDescent="0.2">
      <c r="B18" s="70" t="s">
        <v>31</v>
      </c>
      <c r="C18" s="2600" t="s">
        <v>1863</v>
      </c>
      <c r="D18" s="2578"/>
      <c r="E18" s="2578"/>
      <c r="F18" s="2578"/>
      <c r="G18" s="2578"/>
      <c r="H18" s="2578"/>
      <c r="I18" s="2578"/>
      <c r="J18" s="2578"/>
      <c r="K18" s="2578"/>
      <c r="L18" s="2579"/>
    </row>
    <row r="19" spans="2:12" ht="27" customHeight="1" thickBot="1" x14ac:dyDescent="0.25">
      <c r="B19" s="71" t="s">
        <v>33</v>
      </c>
      <c r="C19" s="2580"/>
      <c r="D19" s="2581"/>
      <c r="E19" s="2581"/>
      <c r="F19" s="2581"/>
      <c r="G19" s="2581"/>
      <c r="H19" s="2581"/>
      <c r="I19" s="2581"/>
      <c r="J19" s="2581"/>
      <c r="K19" s="2581"/>
      <c r="L19" s="2582"/>
    </row>
    <row r="20" spans="2:12" ht="25" customHeight="1" x14ac:dyDescent="0.2">
      <c r="B20" s="112"/>
      <c r="C20" s="323"/>
      <c r="D20" s="323"/>
      <c r="E20" s="323"/>
      <c r="F20" s="323"/>
      <c r="G20" s="323"/>
      <c r="H20" s="323"/>
      <c r="I20" s="323"/>
      <c r="J20" s="323"/>
      <c r="K20" s="323"/>
      <c r="L20" s="323"/>
    </row>
    <row r="21" spans="2:12" ht="23" x14ac:dyDescent="0.2">
      <c r="B21" s="433" t="s">
        <v>1353</v>
      </c>
      <c r="C21" s="323"/>
      <c r="D21" s="323"/>
      <c r="E21" s="323"/>
      <c r="F21" s="323"/>
      <c r="G21" s="323"/>
      <c r="H21" s="323"/>
      <c r="I21" s="323"/>
      <c r="J21" s="323"/>
      <c r="K21" s="323"/>
      <c r="L21" s="323"/>
    </row>
    <row r="22" spans="2:12" ht="23" x14ac:dyDescent="0.2">
      <c r="B22" s="433"/>
      <c r="C22" s="323"/>
      <c r="D22" s="323"/>
      <c r="E22" s="323"/>
      <c r="F22" s="323"/>
      <c r="G22" s="323"/>
      <c r="H22" s="323"/>
      <c r="I22" s="323"/>
      <c r="J22" s="323"/>
      <c r="K22" s="323"/>
      <c r="L22" s="323"/>
    </row>
    <row r="23" spans="2:12" x14ac:dyDescent="0.2">
      <c r="B23" s="430" t="s">
        <v>1895</v>
      </c>
      <c r="C23" s="323"/>
      <c r="D23" s="323"/>
      <c r="E23" s="323"/>
      <c r="F23" s="323"/>
      <c r="G23" s="323"/>
      <c r="H23" s="323"/>
      <c r="I23" s="323"/>
      <c r="J23" s="323"/>
      <c r="K23" s="323"/>
      <c r="L23" s="323"/>
    </row>
    <row r="24" spans="2:12" ht="29" customHeight="1" x14ac:dyDescent="0.2">
      <c r="B24" s="55" t="s">
        <v>1954</v>
      </c>
      <c r="C24"/>
      <c r="D24"/>
      <c r="E24"/>
      <c r="F24" s="323"/>
      <c r="G24" s="323"/>
      <c r="H24" s="323"/>
      <c r="I24" s="323"/>
      <c r="J24" s="323"/>
      <c r="K24" s="323"/>
      <c r="L24" s="323"/>
    </row>
    <row r="25" spans="2:12" ht="29" customHeight="1" x14ac:dyDescent="0.2">
      <c r="C25"/>
      <c r="D25"/>
      <c r="E25"/>
      <c r="F25" s="323"/>
      <c r="G25" s="323"/>
      <c r="H25" s="323"/>
      <c r="I25" s="323"/>
      <c r="J25" s="323"/>
      <c r="K25" s="323"/>
      <c r="L25" s="323"/>
    </row>
    <row r="26" spans="2:12" ht="33" customHeight="1" x14ac:dyDescent="0.2">
      <c r="B26" s="81" t="s">
        <v>291</v>
      </c>
      <c r="C26" s="789">
        <f>'ANNEXE A'!$C$242</f>
        <v>13000</v>
      </c>
      <c r="D26"/>
      <c r="E26"/>
      <c r="F26" s="323"/>
      <c r="G26" s="323"/>
      <c r="H26" s="323"/>
      <c r="I26" s="323"/>
      <c r="J26" s="323"/>
      <c r="K26" s="323"/>
    </row>
    <row r="27" spans="2:12" ht="34" x14ac:dyDescent="0.2">
      <c r="B27" s="76" t="s">
        <v>138</v>
      </c>
      <c r="C27" s="78">
        <f>'ANNEXE A'!$C$238</f>
        <v>18</v>
      </c>
      <c r="D27"/>
      <c r="E27"/>
      <c r="F27" s="323"/>
      <c r="G27" s="323"/>
      <c r="H27" s="323"/>
      <c r="I27" s="323"/>
      <c r="J27" s="323"/>
      <c r="K27" s="323"/>
    </row>
    <row r="28" spans="2:12" ht="24" customHeight="1" x14ac:dyDescent="0.2"/>
    <row r="29" spans="2:12" ht="36" customHeight="1" x14ac:dyDescent="0.2">
      <c r="B29" s="325" t="s">
        <v>1865</v>
      </c>
    </row>
    <row r="30" spans="2:12" ht="26" customHeight="1" x14ac:dyDescent="0.2">
      <c r="B30" s="2"/>
      <c r="C30" s="2"/>
      <c r="D30" s="2"/>
      <c r="E30" s="2"/>
      <c r="F30" s="2"/>
      <c r="G30" s="2"/>
      <c r="H30" s="2"/>
      <c r="I30" s="2"/>
    </row>
    <row r="31" spans="2:12" ht="29" customHeight="1" x14ac:dyDescent="0.2">
      <c r="B31" s="60" t="s">
        <v>1188</v>
      </c>
      <c r="C31" s="60" t="s">
        <v>482</v>
      </c>
      <c r="D31" s="60" t="s">
        <v>59</v>
      </c>
      <c r="E31" s="60" t="s">
        <v>60</v>
      </c>
      <c r="F31" s="60" t="s">
        <v>59</v>
      </c>
      <c r="G31" s="1462" t="s">
        <v>61</v>
      </c>
      <c r="H31" s="60" t="s">
        <v>59</v>
      </c>
      <c r="I31" s="60" t="s">
        <v>150</v>
      </c>
    </row>
    <row r="32" spans="2:12" ht="29" customHeight="1" x14ac:dyDescent="0.2">
      <c r="B32" s="1465" t="str">
        <f>$B$139</f>
        <v>Bouteilles plastiques</v>
      </c>
      <c r="C32" s="1492">
        <f>$C$26*C139*$C$27/1000</f>
        <v>1.0947764153857908</v>
      </c>
      <c r="D32" s="77" t="s">
        <v>1843</v>
      </c>
      <c r="E32" s="91">
        <f>$C$102</f>
        <v>1357.26</v>
      </c>
      <c r="F32" s="81" t="s">
        <v>591</v>
      </c>
      <c r="G32" s="355">
        <f>C32*E32</f>
        <v>1485.8962375465185</v>
      </c>
      <c r="H32" s="81" t="s">
        <v>67</v>
      </c>
      <c r="I32" s="60"/>
    </row>
    <row r="33" spans="2:9" ht="29" customHeight="1" x14ac:dyDescent="0.2">
      <c r="B33" s="1465" t="str">
        <f>$B$140</f>
        <v>Carton</v>
      </c>
      <c r="C33" s="1492">
        <f>$C$26*C140*$C$27/1000</f>
        <v>5.7265227881718292</v>
      </c>
      <c r="D33" s="77" t="s">
        <v>1843</v>
      </c>
      <c r="E33" s="91">
        <f>$C$103</f>
        <v>923.37</v>
      </c>
      <c r="F33" s="81" t="s">
        <v>591</v>
      </c>
      <c r="G33" s="355">
        <f t="shared" ref="G33:G36" si="0">C33*E33</f>
        <v>5287.6993469142217</v>
      </c>
      <c r="H33" s="81" t="s">
        <v>67</v>
      </c>
      <c r="I33" s="60"/>
    </row>
    <row r="34" spans="2:9" ht="29" customHeight="1" x14ac:dyDescent="0.2">
      <c r="B34" s="1465" t="str">
        <f>$B$141</f>
        <v>Verre</v>
      </c>
      <c r="C34" s="1492">
        <f>$C$26*C141*$C$27/1000</f>
        <v>26.94834253257331</v>
      </c>
      <c r="D34" s="77" t="s">
        <v>1843</v>
      </c>
      <c r="E34" s="502">
        <f>$C$107</f>
        <v>399.79999999999995</v>
      </c>
      <c r="F34" s="81" t="s">
        <v>591</v>
      </c>
      <c r="G34" s="355">
        <f t="shared" si="0"/>
        <v>10773.947344522809</v>
      </c>
      <c r="H34" s="81" t="s">
        <v>67</v>
      </c>
      <c r="I34" s="60"/>
    </row>
    <row r="35" spans="2:9" ht="29" customHeight="1" x14ac:dyDescent="0.2">
      <c r="B35" s="1465" t="str">
        <f>$B$142</f>
        <v>Bio-déchets (pelouse et alimentaire)</v>
      </c>
      <c r="C35" s="1492">
        <f>$C$26*C142*$C$27/1000</f>
        <v>5.0528142248574959</v>
      </c>
      <c r="D35" s="77" t="s">
        <v>1843</v>
      </c>
      <c r="E35" s="91">
        <f>$C$105</f>
        <v>33.270000000000003</v>
      </c>
      <c r="F35" s="81" t="s">
        <v>591</v>
      </c>
      <c r="G35" s="355">
        <f t="shared" si="0"/>
        <v>168.10712926100891</v>
      </c>
      <c r="H35" s="81" t="s">
        <v>67</v>
      </c>
      <c r="I35" s="60"/>
    </row>
    <row r="36" spans="2:9" ht="29" customHeight="1" x14ac:dyDescent="0.2">
      <c r="B36" s="1465" t="str">
        <f>$B$143</f>
        <v>DIB</v>
      </c>
      <c r="C36" s="1492">
        <f>$C$26*C143*$C$27/1000+$C$26*C144*$C$27/1000</f>
        <v>45.138473742060299</v>
      </c>
      <c r="D36" s="77" t="s">
        <v>1843</v>
      </c>
      <c r="E36" s="502">
        <f>$C$106</f>
        <v>371.61999999999995</v>
      </c>
      <c r="F36" s="81" t="s">
        <v>591</v>
      </c>
      <c r="G36" s="355">
        <f t="shared" si="0"/>
        <v>16774.359612024447</v>
      </c>
      <c r="H36" s="81" t="s">
        <v>67</v>
      </c>
      <c r="I36" s="298" t="s">
        <v>1862</v>
      </c>
    </row>
    <row r="37" spans="2:9" ht="35" customHeight="1" x14ac:dyDescent="0.2">
      <c r="F37" s="7" t="s">
        <v>198</v>
      </c>
      <c r="G37" s="1463">
        <f>SUM(G32:G36)/1000</f>
        <v>34.490009670269004</v>
      </c>
      <c r="H37" s="7" t="s">
        <v>71</v>
      </c>
      <c r="I37" s="7"/>
    </row>
    <row r="38" spans="2:9" ht="36" customHeight="1" x14ac:dyDescent="0.2">
      <c r="B38" s="325" t="s">
        <v>1866</v>
      </c>
      <c r="C38" s="2"/>
      <c r="D38" s="2"/>
      <c r="E38" s="2"/>
      <c r="F38" s="2"/>
      <c r="G38" s="2"/>
      <c r="H38" s="2"/>
      <c r="I38" s="2"/>
    </row>
    <row r="39" spans="2:9" ht="22" customHeight="1" x14ac:dyDescent="0.2">
      <c r="B39" s="55" t="s">
        <v>1347</v>
      </c>
      <c r="C39" s="2"/>
      <c r="D39" s="2"/>
      <c r="E39" s="2"/>
    </row>
    <row r="40" spans="2:9" ht="22" customHeight="1" x14ac:dyDescent="0.2">
      <c r="C40" s="2"/>
      <c r="D40" s="2"/>
      <c r="E40" s="2"/>
    </row>
    <row r="41" spans="2:9" ht="30" customHeight="1" x14ac:dyDescent="0.2">
      <c r="B41" s="1537" t="s">
        <v>1188</v>
      </c>
      <c r="C41" s="1537" t="s">
        <v>482</v>
      </c>
      <c r="D41" s="1537" t="s">
        <v>59</v>
      </c>
      <c r="E41" s="1537" t="s">
        <v>775</v>
      </c>
      <c r="F41" s="1537" t="s">
        <v>59</v>
      </c>
      <c r="G41" s="1538" t="s">
        <v>61</v>
      </c>
      <c r="H41" s="1537" t="s">
        <v>59</v>
      </c>
      <c r="I41" s="1539" t="s">
        <v>150</v>
      </c>
    </row>
    <row r="42" spans="2:9" ht="22" customHeight="1" x14ac:dyDescent="0.2">
      <c r="B42" s="1465" t="str">
        <f>$B$139</f>
        <v>Bouteilles plastiques</v>
      </c>
      <c r="C42" s="1493">
        <f>'ANNEXE A'!$C$247*C139/1000</f>
        <v>88.133115404232427</v>
      </c>
      <c r="D42" s="77" t="s">
        <v>1843</v>
      </c>
      <c r="E42" s="502">
        <f>$C$102</f>
        <v>1357.26</v>
      </c>
      <c r="F42" s="81" t="s">
        <v>591</v>
      </c>
      <c r="G42" s="355">
        <f>C42*E42/1000</f>
        <v>119.6195522135485</v>
      </c>
      <c r="H42" s="81" t="s">
        <v>71</v>
      </c>
      <c r="I42" s="475"/>
    </row>
    <row r="43" spans="2:9" ht="22" customHeight="1" x14ac:dyDescent="0.2">
      <c r="B43" s="1465" t="str">
        <f>$B$140</f>
        <v>Carton</v>
      </c>
      <c r="C43" s="1493">
        <f>'ANNEXE A'!$C$247*C140/1000</f>
        <v>461.00398826829274</v>
      </c>
      <c r="D43" s="77" t="s">
        <v>1843</v>
      </c>
      <c r="E43" s="502">
        <f>$C$103</f>
        <v>923.37</v>
      </c>
      <c r="F43" s="81" t="s">
        <v>591</v>
      </c>
      <c r="G43" s="355">
        <f t="shared" ref="G43:G46" si="1">C43*E43/1000</f>
        <v>425.67725264729347</v>
      </c>
      <c r="H43" s="81" t="s">
        <v>71</v>
      </c>
      <c r="I43" s="475"/>
    </row>
    <row r="44" spans="2:9" ht="22" customHeight="1" x14ac:dyDescent="0.2">
      <c r="B44" s="1465" t="str">
        <f>$B$141</f>
        <v>Verre</v>
      </c>
      <c r="C44" s="1493">
        <f>'ANNEXE A'!$C$247*C141/1000</f>
        <v>2169.4305330272596</v>
      </c>
      <c r="D44" s="77" t="s">
        <v>1843</v>
      </c>
      <c r="E44" s="502">
        <f>$C$107</f>
        <v>399.79999999999995</v>
      </c>
      <c r="F44" s="81" t="s">
        <v>591</v>
      </c>
      <c r="G44" s="355">
        <f t="shared" si="1"/>
        <v>867.33832710429829</v>
      </c>
      <c r="H44" s="81" t="s">
        <v>71</v>
      </c>
      <c r="I44" s="475"/>
    </row>
    <row r="45" spans="2:9" ht="22" customHeight="1" x14ac:dyDescent="0.2">
      <c r="B45" s="1465" t="str">
        <f>$B$142</f>
        <v>Bio-déchets (pelouse et alimentaire)</v>
      </c>
      <c r="C45" s="1493">
        <f>'ANNEXE A'!$C$247*C142/1000</f>
        <v>406.76822494261125</v>
      </c>
      <c r="D45" s="77" t="s">
        <v>1843</v>
      </c>
      <c r="E45" s="91">
        <f>$C$105</f>
        <v>33.270000000000003</v>
      </c>
      <c r="F45" s="81" t="s">
        <v>591</v>
      </c>
      <c r="G45" s="355">
        <f t="shared" si="1"/>
        <v>13.533178843840679</v>
      </c>
      <c r="H45" s="81" t="s">
        <v>71</v>
      </c>
      <c r="I45" s="475"/>
    </row>
    <row r="46" spans="2:9" customFormat="1" ht="22" customHeight="1" x14ac:dyDescent="0.2">
      <c r="B46" s="1465" t="str">
        <f>$B$143</f>
        <v>DIB</v>
      </c>
      <c r="C46" s="1493">
        <f>'ANNEXE A'!$C$247*C143/1000+'ANNEXE A'!$C$247*C144/1000</f>
        <v>3633.79614282066</v>
      </c>
      <c r="D46" s="77" t="s">
        <v>1843</v>
      </c>
      <c r="E46" s="502">
        <f>$C$106</f>
        <v>371.61999999999995</v>
      </c>
      <c r="F46" s="81" t="s">
        <v>591</v>
      </c>
      <c r="G46" s="355">
        <f t="shared" si="1"/>
        <v>1350.3913225950134</v>
      </c>
      <c r="H46" s="81" t="s">
        <v>71</v>
      </c>
      <c r="I46" s="1458" t="s">
        <v>1862</v>
      </c>
    </row>
    <row r="47" spans="2:9" customFormat="1" ht="24" customHeight="1" x14ac:dyDescent="0.2">
      <c r="B47" s="55"/>
      <c r="C47" s="55"/>
      <c r="D47" s="55"/>
      <c r="E47" s="55"/>
      <c r="F47" s="1374" t="s">
        <v>198</v>
      </c>
      <c r="G47" s="1663">
        <f>SUM(G42:G46)</f>
        <v>2776.5596334039947</v>
      </c>
      <c r="H47" s="1374" t="s">
        <v>71</v>
      </c>
      <c r="I47" s="1664"/>
    </row>
    <row r="48" spans="2:9" customFormat="1" ht="33" customHeight="1" x14ac:dyDescent="0.2"/>
    <row r="49" spans="2:9" ht="22" customHeight="1" thickBot="1" x14ac:dyDescent="0.25">
      <c r="B49" s="2"/>
      <c r="C49" s="2"/>
      <c r="D49" s="2"/>
      <c r="E49" s="2"/>
    </row>
    <row r="50" spans="2:9" ht="28" customHeight="1" thickBot="1" x14ac:dyDescent="0.25">
      <c r="B50" s="862" t="s">
        <v>765</v>
      </c>
      <c r="C50" s="863">
        <f>G47</f>
        <v>2776.5596334039947</v>
      </c>
      <c r="D50" s="864" t="s">
        <v>71</v>
      </c>
      <c r="E50" s="2"/>
    </row>
    <row r="51" spans="2:9" x14ac:dyDescent="0.2">
      <c r="B51" s="2"/>
      <c r="C51" s="2"/>
      <c r="D51" s="2"/>
      <c r="E51" s="2"/>
    </row>
    <row r="52" spans="2:9" x14ac:dyDescent="0.2">
      <c r="B52" s="2"/>
      <c r="C52" s="2"/>
      <c r="D52" s="2"/>
      <c r="E52" s="2"/>
    </row>
    <row r="53" spans="2:9" x14ac:dyDescent="0.2">
      <c r="B53" s="2"/>
      <c r="C53" s="2"/>
      <c r="D53" s="2"/>
      <c r="E53" s="2"/>
    </row>
    <row r="54" spans="2:9" ht="23" x14ac:dyDescent="0.2">
      <c r="B54" s="433" t="s">
        <v>1352</v>
      </c>
      <c r="C54" s="2"/>
      <c r="D54" s="2"/>
      <c r="E54" s="2"/>
    </row>
    <row r="55" spans="2:9" ht="23" hidden="1" outlineLevel="1" x14ac:dyDescent="0.2">
      <c r="B55" s="433"/>
      <c r="C55" s="2"/>
      <c r="D55" s="2"/>
      <c r="E55" s="2"/>
    </row>
    <row r="56" spans="2:9" ht="18" hidden="1" outlineLevel="1" x14ac:dyDescent="0.2">
      <c r="B56" s="75" t="s">
        <v>1840</v>
      </c>
      <c r="C56"/>
      <c r="D56"/>
      <c r="E56"/>
      <c r="F56"/>
    </row>
    <row r="57" spans="2:9" hidden="1" outlineLevel="1" x14ac:dyDescent="0.2">
      <c r="C57"/>
      <c r="D57"/>
      <c r="E57"/>
      <c r="F57"/>
    </row>
    <row r="58" spans="2:9" hidden="1" outlineLevel="1" x14ac:dyDescent="0.15">
      <c r="B58" s="1499" t="s">
        <v>1836</v>
      </c>
      <c r="C58" s="1472"/>
      <c r="D58" s="1472"/>
      <c r="E58" s="1472"/>
      <c r="F58" s="1472"/>
      <c r="G58" s="1472"/>
      <c r="H58" s="1472"/>
    </row>
    <row r="59" spans="2:9" hidden="1" outlineLevel="1" x14ac:dyDescent="0.15">
      <c r="B59" s="1498" t="s">
        <v>1837</v>
      </c>
      <c r="C59" s="1472"/>
      <c r="D59" s="1472"/>
      <c r="E59" s="1472"/>
      <c r="F59" s="1472"/>
      <c r="G59" s="1472"/>
      <c r="H59" s="1472"/>
      <c r="I59" s="1464"/>
    </row>
    <row r="60" spans="2:9" hidden="1" outlineLevel="1" x14ac:dyDescent="0.15">
      <c r="B60" s="1498"/>
      <c r="C60" s="1472"/>
      <c r="D60" s="1472"/>
      <c r="E60" s="1472"/>
      <c r="F60" s="1472"/>
      <c r="G60" s="1472"/>
      <c r="H60" s="1472"/>
      <c r="I60" s="1464"/>
    </row>
    <row r="61" spans="2:9" hidden="1" outlineLevel="1" x14ac:dyDescent="0.2">
      <c r="B61" s="1500" t="s">
        <v>1801</v>
      </c>
      <c r="C61" s="1500" t="s">
        <v>1802</v>
      </c>
      <c r="D61" s="1500" t="s">
        <v>1803</v>
      </c>
      <c r="E61" s="1500" t="s">
        <v>1804</v>
      </c>
      <c r="F61" s="1500" t="s">
        <v>1805</v>
      </c>
      <c r="G61" s="1500" t="s">
        <v>1806</v>
      </c>
      <c r="H61" s="1500" t="s">
        <v>13</v>
      </c>
    </row>
    <row r="62" spans="2:9" hidden="1" outlineLevel="1" x14ac:dyDescent="0.2">
      <c r="B62" s="1497" t="s">
        <v>1807</v>
      </c>
      <c r="C62" s="1496">
        <v>0.57999999999999985</v>
      </c>
      <c r="D62" s="1496">
        <v>0.32</v>
      </c>
      <c r="E62" s="1496">
        <v>0.1</v>
      </c>
      <c r="F62" s="1496">
        <v>0</v>
      </c>
      <c r="G62" s="1496">
        <v>0</v>
      </c>
      <c r="H62" s="1496">
        <v>0.99999999999999989</v>
      </c>
    </row>
    <row r="63" spans="2:9" hidden="1" outlineLevel="1" x14ac:dyDescent="0.2">
      <c r="B63" s="1497" t="s">
        <v>1808</v>
      </c>
      <c r="C63" s="1496">
        <v>0.11999999999999998</v>
      </c>
      <c r="D63" s="1496">
        <v>7.0000000000000007E-2</v>
      </c>
      <c r="E63" s="1496">
        <v>0.8</v>
      </c>
      <c r="F63" s="1496">
        <v>0.01</v>
      </c>
      <c r="G63" s="1496">
        <v>0</v>
      </c>
      <c r="H63" s="1496">
        <v>1</v>
      </c>
    </row>
    <row r="64" spans="2:9" hidden="1" outlineLevel="1" x14ac:dyDescent="0.2">
      <c r="B64" s="1497" t="s">
        <v>1809</v>
      </c>
      <c r="C64" s="1496">
        <v>0.23999999999999996</v>
      </c>
      <c r="D64" s="1496">
        <v>0.14000000000000001</v>
      </c>
      <c r="E64" s="1496">
        <v>0.6</v>
      </c>
      <c r="F64" s="1496">
        <v>0.02</v>
      </c>
      <c r="G64" s="1496">
        <v>0</v>
      </c>
      <c r="H64" s="1496">
        <v>1</v>
      </c>
    </row>
    <row r="65" spans="2:9" hidden="1" outlineLevel="1" x14ac:dyDescent="0.2">
      <c r="B65" s="1497" t="s">
        <v>1810</v>
      </c>
      <c r="C65" s="1496">
        <v>0.55000000000000004</v>
      </c>
      <c r="D65" s="1496">
        <v>0.30999999999999994</v>
      </c>
      <c r="E65" s="1496">
        <v>0</v>
      </c>
      <c r="F65" s="1496">
        <v>0.12</v>
      </c>
      <c r="G65" s="1496">
        <v>0.02</v>
      </c>
      <c r="H65" s="1496">
        <v>1</v>
      </c>
    </row>
    <row r="66" spans="2:9" ht="30" hidden="1" outlineLevel="1" x14ac:dyDescent="0.2">
      <c r="B66" s="1497" t="s">
        <v>1811</v>
      </c>
      <c r="C66" s="1496">
        <v>0.4</v>
      </c>
      <c r="D66" s="1496">
        <v>0.55000000000000004</v>
      </c>
      <c r="E66" s="1496">
        <v>0.01</v>
      </c>
      <c r="F66" s="1496">
        <v>0.03</v>
      </c>
      <c r="G66" s="1496">
        <v>0.01</v>
      </c>
      <c r="H66" s="1496">
        <v>1</v>
      </c>
    </row>
    <row r="67" spans="2:9" hidden="1" outlineLevel="1" x14ac:dyDescent="0.2">
      <c r="B67" s="81" t="s">
        <v>1206</v>
      </c>
      <c r="C67" s="1496">
        <v>0.4</v>
      </c>
      <c r="D67" s="1496">
        <v>0</v>
      </c>
      <c r="E67" s="1496">
        <v>0.6</v>
      </c>
      <c r="F67" s="1496">
        <v>0</v>
      </c>
      <c r="G67" s="1496">
        <v>0</v>
      </c>
      <c r="H67" s="1496">
        <v>1</v>
      </c>
      <c r="I67" s="86"/>
    </row>
    <row r="68" spans="2:9" hidden="1" outlineLevel="1" x14ac:dyDescent="0.2">
      <c r="B68"/>
      <c r="C68"/>
      <c r="D68"/>
      <c r="E68"/>
    </row>
    <row r="69" spans="2:9" hidden="1" outlineLevel="1" x14ac:dyDescent="0.2">
      <c r="B69" s="1499" t="s">
        <v>1836</v>
      </c>
      <c r="C69"/>
      <c r="D69"/>
      <c r="E69"/>
    </row>
    <row r="70" spans="2:9" hidden="1" outlineLevel="1" x14ac:dyDescent="0.2">
      <c r="B70" s="142" t="s">
        <v>1838</v>
      </c>
      <c r="C70" s="142"/>
      <c r="D70" s="142"/>
      <c r="E70"/>
    </row>
    <row r="71" spans="2:9" hidden="1" outlineLevel="1" x14ac:dyDescent="0.2">
      <c r="B71" s="142"/>
      <c r="C71" s="142"/>
      <c r="D71" s="142"/>
      <c r="E71"/>
    </row>
    <row r="72" spans="2:9" ht="34" hidden="1" outlineLevel="1" x14ac:dyDescent="0.2">
      <c r="B72" s="74" t="s">
        <v>1812</v>
      </c>
      <c r="C72" s="74" t="s">
        <v>1820</v>
      </c>
      <c r="D72" s="74" t="s">
        <v>1821</v>
      </c>
      <c r="E72"/>
    </row>
    <row r="73" spans="2:9" hidden="1" outlineLevel="1" x14ac:dyDescent="0.2">
      <c r="B73" s="3058" t="s">
        <v>1822</v>
      </c>
      <c r="C73" s="1509" t="s">
        <v>1823</v>
      </c>
      <c r="D73" s="1510">
        <v>1210</v>
      </c>
      <c r="E73"/>
    </row>
    <row r="74" spans="2:9" hidden="1" outlineLevel="1" x14ac:dyDescent="0.2">
      <c r="B74" s="3058"/>
      <c r="C74" s="1509" t="s">
        <v>1802</v>
      </c>
      <c r="D74" s="1510">
        <v>737</v>
      </c>
      <c r="E74"/>
    </row>
    <row r="75" spans="2:9" hidden="1" outlineLevel="1" x14ac:dyDescent="0.2">
      <c r="B75" s="3058"/>
      <c r="C75" s="1509" t="s">
        <v>1803</v>
      </c>
      <c r="D75" s="1478">
        <v>2770</v>
      </c>
      <c r="E75"/>
    </row>
    <row r="76" spans="2:9" hidden="1" outlineLevel="1" x14ac:dyDescent="0.2">
      <c r="B76" s="3058"/>
      <c r="C76" s="1509" t="s">
        <v>1804</v>
      </c>
      <c r="D76" s="1478">
        <v>434</v>
      </c>
      <c r="E76"/>
    </row>
    <row r="77" spans="2:9" hidden="1" outlineLevel="1" x14ac:dyDescent="0.2">
      <c r="B77" s="3058" t="s">
        <v>1824</v>
      </c>
      <c r="C77" s="1509" t="s">
        <v>1823</v>
      </c>
      <c r="D77" s="1478">
        <v>737</v>
      </c>
      <c r="E77"/>
    </row>
    <row r="78" spans="2:9" ht="23" hidden="1" customHeight="1" outlineLevel="1" x14ac:dyDescent="0.2">
      <c r="B78" s="3058"/>
      <c r="C78" s="1509" t="s">
        <v>1802</v>
      </c>
      <c r="D78" s="1478">
        <v>950</v>
      </c>
      <c r="E78"/>
    </row>
    <row r="79" spans="2:9" hidden="1" outlineLevel="1" x14ac:dyDescent="0.2">
      <c r="B79" s="3058"/>
      <c r="C79" s="1509" t="s">
        <v>1803</v>
      </c>
      <c r="D79" s="1478">
        <v>120</v>
      </c>
      <c r="E79"/>
    </row>
    <row r="80" spans="2:9" hidden="1" outlineLevel="1" x14ac:dyDescent="0.2">
      <c r="B80" s="3058"/>
      <c r="C80" s="1509" t="s">
        <v>1804</v>
      </c>
      <c r="D80" s="1478">
        <v>992</v>
      </c>
      <c r="E80"/>
    </row>
    <row r="81" spans="2:11" hidden="1" outlineLevel="1" x14ac:dyDescent="0.2">
      <c r="B81" s="3058" t="s">
        <v>1190</v>
      </c>
      <c r="C81" s="1509" t="s">
        <v>1823</v>
      </c>
      <c r="D81" s="1478" t="s">
        <v>1825</v>
      </c>
      <c r="E81"/>
    </row>
    <row r="82" spans="2:11" hidden="1" outlineLevel="1" x14ac:dyDescent="0.2">
      <c r="B82" s="3058"/>
      <c r="C82" s="1509" t="s">
        <v>1802</v>
      </c>
      <c r="D82" s="1478">
        <v>950</v>
      </c>
      <c r="E82"/>
    </row>
    <row r="83" spans="2:11" hidden="1" outlineLevel="1" x14ac:dyDescent="0.2">
      <c r="B83" s="3058"/>
      <c r="C83" s="1509" t="s">
        <v>1803</v>
      </c>
      <c r="D83" s="1478">
        <v>47</v>
      </c>
      <c r="E83"/>
    </row>
    <row r="84" spans="2:11" hidden="1" outlineLevel="1" x14ac:dyDescent="0.2">
      <c r="B84" s="3058"/>
      <c r="C84" s="1509" t="s">
        <v>1804</v>
      </c>
      <c r="D84" s="1478">
        <v>992</v>
      </c>
      <c r="E84"/>
    </row>
    <row r="85" spans="2:11" hidden="1" outlineLevel="1" x14ac:dyDescent="0.2">
      <c r="B85" s="3058" t="s">
        <v>1826</v>
      </c>
      <c r="C85" s="1509" t="s">
        <v>1823</v>
      </c>
      <c r="D85" s="1478" t="s">
        <v>1825</v>
      </c>
      <c r="E85"/>
    </row>
    <row r="86" spans="2:11" hidden="1" outlineLevel="1" x14ac:dyDescent="0.2">
      <c r="B86" s="3058"/>
      <c r="C86" s="1509" t="s">
        <v>1802</v>
      </c>
      <c r="D86" s="1478">
        <v>28</v>
      </c>
      <c r="E86"/>
    </row>
    <row r="87" spans="2:11" hidden="1" outlineLevel="1" x14ac:dyDescent="0.2">
      <c r="B87" s="3058"/>
      <c r="C87" s="1509" t="s">
        <v>1803</v>
      </c>
      <c r="D87" s="1478">
        <v>45</v>
      </c>
      <c r="E87"/>
    </row>
    <row r="88" spans="2:11" hidden="1" outlineLevel="1" x14ac:dyDescent="0.2">
      <c r="B88" s="3058"/>
      <c r="C88" s="1509" t="s">
        <v>1805</v>
      </c>
      <c r="D88" s="1478">
        <v>28</v>
      </c>
      <c r="E88"/>
    </row>
    <row r="89" spans="2:11" hidden="1" outlineLevel="1" x14ac:dyDescent="0.2">
      <c r="B89" s="3058" t="s">
        <v>1827</v>
      </c>
      <c r="C89" s="1509" t="s">
        <v>1823</v>
      </c>
      <c r="D89" s="1478">
        <v>386</v>
      </c>
      <c r="E89"/>
    </row>
    <row r="90" spans="2:11" hidden="1" outlineLevel="1" x14ac:dyDescent="0.2">
      <c r="B90" s="3058"/>
      <c r="C90" s="1509" t="s">
        <v>1802</v>
      </c>
      <c r="D90" s="1478">
        <v>412</v>
      </c>
      <c r="E90"/>
    </row>
    <row r="91" spans="2:11" hidden="1" outlineLevel="1" x14ac:dyDescent="0.2">
      <c r="B91" s="3058"/>
      <c r="C91" s="1509" t="s">
        <v>1803</v>
      </c>
      <c r="D91" s="1478">
        <v>374</v>
      </c>
      <c r="E91"/>
    </row>
    <row r="92" spans="2:11" hidden="1" outlineLevel="1" x14ac:dyDescent="0.2">
      <c r="B92" s="3058"/>
      <c r="C92" s="1509" t="s">
        <v>1805</v>
      </c>
      <c r="D92" s="1478">
        <v>28</v>
      </c>
      <c r="E92"/>
      <c r="K92" s="1502"/>
    </row>
    <row r="93" spans="2:11" ht="16" hidden="1" customHeight="1" outlineLevel="1" x14ac:dyDescent="0.2">
      <c r="B93" s="3058" t="s">
        <v>1206</v>
      </c>
      <c r="C93" s="1509" t="s">
        <v>1823</v>
      </c>
      <c r="D93" s="1572">
        <v>496</v>
      </c>
      <c r="E93"/>
      <c r="K93" s="1502"/>
    </row>
    <row r="94" spans="2:11" hidden="1" outlineLevel="1" x14ac:dyDescent="0.2">
      <c r="B94" s="3058"/>
      <c r="C94" s="1509" t="s">
        <v>1802</v>
      </c>
      <c r="D94" s="1572">
        <v>41</v>
      </c>
      <c r="E94"/>
      <c r="K94" s="1502"/>
    </row>
    <row r="95" spans="2:11" hidden="1" outlineLevel="1" x14ac:dyDescent="0.2">
      <c r="B95" s="3058"/>
      <c r="C95" s="1509" t="s">
        <v>1803</v>
      </c>
      <c r="D95" s="1572">
        <v>130</v>
      </c>
      <c r="E95"/>
      <c r="K95" s="1502"/>
    </row>
    <row r="96" spans="2:11" hidden="1" outlineLevel="1" x14ac:dyDescent="0.2">
      <c r="B96" s="3058"/>
      <c r="C96" s="1509" t="s">
        <v>1804</v>
      </c>
      <c r="D96" s="1572">
        <v>639</v>
      </c>
      <c r="E96"/>
      <c r="K96" s="1502"/>
    </row>
    <row r="97" spans="2:11" hidden="1" outlineLevel="1" x14ac:dyDescent="0.2">
      <c r="B97" s="1334"/>
      <c r="C97" s="2"/>
      <c r="D97" s="1482"/>
      <c r="E97"/>
      <c r="K97" s="1502"/>
    </row>
    <row r="98" spans="2:11" hidden="1" outlineLevel="1" x14ac:dyDescent="0.2">
      <c r="B98" s="1511" t="s">
        <v>1854</v>
      </c>
      <c r="C98" s="1482"/>
      <c r="D98" s="1482"/>
      <c r="E98"/>
      <c r="K98" s="1502"/>
    </row>
    <row r="99" spans="2:11" hidden="1" outlineLevel="1" x14ac:dyDescent="0.2">
      <c r="B99" s="1525" t="s">
        <v>1839</v>
      </c>
      <c r="C99" s="1482"/>
      <c r="D99" s="1482"/>
      <c r="E99"/>
      <c r="K99" s="1502"/>
    </row>
    <row r="100" spans="2:11" ht="17" hidden="1" outlineLevel="1" thickBot="1" x14ac:dyDescent="0.25">
      <c r="B100" s="1525"/>
      <c r="C100" s="1482"/>
      <c r="D100" s="1482"/>
      <c r="E100"/>
      <c r="K100" s="1502"/>
    </row>
    <row r="101" spans="2:11" ht="35" hidden="1" outlineLevel="1" thickBot="1" x14ac:dyDescent="0.25">
      <c r="B101" s="1573" t="s">
        <v>1828</v>
      </c>
      <c r="C101" s="1574">
        <v>2022</v>
      </c>
      <c r="D101"/>
      <c r="E101"/>
      <c r="K101" s="1502"/>
    </row>
    <row r="102" spans="2:11" hidden="1" outlineLevel="1" x14ac:dyDescent="0.2">
      <c r="B102" s="1575" t="s">
        <v>1822</v>
      </c>
      <c r="C102" s="580">
        <f>C62*D74+D62*D75+E62*D76</f>
        <v>1357.26</v>
      </c>
      <c r="D102"/>
      <c r="E102"/>
      <c r="K102" s="1502"/>
    </row>
    <row r="103" spans="2:11" hidden="1" outlineLevel="1" x14ac:dyDescent="0.2">
      <c r="B103" s="1527" t="s">
        <v>1824</v>
      </c>
      <c r="C103" s="1545">
        <f>C63*D78+D63*D79+E63*D80+F63*D77</f>
        <v>923.37</v>
      </c>
      <c r="D103"/>
      <c r="E103"/>
      <c r="K103" s="1502"/>
    </row>
    <row r="104" spans="2:11" hidden="1" outlineLevel="1" x14ac:dyDescent="0.2">
      <c r="B104" s="1527" t="s">
        <v>1190</v>
      </c>
      <c r="C104" s="1545">
        <f>C64*D82+D64*D83+E64*D84+F64*D82</f>
        <v>848.78</v>
      </c>
      <c r="D104"/>
      <c r="E104"/>
      <c r="K104" s="1502"/>
    </row>
    <row r="105" spans="2:11" hidden="1" outlineLevel="1" x14ac:dyDescent="0.2">
      <c r="B105" s="1527" t="s">
        <v>1826</v>
      </c>
      <c r="C105" s="1545">
        <f>C65*D86+D65*D87+F65*D88+G65*D88</f>
        <v>33.270000000000003</v>
      </c>
      <c r="D105"/>
      <c r="E105"/>
      <c r="K105" s="1502"/>
    </row>
    <row r="106" spans="2:11" hidden="1" outlineLevel="1" x14ac:dyDescent="0.2">
      <c r="B106" s="1527" t="s">
        <v>1827</v>
      </c>
      <c r="C106" s="1545">
        <f>C66*D90+D66*D91+F66*D92+G66*D92</f>
        <v>371.61999999999995</v>
      </c>
      <c r="D106"/>
      <c r="E106"/>
      <c r="K106" s="1502"/>
    </row>
    <row r="107" spans="2:11" ht="17" hidden="1" outlineLevel="1" thickBot="1" x14ac:dyDescent="0.25">
      <c r="B107" s="1528" t="s">
        <v>1206</v>
      </c>
      <c r="C107" s="1546">
        <f>D94*C67+D96*E67</f>
        <v>399.79999999999995</v>
      </c>
      <c r="D107"/>
      <c r="E107"/>
      <c r="K107" s="1502"/>
    </row>
    <row r="108" spans="2:11" hidden="1" outlineLevel="1" x14ac:dyDescent="0.2"/>
    <row r="109" spans="2:11" hidden="1" outlineLevel="1" x14ac:dyDescent="0.2"/>
    <row r="110" spans="2:11" ht="23" hidden="1" customHeight="1" outlineLevel="1" x14ac:dyDescent="0.2">
      <c r="B110" s="75" t="s">
        <v>1191</v>
      </c>
    </row>
    <row r="111" spans="2:11" ht="23" hidden="1" customHeight="1" outlineLevel="1" x14ac:dyDescent="0.2">
      <c r="B111" s="118" t="s">
        <v>1357</v>
      </c>
    </row>
    <row r="112" spans="2:11" ht="23" hidden="1" customHeight="1" outlineLevel="1" x14ac:dyDescent="0.2">
      <c r="B112" s="86" t="s">
        <v>1829</v>
      </c>
    </row>
    <row r="113" spans="2:9" ht="34" hidden="1" outlineLevel="1" x14ac:dyDescent="0.2">
      <c r="B113" s="444" t="s">
        <v>1830</v>
      </c>
      <c r="C113" s="405">
        <v>3</v>
      </c>
      <c r="D113" s="1485" t="s">
        <v>1194</v>
      </c>
      <c r="E113" s="405"/>
      <c r="F113" s="405"/>
      <c r="G113" s="405"/>
      <c r="H113" s="405"/>
      <c r="I113" s="447"/>
    </row>
    <row r="114" spans="2:9" ht="17" hidden="1" outlineLevel="1" x14ac:dyDescent="0.2">
      <c r="B114" s="448"/>
      <c r="C114" s="55">
        <v>1.5</v>
      </c>
      <c r="D114" s="112" t="s">
        <v>1195</v>
      </c>
      <c r="I114" s="450"/>
    </row>
    <row r="115" spans="2:9" ht="34" hidden="1" outlineLevel="1" x14ac:dyDescent="0.2">
      <c r="B115" s="1486" t="s">
        <v>434</v>
      </c>
      <c r="C115" s="55">
        <f>SUM(C113:C114)</f>
        <v>4.5</v>
      </c>
      <c r="D115" s="112" t="s">
        <v>1196</v>
      </c>
      <c r="E115" s="55">
        <v>11095</v>
      </c>
      <c r="F115" s="112" t="s">
        <v>1833</v>
      </c>
      <c r="G115" s="362">
        <f>(C115*1000)/E115</f>
        <v>0.40558810274898605</v>
      </c>
      <c r="H115" s="55" t="s">
        <v>1832</v>
      </c>
      <c r="I115" s="450" t="s">
        <v>1197</v>
      </c>
    </row>
    <row r="116" spans="2:9" ht="34" hidden="1" outlineLevel="1" x14ac:dyDescent="0.2">
      <c r="B116" s="448" t="s">
        <v>1831</v>
      </c>
      <c r="C116" s="55">
        <v>10</v>
      </c>
      <c r="D116" s="1490" t="s">
        <v>1198</v>
      </c>
      <c r="E116" s="55">
        <v>24748</v>
      </c>
      <c r="F116" s="112" t="s">
        <v>1833</v>
      </c>
      <c r="G116" s="362">
        <f>(C116*1000)/E116</f>
        <v>0.4040730564085987</v>
      </c>
      <c r="H116" s="55" t="s">
        <v>1832</v>
      </c>
      <c r="I116" s="1489" t="s">
        <v>1199</v>
      </c>
    </row>
    <row r="117" spans="2:9" hidden="1" outlineLevel="1" x14ac:dyDescent="0.2">
      <c r="B117" s="451"/>
      <c r="C117" s="453"/>
      <c r="D117" s="453"/>
      <c r="E117" s="453"/>
      <c r="F117" s="1487" t="s">
        <v>1201</v>
      </c>
      <c r="G117" s="1488">
        <f>AVERAGE(G115:G116)</f>
        <v>0.40483057957879237</v>
      </c>
      <c r="H117" s="1487" t="s">
        <v>1832</v>
      </c>
      <c r="I117" s="454"/>
    </row>
    <row r="118" spans="2:9" hidden="1" outlineLevel="1" x14ac:dyDescent="0.2">
      <c r="F118" s="328"/>
      <c r="G118" s="117"/>
      <c r="H118" s="328"/>
    </row>
    <row r="119" spans="2:9" hidden="1" outlineLevel="1" x14ac:dyDescent="0.2">
      <c r="B119" s="118" t="s">
        <v>1357</v>
      </c>
    </row>
    <row r="120" spans="2:9" hidden="1" outlineLevel="1" x14ac:dyDescent="0.2">
      <c r="B120" s="55" t="s">
        <v>1834</v>
      </c>
      <c r="C120" s="650"/>
      <c r="D120" s="650"/>
    </row>
    <row r="121" spans="2:9" hidden="1" outlineLevel="1" x14ac:dyDescent="0.2">
      <c r="B121" s="650"/>
      <c r="C121" s="650"/>
      <c r="D121" s="650"/>
    </row>
    <row r="122" spans="2:9" hidden="1" outlineLevel="1" x14ac:dyDescent="0.2">
      <c r="B122" s="650" t="s">
        <v>1202</v>
      </c>
      <c r="C122" s="650">
        <v>47361</v>
      </c>
      <c r="D122" s="650"/>
    </row>
    <row r="123" spans="2:9" hidden="1" outlineLevel="1" x14ac:dyDescent="0.2">
      <c r="B123" s="650" t="s">
        <v>1203</v>
      </c>
      <c r="C123" s="650">
        <v>23</v>
      </c>
      <c r="D123" s="650"/>
    </row>
    <row r="124" spans="2:9" hidden="1" outlineLevel="1" x14ac:dyDescent="0.2">
      <c r="B124" s="650"/>
      <c r="C124" s="650"/>
      <c r="D124" s="650"/>
    </row>
    <row r="125" spans="2:9" hidden="1" outlineLevel="1" x14ac:dyDescent="0.2">
      <c r="B125" s="653" t="s">
        <v>1192</v>
      </c>
      <c r="C125" s="653" t="s">
        <v>482</v>
      </c>
      <c r="D125" s="653" t="s">
        <v>59</v>
      </c>
      <c r="E125" s="653" t="s">
        <v>1193</v>
      </c>
      <c r="F125" s="653" t="s">
        <v>1832</v>
      </c>
      <c r="G125"/>
    </row>
    <row r="126" spans="2:9" hidden="1" outlineLevel="1" x14ac:dyDescent="0.2">
      <c r="B126" s="651" t="s">
        <v>1204</v>
      </c>
      <c r="C126" s="1466">
        <f>E126*$C$132</f>
        <v>4.1961399999999998</v>
      </c>
      <c r="D126" s="651" t="s">
        <v>1205</v>
      </c>
      <c r="E126" s="1467">
        <v>1.2999999999999999E-2</v>
      </c>
      <c r="F126" s="1468">
        <f t="shared" ref="F126:F131" si="2">C126*1000/$C$123/$C$122</f>
        <v>3.8521329694309104E-3</v>
      </c>
    </row>
    <row r="127" spans="2:9" hidden="1" outlineLevel="1" x14ac:dyDescent="0.2">
      <c r="B127" s="651" t="s">
        <v>1189</v>
      </c>
      <c r="C127" s="1466">
        <f>E127*$C$132</f>
        <v>21.94904</v>
      </c>
      <c r="D127" s="651" t="s">
        <v>1205</v>
      </c>
      <c r="E127" s="1467">
        <v>6.8000000000000005E-2</v>
      </c>
      <c r="F127" s="1468">
        <f t="shared" si="2"/>
        <v>2.014961860933092E-2</v>
      </c>
    </row>
    <row r="128" spans="2:9" hidden="1" outlineLevel="1" x14ac:dyDescent="0.2">
      <c r="B128" s="651" t="s">
        <v>1206</v>
      </c>
      <c r="C128" s="1466">
        <f>E128*$C$132</f>
        <v>103.28959999999999</v>
      </c>
      <c r="D128" s="651" t="s">
        <v>1205</v>
      </c>
      <c r="E128" s="1469">
        <v>0.32</v>
      </c>
      <c r="F128" s="1468">
        <f t="shared" si="2"/>
        <v>9.4821734632145493E-2</v>
      </c>
    </row>
    <row r="129" spans="2:6" hidden="1" outlineLevel="1" x14ac:dyDescent="0.2">
      <c r="B129" s="651" t="s">
        <v>1207</v>
      </c>
      <c r="C129" s="1466">
        <f>E129*$C$132</f>
        <v>19.366799999999998</v>
      </c>
      <c r="D129" s="651" t="s">
        <v>1205</v>
      </c>
      <c r="E129" s="1467">
        <v>0.06</v>
      </c>
      <c r="F129" s="1468">
        <f t="shared" si="2"/>
        <v>1.7779075243527283E-2</v>
      </c>
    </row>
    <row r="130" spans="2:6" hidden="1" outlineLevel="1" x14ac:dyDescent="0.2">
      <c r="B130" s="651" t="s">
        <v>1208</v>
      </c>
      <c r="C130" s="1466">
        <f>E130*$C$132</f>
        <v>156.87107999999998</v>
      </c>
      <c r="D130" s="651" t="s">
        <v>1205</v>
      </c>
      <c r="E130" s="1467">
        <v>0.48599999999999999</v>
      </c>
      <c r="F130" s="1468">
        <f t="shared" si="2"/>
        <v>0.14401050947257099</v>
      </c>
    </row>
    <row r="131" spans="2:6" hidden="1" outlineLevel="1" x14ac:dyDescent="0.2">
      <c r="B131" s="651" t="s">
        <v>11</v>
      </c>
      <c r="C131" s="651">
        <v>16.100000000000001</v>
      </c>
      <c r="D131" s="651" t="s">
        <v>1205</v>
      </c>
      <c r="E131" s="1327">
        <v>0.05</v>
      </c>
      <c r="F131" s="1468">
        <f t="shared" si="2"/>
        <v>1.4780093325732145E-2</v>
      </c>
    </row>
    <row r="132" spans="2:6" hidden="1" outlineLevel="1" x14ac:dyDescent="0.2">
      <c r="B132" s="653" t="s">
        <v>198</v>
      </c>
      <c r="C132" s="653">
        <v>322.77999999999997</v>
      </c>
      <c r="D132" s="653" t="s">
        <v>1205</v>
      </c>
      <c r="E132" s="1330">
        <v>1</v>
      </c>
      <c r="F132" s="1470">
        <f>SUM(F126:F131)</f>
        <v>0.29539316425273776</v>
      </c>
    </row>
    <row r="133" spans="2:6" hidden="1" outlineLevel="1" x14ac:dyDescent="0.2">
      <c r="B133" s="1471" t="s">
        <v>1200</v>
      </c>
      <c r="C133" s="1484">
        <f>C132/C123</f>
        <v>14.033913043478259</v>
      </c>
      <c r="D133" s="1471" t="s">
        <v>1209</v>
      </c>
      <c r="E133" s="651"/>
      <c r="F133" s="1471">
        <v>0.27</v>
      </c>
    </row>
    <row r="134" spans="2:6" hidden="1" outlineLevel="1" x14ac:dyDescent="0.2"/>
    <row r="135" spans="2:6" hidden="1" outlineLevel="1" x14ac:dyDescent="0.2">
      <c r="B135" s="118" t="s">
        <v>1357</v>
      </c>
    </row>
    <row r="136" spans="2:6" hidden="1" outlineLevel="1" x14ac:dyDescent="0.2">
      <c r="B136" s="55" t="s">
        <v>1835</v>
      </c>
    </row>
    <row r="137" spans="2:6" ht="17" hidden="1" outlineLevel="1" thickBot="1" x14ac:dyDescent="0.25">
      <c r="B137" s="650"/>
      <c r="C137" s="1491"/>
    </row>
    <row r="138" spans="2:6" ht="35" hidden="1" outlineLevel="1" thickBot="1" x14ac:dyDescent="0.25">
      <c r="B138" s="1529" t="s">
        <v>1192</v>
      </c>
      <c r="C138" s="1526" t="s">
        <v>1869</v>
      </c>
      <c r="D138" s="1532" t="s">
        <v>1193</v>
      </c>
      <c r="E138"/>
      <c r="F138"/>
    </row>
    <row r="139" spans="2:6" hidden="1" outlineLevel="1" x14ac:dyDescent="0.2">
      <c r="B139" s="1530" t="s">
        <v>1204</v>
      </c>
      <c r="C139" s="1535">
        <f>$C$145*E126</f>
        <v>4.6785316896828669E-3</v>
      </c>
      <c r="D139" s="1533">
        <f>C139/$C$145</f>
        <v>1.2999999999999999E-2</v>
      </c>
      <c r="E139"/>
      <c r="F139"/>
    </row>
    <row r="140" spans="2:6" hidden="1" outlineLevel="1" x14ac:dyDescent="0.2">
      <c r="B140" s="1531" t="s">
        <v>1189</v>
      </c>
      <c r="C140" s="1536">
        <f t="shared" ref="C140:C144" si="3">$C$145*E127</f>
        <v>2.4472319607571919E-2</v>
      </c>
      <c r="D140" s="1534">
        <f t="shared" ref="D140:D145" si="4">C140/$C$145</f>
        <v>6.8000000000000005E-2</v>
      </c>
      <c r="E140"/>
      <c r="F140"/>
    </row>
    <row r="141" spans="2:6" hidden="1" outlineLevel="1" x14ac:dyDescent="0.2">
      <c r="B141" s="1531" t="s">
        <v>1206</v>
      </c>
      <c r="C141" s="1536">
        <f t="shared" si="3"/>
        <v>0.11516385697680903</v>
      </c>
      <c r="D141" s="1534">
        <f t="shared" si="4"/>
        <v>0.32</v>
      </c>
      <c r="E141"/>
      <c r="F141"/>
    </row>
    <row r="142" spans="2:6" hidden="1" outlineLevel="1" x14ac:dyDescent="0.2">
      <c r="B142" s="1531" t="s">
        <v>1207</v>
      </c>
      <c r="C142" s="1536">
        <f t="shared" si="3"/>
        <v>2.1593223183151693E-2</v>
      </c>
      <c r="D142" s="1534">
        <f t="shared" si="4"/>
        <v>0.06</v>
      </c>
      <c r="E142"/>
      <c r="F142"/>
    </row>
    <row r="143" spans="2:6" hidden="1" outlineLevel="1" x14ac:dyDescent="0.2">
      <c r="B143" s="1531" t="s">
        <v>1208</v>
      </c>
      <c r="C143" s="1536">
        <f t="shared" si="3"/>
        <v>0.17490510778352872</v>
      </c>
      <c r="D143" s="1534">
        <f t="shared" si="4"/>
        <v>0.48599999999999999</v>
      </c>
      <c r="E143"/>
      <c r="F143"/>
    </row>
    <row r="144" spans="2:6" ht="17" hidden="1" outlineLevel="1" thickBot="1" x14ac:dyDescent="0.25">
      <c r="B144" s="1540" t="s">
        <v>11</v>
      </c>
      <c r="C144" s="1541">
        <f t="shared" si="3"/>
        <v>1.7994352652626413E-2</v>
      </c>
      <c r="D144" s="1542">
        <f t="shared" si="4"/>
        <v>0.05</v>
      </c>
      <c r="E144"/>
      <c r="F144"/>
    </row>
    <row r="145" spans="2:15" ht="17" hidden="1" outlineLevel="1" thickBot="1" x14ac:dyDescent="0.25">
      <c r="B145" s="1543" t="s">
        <v>13</v>
      </c>
      <c r="C145" s="1544">
        <f>AVERAGE(F133,G116,G115)</f>
        <v>0.35988705305252822</v>
      </c>
      <c r="D145" s="285">
        <f t="shared" si="4"/>
        <v>1</v>
      </c>
      <c r="E145"/>
      <c r="F145"/>
    </row>
    <row r="146" spans="2:15" collapsed="1" x14ac:dyDescent="0.2">
      <c r="B146" s="649"/>
      <c r="C146" s="1494"/>
      <c r="D146" s="1495"/>
      <c r="E146"/>
      <c r="F146"/>
    </row>
    <row r="155" spans="2:15" x14ac:dyDescent="0.2">
      <c r="L155"/>
      <c r="M155"/>
      <c r="N155"/>
      <c r="O155"/>
    </row>
    <row r="156" spans="2:15" x14ac:dyDescent="0.2">
      <c r="L156"/>
      <c r="M156"/>
      <c r="N156"/>
      <c r="O156"/>
    </row>
    <row r="157" spans="2:15" x14ac:dyDescent="0.2">
      <c r="B157"/>
      <c r="C157"/>
      <c r="D157"/>
      <c r="E157"/>
      <c r="F157"/>
      <c r="G157"/>
      <c r="L157"/>
      <c r="M157"/>
      <c r="N157"/>
      <c r="O157"/>
    </row>
    <row r="158" spans="2:15" x14ac:dyDescent="0.2">
      <c r="B158"/>
      <c r="C158"/>
      <c r="D158"/>
      <c r="E158"/>
      <c r="F158"/>
      <c r="G158"/>
      <c r="L158"/>
      <c r="M158"/>
      <c r="N158"/>
      <c r="O158"/>
    </row>
    <row r="159" spans="2:15" x14ac:dyDescent="0.2">
      <c r="B159"/>
      <c r="C159"/>
      <c r="D159"/>
      <c r="E159"/>
      <c r="F159"/>
      <c r="G159"/>
      <c r="L159"/>
      <c r="M159"/>
      <c r="N159"/>
      <c r="O159"/>
    </row>
    <row r="160" spans="2:15" x14ac:dyDescent="0.2">
      <c r="B160"/>
      <c r="C160"/>
      <c r="D160"/>
      <c r="E160"/>
      <c r="F160"/>
      <c r="G160"/>
      <c r="L160"/>
      <c r="M160"/>
      <c r="N160"/>
      <c r="O160"/>
    </row>
    <row r="161" spans="2:15" x14ac:dyDescent="0.2">
      <c r="B161"/>
      <c r="C161"/>
      <c r="D161"/>
      <c r="E161"/>
      <c r="F161"/>
      <c r="G161"/>
      <c r="L161"/>
      <c r="M161"/>
      <c r="N161"/>
      <c r="O161"/>
    </row>
    <row r="162" spans="2:15" x14ac:dyDescent="0.2">
      <c r="B162"/>
      <c r="C162"/>
      <c r="D162"/>
      <c r="E162"/>
      <c r="F162"/>
      <c r="G162"/>
      <c r="L162"/>
      <c r="M162"/>
      <c r="N162"/>
      <c r="O162"/>
    </row>
    <row r="163" spans="2:15" x14ac:dyDescent="0.2">
      <c r="B163"/>
      <c r="C163"/>
      <c r="D163"/>
      <c r="E163"/>
      <c r="F163"/>
      <c r="G163"/>
      <c r="L163" s="142"/>
      <c r="M163" s="142"/>
      <c r="N163" s="142"/>
    </row>
    <row r="164" spans="2:15" x14ac:dyDescent="0.2">
      <c r="B164"/>
      <c r="C164"/>
      <c r="D164"/>
      <c r="E164"/>
      <c r="F164"/>
      <c r="G164"/>
      <c r="L164" s="142"/>
      <c r="M164" s="142"/>
      <c r="N164" s="142"/>
    </row>
    <row r="165" spans="2:15" x14ac:dyDescent="0.2">
      <c r="B165"/>
      <c r="C165"/>
      <c r="D165"/>
      <c r="E165"/>
      <c r="F165"/>
      <c r="G165"/>
      <c r="L165" s="142"/>
      <c r="M165" s="142"/>
      <c r="N165" s="142"/>
    </row>
    <row r="166" spans="2:15" x14ac:dyDescent="0.2">
      <c r="B166"/>
      <c r="C166"/>
      <c r="D166"/>
      <c r="E166"/>
      <c r="F166"/>
      <c r="G166"/>
      <c r="L166" s="142"/>
      <c r="M166" s="142"/>
      <c r="N166" s="142"/>
    </row>
    <row r="167" spans="2:15" x14ac:dyDescent="0.2">
      <c r="B167"/>
      <c r="C167"/>
      <c r="D167"/>
      <c r="E167"/>
      <c r="F167"/>
      <c r="G167"/>
      <c r="L167" s="142"/>
      <c r="M167" s="142"/>
      <c r="N167" s="142"/>
    </row>
    <row r="168" spans="2:15" x14ac:dyDescent="0.2">
      <c r="B168"/>
      <c r="C168"/>
      <c r="D168"/>
      <c r="E168"/>
      <c r="F168"/>
      <c r="G168"/>
      <c r="L168" s="1476"/>
      <c r="M168" s="1476"/>
      <c r="N168" s="1476"/>
    </row>
    <row r="169" spans="2:15" x14ac:dyDescent="0.2">
      <c r="B169"/>
      <c r="C169"/>
      <c r="D169"/>
      <c r="E169"/>
      <c r="F169"/>
      <c r="G169"/>
      <c r="L169" s="1477"/>
      <c r="M169" s="1477"/>
      <c r="N169" s="1477"/>
    </row>
    <row r="170" spans="2:15" x14ac:dyDescent="0.2">
      <c r="B170"/>
      <c r="C170"/>
      <c r="D170"/>
      <c r="E170"/>
      <c r="F170"/>
      <c r="G170"/>
      <c r="L170" s="1479"/>
      <c r="M170" s="1479"/>
      <c r="N170" s="1479"/>
    </row>
    <row r="171" spans="2:15" x14ac:dyDescent="0.2">
      <c r="B171"/>
      <c r="C171"/>
      <c r="D171"/>
      <c r="E171"/>
      <c r="F171"/>
      <c r="G171"/>
      <c r="L171" s="1479"/>
      <c r="M171" s="1479"/>
      <c r="N171" s="1479"/>
    </row>
    <row r="172" spans="2:15" x14ac:dyDescent="0.2">
      <c r="B172"/>
      <c r="C172"/>
      <c r="D172"/>
      <c r="E172"/>
      <c r="F172"/>
      <c r="G172"/>
      <c r="L172" s="1479"/>
      <c r="M172" s="1479"/>
      <c r="N172" s="1479"/>
    </row>
    <row r="173" spans="2:15" x14ac:dyDescent="0.2">
      <c r="B173"/>
      <c r="C173"/>
      <c r="D173"/>
      <c r="E173"/>
      <c r="F173"/>
      <c r="G173"/>
      <c r="L173" s="1479"/>
      <c r="M173" s="1479"/>
      <c r="N173" s="1479"/>
    </row>
    <row r="174" spans="2:15" x14ac:dyDescent="0.2">
      <c r="B174"/>
      <c r="C174"/>
      <c r="D174"/>
      <c r="E174"/>
      <c r="F174"/>
      <c r="G174"/>
      <c r="L174" s="1479"/>
      <c r="M174" s="1479"/>
      <c r="N174" s="1479"/>
    </row>
    <row r="175" spans="2:15" x14ac:dyDescent="0.2">
      <c r="B175"/>
      <c r="C175"/>
      <c r="D175"/>
      <c r="E175"/>
      <c r="F175"/>
      <c r="G175"/>
      <c r="L175" s="1479"/>
      <c r="M175" s="1479"/>
      <c r="N175" s="1479"/>
    </row>
    <row r="176" spans="2:15" x14ac:dyDescent="0.2">
      <c r="B176"/>
      <c r="C176"/>
      <c r="D176"/>
      <c r="E176"/>
      <c r="F176"/>
      <c r="G176"/>
      <c r="L176" s="1479"/>
      <c r="M176" s="1479"/>
      <c r="N176" s="1479"/>
    </row>
    <row r="177" spans="2:14" x14ac:dyDescent="0.2">
      <c r="B177"/>
      <c r="C177"/>
      <c r="D177"/>
      <c r="E177"/>
      <c r="F177"/>
      <c r="G177"/>
      <c r="L177" s="1479"/>
      <c r="M177" s="1479"/>
      <c r="N177" s="1479"/>
    </row>
    <row r="178" spans="2:14" x14ac:dyDescent="0.2">
      <c r="B178"/>
      <c r="C178"/>
      <c r="D178"/>
      <c r="E178"/>
      <c r="F178"/>
      <c r="G178"/>
      <c r="L178" s="1479"/>
      <c r="M178" s="1479"/>
      <c r="N178" s="1479"/>
    </row>
    <row r="179" spans="2:14" x14ac:dyDescent="0.2">
      <c r="B179"/>
      <c r="C179"/>
      <c r="D179"/>
      <c r="E179"/>
      <c r="F179"/>
      <c r="G179"/>
      <c r="L179" s="1479"/>
      <c r="M179" s="1479"/>
      <c r="N179" s="1479"/>
    </row>
    <row r="180" spans="2:14" x14ac:dyDescent="0.2">
      <c r="B180"/>
      <c r="C180"/>
      <c r="D180"/>
      <c r="E180"/>
      <c r="F180"/>
      <c r="G180"/>
      <c r="L180" s="142"/>
      <c r="M180" s="142"/>
      <c r="N180" s="142"/>
    </row>
    <row r="181" spans="2:14" x14ac:dyDescent="0.2">
      <c r="B181"/>
      <c r="C181"/>
      <c r="D181"/>
      <c r="E181"/>
      <c r="F181"/>
      <c r="G181"/>
      <c r="L181" s="142"/>
      <c r="M181" s="142"/>
      <c r="N181" s="142"/>
    </row>
    <row r="182" spans="2:14" x14ac:dyDescent="0.2">
      <c r="B182"/>
      <c r="C182"/>
      <c r="D182"/>
      <c r="E182"/>
      <c r="F182"/>
      <c r="G182"/>
      <c r="L182" s="142"/>
      <c r="M182" s="142"/>
      <c r="N182" s="142"/>
    </row>
    <row r="183" spans="2:14" x14ac:dyDescent="0.15">
      <c r="L183" s="142"/>
      <c r="M183" s="142"/>
      <c r="N183" s="142"/>
    </row>
    <row r="184" spans="2:14" x14ac:dyDescent="0.15">
      <c r="L184" s="142"/>
      <c r="M184" s="142"/>
      <c r="N184" s="142"/>
    </row>
    <row r="185" spans="2:14" x14ac:dyDescent="0.15">
      <c r="L185" s="153"/>
      <c r="M185" s="154"/>
      <c r="N185" s="152"/>
    </row>
    <row r="186" spans="2:14" x14ac:dyDescent="0.2">
      <c r="L186" s="1480"/>
      <c r="M186" s="1480"/>
      <c r="N186" s="1480"/>
    </row>
    <row r="187" spans="2:14" x14ac:dyDescent="0.2">
      <c r="L187" s="1482"/>
      <c r="M187" s="1482"/>
      <c r="N187" s="1481"/>
    </row>
    <row r="188" spans="2:14" ht="17" customHeight="1" x14ac:dyDescent="0.2">
      <c r="L188" s="1482"/>
      <c r="M188" s="1482"/>
      <c r="N188" s="1481"/>
    </row>
    <row r="189" spans="2:14" x14ac:dyDescent="0.2">
      <c r="L189" s="1482"/>
      <c r="M189" s="1482"/>
      <c r="N189" s="1481"/>
    </row>
    <row r="190" spans="2:14" x14ac:dyDescent="0.2">
      <c r="L190" s="1482"/>
      <c r="M190" s="1482"/>
      <c r="N190" s="1481"/>
    </row>
    <row r="191" spans="2:14" x14ac:dyDescent="0.2">
      <c r="L191" s="1482"/>
      <c r="M191" s="1482"/>
      <c r="N191" s="1481"/>
    </row>
    <row r="192" spans="2:14" x14ac:dyDescent="0.2">
      <c r="L192" s="1482"/>
      <c r="M192" s="1482"/>
      <c r="N192" s="1481"/>
    </row>
    <row r="193" spans="1:26" x14ac:dyDescent="0.2">
      <c r="L193" s="1482"/>
      <c r="M193" s="1482"/>
      <c r="N193" s="1481"/>
    </row>
    <row r="194" spans="1:26" x14ac:dyDescent="0.2">
      <c r="L194" s="1482"/>
      <c r="M194" s="1482"/>
      <c r="N194" s="1481"/>
    </row>
    <row r="195" spans="1:26" x14ac:dyDescent="0.2">
      <c r="L195" s="1482"/>
      <c r="M195" s="1482"/>
      <c r="N195" s="1481"/>
    </row>
    <row r="196" spans="1:26" x14ac:dyDescent="0.2">
      <c r="L196" s="1482"/>
      <c r="M196" s="1482"/>
      <c r="N196" s="1481"/>
    </row>
    <row r="197" spans="1:26" x14ac:dyDescent="0.2">
      <c r="L197" s="1482"/>
      <c r="M197" s="1482"/>
      <c r="N197" s="1481"/>
    </row>
    <row r="198" spans="1:26" x14ac:dyDescent="0.2">
      <c r="L198" s="1482"/>
      <c r="M198" s="1482"/>
      <c r="N198" s="1481"/>
    </row>
    <row r="199" spans="1:26" x14ac:dyDescent="0.2">
      <c r="L199" s="1482"/>
      <c r="M199" s="1482"/>
      <c r="N199" s="1481"/>
    </row>
    <row r="200" spans="1:26" x14ac:dyDescent="0.2">
      <c r="L200" s="1482"/>
      <c r="M200" s="1482"/>
      <c r="N200" s="1481"/>
    </row>
    <row r="204" spans="1:26" x14ac:dyDescent="0.2">
      <c r="B204"/>
      <c r="C204"/>
      <c r="D204"/>
      <c r="E204"/>
      <c r="F204"/>
      <c r="G204"/>
      <c r="H204"/>
      <c r="I204"/>
      <c r="J204"/>
      <c r="K204"/>
      <c r="L204"/>
      <c r="M204"/>
      <c r="N204"/>
    </row>
    <row r="205" spans="1:26" s="1" customFormat="1" x14ac:dyDescent="0.2">
      <c r="A205" s="55"/>
      <c r="B205"/>
      <c r="C205"/>
      <c r="D205"/>
      <c r="E205"/>
      <c r="F205"/>
      <c r="G205"/>
      <c r="H205"/>
      <c r="I205"/>
      <c r="J205"/>
      <c r="K205"/>
      <c r="L205"/>
      <c r="M205"/>
      <c r="N205"/>
      <c r="O205" s="55"/>
      <c r="P205" s="55"/>
      <c r="Q205" s="55"/>
      <c r="R205" s="55"/>
      <c r="S205" s="55"/>
      <c r="T205" s="55"/>
      <c r="U205" s="55"/>
      <c r="V205" s="55"/>
      <c r="W205" s="55"/>
      <c r="X205" s="55"/>
      <c r="Y205" s="55"/>
      <c r="Z205" s="55"/>
    </row>
    <row r="206" spans="1:26" s="1" customFormat="1" x14ac:dyDescent="0.2">
      <c r="A206" s="55"/>
      <c r="B206"/>
      <c r="C206"/>
      <c r="D206"/>
      <c r="E206"/>
      <c r="F206"/>
      <c r="G206"/>
      <c r="H206"/>
      <c r="I206"/>
      <c r="J206"/>
      <c r="K206"/>
      <c r="L206"/>
      <c r="M206"/>
      <c r="N206"/>
      <c r="O206" s="55"/>
      <c r="P206" s="55"/>
      <c r="Q206" s="55"/>
      <c r="R206" s="55"/>
      <c r="S206" s="55"/>
      <c r="T206" s="55"/>
      <c r="U206" s="55"/>
      <c r="V206" s="55"/>
      <c r="W206" s="55"/>
      <c r="X206" s="55"/>
      <c r="Y206" s="55"/>
      <c r="Z206" s="55"/>
    </row>
    <row r="207" spans="1:26" s="1" customFormat="1" x14ac:dyDescent="0.2">
      <c r="A207" s="55"/>
      <c r="B207"/>
      <c r="C207"/>
      <c r="D207"/>
      <c r="E207"/>
      <c r="F207"/>
      <c r="G207"/>
      <c r="H207"/>
      <c r="I207"/>
      <c r="J207"/>
      <c r="K207"/>
      <c r="L207"/>
      <c r="M207"/>
      <c r="N207"/>
      <c r="O207" s="55"/>
      <c r="P207" s="55"/>
      <c r="Q207" s="55"/>
      <c r="R207" s="55"/>
      <c r="S207" s="55"/>
      <c r="T207" s="55"/>
      <c r="U207" s="55"/>
      <c r="V207" s="55"/>
      <c r="W207" s="55"/>
      <c r="X207" s="55"/>
      <c r="Y207" s="55"/>
      <c r="Z207" s="55"/>
    </row>
    <row r="208" spans="1:26" s="1" customFormat="1" x14ac:dyDescent="0.2">
      <c r="A208" s="55"/>
      <c r="B208"/>
      <c r="C208"/>
      <c r="D208"/>
      <c r="E208"/>
      <c r="F208"/>
      <c r="G208"/>
      <c r="H208"/>
      <c r="I208"/>
      <c r="J208"/>
      <c r="K208"/>
      <c r="L208"/>
      <c r="M208"/>
      <c r="N208"/>
      <c r="O208" s="55"/>
      <c r="P208" s="55"/>
      <c r="Q208" s="55"/>
      <c r="R208" s="55"/>
      <c r="S208" s="55"/>
      <c r="T208" s="55"/>
      <c r="U208" s="55"/>
      <c r="V208" s="55"/>
      <c r="W208" s="55"/>
      <c r="X208" s="55"/>
      <c r="Y208" s="55"/>
      <c r="Z208" s="55"/>
    </row>
    <row r="209" spans="1:26" s="1" customFormat="1" x14ac:dyDescent="0.2">
      <c r="A209" s="55"/>
      <c r="B209"/>
      <c r="C209"/>
      <c r="D209"/>
      <c r="E209"/>
      <c r="F209"/>
      <c r="G209"/>
      <c r="H209"/>
      <c r="I209"/>
      <c r="J209"/>
      <c r="K209"/>
      <c r="L209"/>
      <c r="M209"/>
      <c r="N209"/>
      <c r="O209" s="55"/>
      <c r="P209" s="55"/>
      <c r="Q209" s="55"/>
      <c r="R209" s="55"/>
      <c r="S209" s="55"/>
      <c r="T209" s="55"/>
      <c r="U209" s="55"/>
      <c r="V209" s="55"/>
      <c r="W209" s="55"/>
      <c r="X209" s="55"/>
      <c r="Y209" s="55"/>
      <c r="Z209" s="55"/>
    </row>
    <row r="210" spans="1:26" s="1" customFormat="1" x14ac:dyDescent="0.2">
      <c r="A210" s="55"/>
      <c r="B210"/>
      <c r="C210"/>
      <c r="D210"/>
      <c r="E210"/>
      <c r="F210"/>
      <c r="G210"/>
      <c r="H210"/>
      <c r="I210"/>
      <c r="J210"/>
      <c r="K210"/>
      <c r="L210"/>
      <c r="M210"/>
      <c r="N210"/>
      <c r="O210" s="55"/>
      <c r="P210" s="55"/>
      <c r="Q210" s="55"/>
      <c r="R210" s="55"/>
      <c r="S210" s="55"/>
      <c r="T210" s="55"/>
      <c r="U210" s="55"/>
      <c r="V210" s="55"/>
      <c r="W210" s="55"/>
      <c r="X210" s="55"/>
      <c r="Y210" s="55"/>
      <c r="Z210" s="55"/>
    </row>
    <row r="211" spans="1:26" s="1" customFormat="1" x14ac:dyDescent="0.2">
      <c r="A211" s="55"/>
      <c r="B211"/>
      <c r="C211"/>
      <c r="D211"/>
      <c r="E211"/>
      <c r="F211"/>
      <c r="G211"/>
      <c r="H211"/>
      <c r="I211"/>
      <c r="J211"/>
      <c r="K211"/>
      <c r="L211"/>
      <c r="M211"/>
      <c r="N211"/>
      <c r="O211" s="55"/>
      <c r="P211" s="55"/>
      <c r="Q211" s="55"/>
      <c r="R211" s="55"/>
      <c r="S211" s="55"/>
      <c r="T211" s="55"/>
      <c r="U211" s="55"/>
      <c r="V211" s="55"/>
      <c r="W211" s="55"/>
      <c r="X211" s="55"/>
      <c r="Y211" s="55"/>
      <c r="Z211" s="55"/>
    </row>
    <row r="212" spans="1:26" s="1" customFormat="1" x14ac:dyDescent="0.2">
      <c r="A212" s="55"/>
      <c r="B212"/>
      <c r="C212"/>
      <c r="D212"/>
      <c r="E212"/>
      <c r="F212"/>
      <c r="G212"/>
      <c r="H212"/>
      <c r="I212"/>
      <c r="J212"/>
      <c r="K212"/>
      <c r="L212"/>
      <c r="M212"/>
      <c r="N212"/>
      <c r="O212" s="55"/>
      <c r="P212" s="55"/>
      <c r="Q212" s="55"/>
      <c r="R212" s="55"/>
      <c r="S212" s="55"/>
      <c r="T212" s="55"/>
      <c r="U212" s="55"/>
      <c r="V212" s="55"/>
      <c r="W212" s="55"/>
      <c r="X212" s="55"/>
      <c r="Y212" s="55"/>
      <c r="Z212" s="55"/>
    </row>
    <row r="213" spans="1:26" s="1" customFormat="1" x14ac:dyDescent="0.2">
      <c r="A213" s="55"/>
      <c r="B213"/>
      <c r="C213"/>
      <c r="D213"/>
      <c r="E213"/>
      <c r="F213"/>
      <c r="G213"/>
      <c r="H213"/>
      <c r="I213"/>
      <c r="J213"/>
      <c r="K213"/>
      <c r="L213"/>
      <c r="M213"/>
      <c r="N213"/>
      <c r="O213" s="55"/>
      <c r="P213" s="55"/>
      <c r="Q213" s="55"/>
      <c r="R213" s="55"/>
      <c r="S213" s="55"/>
      <c r="T213" s="55"/>
      <c r="U213" s="55"/>
      <c r="V213" s="55"/>
      <c r="W213" s="55"/>
      <c r="X213" s="55"/>
      <c r="Y213" s="55"/>
      <c r="Z213" s="55"/>
    </row>
    <row r="214" spans="1:26" s="1" customFormat="1" x14ac:dyDescent="0.2">
      <c r="A214" s="55"/>
      <c r="B214" s="3057"/>
      <c r="C214" s="3057"/>
      <c r="D214" s="3057"/>
      <c r="E214" s="3057"/>
      <c r="F214" s="3057"/>
      <c r="G214" s="3057"/>
      <c r="H214" s="3057"/>
      <c r="I214" s="3057"/>
      <c r="J214" s="3057"/>
      <c r="K214" s="3057"/>
      <c r="L214"/>
      <c r="M214"/>
      <c r="N214"/>
      <c r="O214" s="55"/>
      <c r="P214" s="55"/>
      <c r="Q214" s="55"/>
      <c r="R214" s="55"/>
      <c r="S214" s="55"/>
      <c r="T214" s="55"/>
      <c r="U214" s="55"/>
      <c r="V214" s="55"/>
      <c r="W214" s="55"/>
      <c r="X214" s="55"/>
      <c r="Y214" s="55"/>
      <c r="Z214" s="55"/>
    </row>
    <row r="215" spans="1:26" s="1" customFormat="1" x14ac:dyDescent="0.2">
      <c r="A215" s="55"/>
      <c r="B215"/>
      <c r="C215" s="3057"/>
      <c r="D215" s="3057"/>
      <c r="E215" s="3057"/>
      <c r="F215" s="3057"/>
      <c r="G215" s="3057"/>
      <c r="H215"/>
      <c r="I215"/>
      <c r="J215"/>
      <c r="K215"/>
      <c r="L215"/>
      <c r="M215"/>
      <c r="N215"/>
      <c r="O215" s="55"/>
      <c r="P215" s="55"/>
      <c r="Q215" s="55"/>
      <c r="R215" s="55"/>
      <c r="S215" s="55"/>
      <c r="T215" s="55"/>
      <c r="U215" s="55"/>
      <c r="V215" s="55"/>
      <c r="W215" s="55"/>
      <c r="X215" s="55"/>
      <c r="Y215" s="55"/>
      <c r="Z215" s="55"/>
    </row>
    <row r="216" spans="1:26" x14ac:dyDescent="0.2">
      <c r="B216"/>
      <c r="C216"/>
      <c r="D216"/>
      <c r="E216"/>
      <c r="F216"/>
      <c r="G216"/>
      <c r="H216"/>
      <c r="I216" s="3057"/>
      <c r="J216"/>
      <c r="K216"/>
      <c r="L216"/>
      <c r="M216"/>
      <c r="N216"/>
    </row>
    <row r="217" spans="1:26" x14ac:dyDescent="0.2">
      <c r="B217"/>
      <c r="C217"/>
      <c r="D217"/>
      <c r="E217"/>
      <c r="F217"/>
      <c r="G217"/>
      <c r="H217"/>
      <c r="I217" s="3057"/>
      <c r="J217"/>
      <c r="K217"/>
      <c r="L217"/>
      <c r="M217"/>
      <c r="N217"/>
    </row>
    <row r="218" spans="1:26" x14ac:dyDescent="0.2">
      <c r="B218"/>
      <c r="C218"/>
      <c r="D218"/>
      <c r="E218"/>
      <c r="F218"/>
      <c r="G218"/>
      <c r="H218"/>
      <c r="I218"/>
      <c r="J218"/>
      <c r="K218"/>
      <c r="L218"/>
      <c r="M218"/>
      <c r="N218"/>
    </row>
    <row r="219" spans="1:26" x14ac:dyDescent="0.2">
      <c r="B219"/>
      <c r="C219"/>
      <c r="D219"/>
      <c r="E219"/>
      <c r="F219"/>
      <c r="G219"/>
      <c r="H219"/>
      <c r="I219"/>
      <c r="J219"/>
      <c r="K219"/>
      <c r="L219"/>
      <c r="M219"/>
      <c r="N219"/>
    </row>
  </sheetData>
  <mergeCells count="22">
    <mergeCell ref="B214:K214"/>
    <mergeCell ref="B2:E2"/>
    <mergeCell ref="B12:L12"/>
    <mergeCell ref="C13:L13"/>
    <mergeCell ref="C14:L14"/>
    <mergeCell ref="C15:L15"/>
    <mergeCell ref="C215:G215"/>
    <mergeCell ref="I216:I217"/>
    <mergeCell ref="B89:B92"/>
    <mergeCell ref="B93:B96"/>
    <mergeCell ref="B4:D4"/>
    <mergeCell ref="C6:D6"/>
    <mergeCell ref="C7:D7"/>
    <mergeCell ref="C9:D9"/>
    <mergeCell ref="C16:L16"/>
    <mergeCell ref="C17:L17"/>
    <mergeCell ref="C18:L18"/>
    <mergeCell ref="C19:L19"/>
    <mergeCell ref="B73:B76"/>
    <mergeCell ref="B77:B80"/>
    <mergeCell ref="B81:B84"/>
    <mergeCell ref="B85:B88"/>
  </mergeCells>
  <conditionalFormatting sqref="C7">
    <cfRule type="containsText" dxfId="35" priority="11" operator="containsText" text="Calcul brouillon, odg">
      <formula>NOT(ISERROR(SEARCH("Calcul brouillon, odg",C7)))</formula>
    </cfRule>
    <cfRule type="containsText" dxfId="34" priority="12" operator="containsText" text="Pas ok">
      <formula>NOT(ISERROR(SEARCH("Pas ok",C7)))</formula>
    </cfRule>
    <cfRule type="containsText" dxfId="33" priority="13" operator="containsText" text="Calcul brouillon, ordre de grandeur">
      <formula>NOT(ISERROR(SEARCH("Calcul brouillon, ordre de grandeur",C7)))</formula>
    </cfRule>
    <cfRule type="containsText" dxfId="32" priority="14" operator="containsText" text="Bon ordre de grandeur">
      <formula>NOT(ISERROR(SEARCH("Bon ordre de grandeur",C7)))</formula>
    </cfRule>
    <cfRule type="containsText" dxfId="31" priority="15" operator="containsText" text="Calcul validé">
      <formula>NOT(ISERROR(SEARCH("Calcul validé",C7)))</formula>
    </cfRule>
    <cfRule type="containsText" dxfId="30" priority="17" operator="containsText" text="Pas ok">
      <formula>NOT(ISERROR(SEARCH("Pas ok",C7)))</formula>
    </cfRule>
    <cfRule type="containsText" dxfId="29" priority="18" operator="containsText" text="Calcul brouillon, ordre de grandeur">
      <formula>NOT(ISERROR(SEARCH("Calcul brouillon, ordre de grandeur",C7)))</formula>
    </cfRule>
    <cfRule type="containsText" dxfId="28" priority="19" operator="containsText" text="Bon ordre de grandeur">
      <formula>NOT(ISERROR(SEARCH("Bon ordre de grandeur",C7)))</formula>
    </cfRule>
    <cfRule type="containsText" dxfId="27" priority="20" operator="containsText" text="Calcul validé">
      <formula>NOT(ISERROR(SEARCH("Calcul validé",C7)))</formula>
    </cfRule>
  </conditionalFormatting>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6DB3F-CC10-8B47-B655-C795658D0D28}">
  <sheetPr>
    <tabColor theme="3" tint="0.249977111117893"/>
  </sheetPr>
  <dimension ref="A1:Q202"/>
  <sheetViews>
    <sheetView zoomScale="40" zoomScaleNormal="12" workbookViewId="0">
      <selection activeCell="B6" sqref="B6"/>
    </sheetView>
  </sheetViews>
  <sheetFormatPr baseColWidth="10" defaultColWidth="9.85546875" defaultRowHeight="14" outlineLevelRow="1" x14ac:dyDescent="0.2"/>
  <cols>
    <col min="1" max="1" width="10" style="126" customWidth="1"/>
    <col min="2" max="2" width="19.7109375" style="126" customWidth="1"/>
    <col min="3" max="3" width="35.7109375" style="126" customWidth="1"/>
    <col min="4" max="4" width="36.85546875" style="126" customWidth="1"/>
    <col min="5" max="7" width="30.140625" style="126" customWidth="1"/>
    <col min="8" max="8" width="32.7109375" style="126" customWidth="1"/>
    <col min="9" max="11" width="29.7109375" style="126" customWidth="1"/>
    <col min="12" max="33" width="13.85546875" style="126" customWidth="1"/>
    <col min="34" max="16384" width="9.85546875" style="126"/>
  </cols>
  <sheetData>
    <row r="1" spans="2:17" ht="29" customHeight="1" x14ac:dyDescent="0.2">
      <c r="F1" s="55"/>
      <c r="G1" s="55"/>
      <c r="H1" s="55"/>
    </row>
    <row r="2" spans="2:17" ht="29" customHeight="1" x14ac:dyDescent="0.2">
      <c r="B2" s="2686" t="s">
        <v>1841</v>
      </c>
      <c r="C2" s="2686"/>
      <c r="D2" s="2686"/>
      <c r="F2" s="55"/>
      <c r="G2" s="55"/>
      <c r="H2" s="55"/>
    </row>
    <row r="3" spans="2:17" ht="29" customHeight="1" x14ac:dyDescent="0.2">
      <c r="F3" s="55"/>
      <c r="G3" s="55"/>
      <c r="H3" s="55"/>
    </row>
    <row r="4" spans="2:17" ht="29" customHeight="1" thickBot="1" x14ac:dyDescent="0.25">
      <c r="F4" s="55"/>
      <c r="G4" s="55"/>
      <c r="H4" s="55"/>
    </row>
    <row r="5" spans="2:17" ht="29" customHeight="1" x14ac:dyDescent="0.2">
      <c r="B5" s="2822" t="s">
        <v>17</v>
      </c>
      <c r="C5" s="2823"/>
      <c r="D5" s="2824"/>
      <c r="F5" s="55"/>
      <c r="G5" s="55"/>
      <c r="H5" s="55"/>
    </row>
    <row r="6" spans="2:17" ht="29" customHeight="1" x14ac:dyDescent="0.2">
      <c r="B6" s="127" t="s">
        <v>216</v>
      </c>
      <c r="C6" s="609">
        <f>'11'!C5</f>
        <v>2776.5596334039947</v>
      </c>
      <c r="D6" s="129" t="s">
        <v>19</v>
      </c>
      <c r="F6" s="55"/>
      <c r="G6" s="55"/>
      <c r="H6" s="55"/>
    </row>
    <row r="7" spans="2:17" ht="29" customHeight="1" x14ac:dyDescent="0.2">
      <c r="B7" s="127" t="s">
        <v>217</v>
      </c>
      <c r="C7" s="609">
        <f>E29</f>
        <v>1128.9776831160559</v>
      </c>
      <c r="D7" s="129" t="s">
        <v>19</v>
      </c>
      <c r="F7" s="55"/>
      <c r="G7" s="55"/>
      <c r="H7" s="55"/>
    </row>
    <row r="8" spans="2:17" ht="29" customHeight="1" thickBot="1" x14ac:dyDescent="0.25">
      <c r="B8" s="130" t="s">
        <v>218</v>
      </c>
      <c r="C8" s="2825">
        <f>(C7-C6)/C6</f>
        <v>-0.59338972247033761</v>
      </c>
      <c r="D8" s="2826"/>
      <c r="E8" s="55"/>
      <c r="F8" s="55"/>
      <c r="G8" s="55"/>
      <c r="H8" s="55"/>
    </row>
    <row r="9" spans="2:17" ht="29" customHeight="1" x14ac:dyDescent="0.2">
      <c r="D9" s="542"/>
      <c r="E9" s="542"/>
      <c r="G9" s="2"/>
      <c r="H9" s="2"/>
      <c r="I9" s="2"/>
      <c r="J9" s="2"/>
      <c r="K9" s="2"/>
      <c r="L9" s="543"/>
      <c r="M9" s="543"/>
      <c r="N9" s="543"/>
      <c r="O9" s="543"/>
      <c r="P9" s="543"/>
      <c r="Q9" s="543"/>
    </row>
    <row r="10" spans="2:17" ht="29" customHeight="1" x14ac:dyDescent="0.2">
      <c r="G10" s="2"/>
      <c r="H10" s="2"/>
      <c r="I10" s="2"/>
      <c r="J10" s="2"/>
      <c r="K10" s="2"/>
      <c r="L10" s="543"/>
      <c r="M10" s="543"/>
      <c r="N10" s="543"/>
      <c r="O10" s="543"/>
      <c r="P10" s="543"/>
      <c r="Q10" s="543"/>
    </row>
    <row r="11" spans="2:17" ht="29" customHeight="1" x14ac:dyDescent="0.2">
      <c r="B11" s="133" t="s">
        <v>219</v>
      </c>
      <c r="H11" s="2"/>
      <c r="I11" s="2"/>
      <c r="J11" s="2"/>
      <c r="K11" s="2"/>
      <c r="L11" s="543"/>
      <c r="M11" s="543"/>
      <c r="N11" s="543"/>
      <c r="O11" s="543"/>
      <c r="P11" s="543"/>
      <c r="Q11" s="543"/>
    </row>
    <row r="12" spans="2:17" ht="29" customHeight="1" thickBot="1" x14ac:dyDescent="0.25">
      <c r="H12" s="2"/>
      <c r="I12" s="2"/>
      <c r="J12" s="2"/>
      <c r="K12" s="2"/>
    </row>
    <row r="13" spans="2:17" ht="36" customHeight="1" thickBot="1" x14ac:dyDescent="0.25">
      <c r="B13" s="638" t="s">
        <v>149</v>
      </c>
      <c r="C13" s="639" t="s">
        <v>220</v>
      </c>
      <c r="D13" s="640" t="s">
        <v>1849</v>
      </c>
      <c r="E13" s="637" t="s">
        <v>222</v>
      </c>
      <c r="F13" s="641" t="s">
        <v>1842</v>
      </c>
      <c r="G13" s="637" t="s">
        <v>1525</v>
      </c>
      <c r="H13" s="642" t="s">
        <v>1850</v>
      </c>
      <c r="I13" s="2"/>
      <c r="J13" s="2"/>
      <c r="K13" s="2"/>
    </row>
    <row r="14" spans="2:17" ht="47" customHeight="1" collapsed="1" x14ac:dyDescent="0.2">
      <c r="G14" s="2"/>
    </row>
    <row r="15" spans="2:17" ht="29" customHeight="1" x14ac:dyDescent="0.2">
      <c r="B15" s="133" t="s">
        <v>225</v>
      </c>
      <c r="G15" s="2"/>
    </row>
    <row r="16" spans="2:17" ht="29" customHeight="1" thickBot="1" x14ac:dyDescent="0.25">
      <c r="G16" s="2"/>
      <c r="I16" s="2"/>
      <c r="J16" s="2"/>
      <c r="K16" s="2"/>
      <c r="L16" s="2"/>
    </row>
    <row r="17" spans="2:12" ht="40" customHeight="1" thickBot="1" x14ac:dyDescent="0.25">
      <c r="B17" s="55"/>
      <c r="C17" s="1503"/>
      <c r="D17" s="141">
        <v>2022</v>
      </c>
      <c r="E17" s="141">
        <v>2050</v>
      </c>
      <c r="G17" s="2"/>
      <c r="L17" s="2"/>
    </row>
    <row r="18" spans="2:12" ht="44" customHeight="1" thickBot="1" x14ac:dyDescent="0.25">
      <c r="B18" s="1459" t="str">
        <f>D13</f>
        <v>Quantité de déchets</v>
      </c>
      <c r="C18" s="1512" t="s">
        <v>1844</v>
      </c>
      <c r="D18" s="1507">
        <f>SUM('11'!C42:C46)</f>
        <v>6759.1320044630556</v>
      </c>
      <c r="E18" s="1518">
        <f>D118</f>
        <v>3913.1103239479198</v>
      </c>
      <c r="H18" s="2"/>
      <c r="I18" s="2"/>
      <c r="J18" s="2"/>
      <c r="K18" s="2"/>
      <c r="L18" s="2"/>
    </row>
    <row r="19" spans="2:12" ht="44" customHeight="1" x14ac:dyDescent="0.2">
      <c r="B19" s="2833" t="str">
        <f>F13</f>
        <v>Type de déchets</v>
      </c>
      <c r="C19" s="586" t="str">
        <f>'11'!B42</f>
        <v>Bouteilles plastiques</v>
      </c>
      <c r="D19" s="594">
        <f>'11'!C42/$D$18</f>
        <v>1.303911735205617E-2</v>
      </c>
      <c r="E19" s="595">
        <f>E113</f>
        <v>1.3513513513513513E-2</v>
      </c>
      <c r="F19" s="2"/>
      <c r="G19" s="2"/>
      <c r="H19" s="2"/>
      <c r="I19" s="2"/>
      <c r="J19" s="2"/>
      <c r="K19" s="2"/>
      <c r="L19" s="2"/>
    </row>
    <row r="20" spans="2:12" ht="44" customHeight="1" x14ac:dyDescent="0.2">
      <c r="B20" s="3074"/>
      <c r="C20" s="587" t="str">
        <f>'11'!B43</f>
        <v>Carton</v>
      </c>
      <c r="D20" s="596">
        <f>'11'!C43/$D$18</f>
        <v>6.8204613841524583E-2</v>
      </c>
      <c r="E20" s="597">
        <f t="shared" ref="E20:E23" si="0">E114</f>
        <v>7.068607068607069E-2</v>
      </c>
      <c r="F20" s="2"/>
      <c r="G20" s="2"/>
      <c r="H20" s="2"/>
      <c r="I20" s="2"/>
      <c r="J20" s="2"/>
      <c r="K20" s="2"/>
      <c r="L20" s="2"/>
    </row>
    <row r="21" spans="2:12" ht="44" customHeight="1" x14ac:dyDescent="0.2">
      <c r="B21" s="3074"/>
      <c r="C21" s="587" t="str">
        <f>'11'!B44</f>
        <v>Verre</v>
      </c>
      <c r="D21" s="596">
        <f>'11'!C44/$D$18</f>
        <v>0.32096288866599798</v>
      </c>
      <c r="E21" s="597">
        <f t="shared" si="0"/>
        <v>0.3326403326403326</v>
      </c>
      <c r="F21" s="2"/>
      <c r="G21" s="2"/>
      <c r="H21" s="2"/>
      <c r="I21" s="2"/>
      <c r="J21" s="2"/>
      <c r="K21" s="2"/>
      <c r="L21" s="2"/>
    </row>
    <row r="22" spans="2:12" ht="44" customHeight="1" x14ac:dyDescent="0.2">
      <c r="B22" s="3074"/>
      <c r="C22" s="587" t="str">
        <f>'11'!B45</f>
        <v>Bio-déchets (pelouse et alimentaire)</v>
      </c>
      <c r="D22" s="596">
        <f>'11'!C45/$D$18</f>
        <v>6.0180541624874635E-2</v>
      </c>
      <c r="E22" s="597">
        <f t="shared" si="0"/>
        <v>2.5987525987525989E-2</v>
      </c>
      <c r="F22" s="2"/>
      <c r="G22" s="2"/>
      <c r="H22" s="2"/>
      <c r="I22" s="2"/>
      <c r="J22" s="2"/>
      <c r="K22" s="2"/>
    </row>
    <row r="23" spans="2:12" ht="38" customHeight="1" thickBot="1" x14ac:dyDescent="0.25">
      <c r="B23" s="2834"/>
      <c r="C23" s="1517" t="s">
        <v>1856</v>
      </c>
      <c r="D23" s="601">
        <f>'11'!C46/$D$18</f>
        <v>0.53761283851554664</v>
      </c>
      <c r="E23" s="1519">
        <f t="shared" si="0"/>
        <v>0.5571725571725572</v>
      </c>
      <c r="F23" s="2"/>
      <c r="G23" s="2"/>
    </row>
    <row r="24" spans="2:12" ht="44" customHeight="1" x14ac:dyDescent="0.2">
      <c r="B24" s="3075" t="str">
        <f>H13</f>
        <v>Intensité carbone des déchets</v>
      </c>
      <c r="C24" s="1513" t="s">
        <v>1845</v>
      </c>
      <c r="D24" s="2029">
        <f>'11'!E42</f>
        <v>1357.26</v>
      </c>
      <c r="E24" s="2030">
        <f>D93</f>
        <v>434</v>
      </c>
      <c r="G24" s="2"/>
      <c r="I24" s="622"/>
      <c r="J24" s="622"/>
    </row>
    <row r="25" spans="2:12" ht="44" customHeight="1" x14ac:dyDescent="0.2">
      <c r="B25" s="3076"/>
      <c r="C25" s="591" t="s">
        <v>1846</v>
      </c>
      <c r="D25" s="1504">
        <f>'11'!E43</f>
        <v>923.37</v>
      </c>
      <c r="E25" s="1520">
        <f>D94</f>
        <v>817.6</v>
      </c>
      <c r="G25" s="2"/>
      <c r="H25" s="55"/>
      <c r="I25" s="55"/>
    </row>
    <row r="26" spans="2:12" ht="44" customHeight="1" x14ac:dyDescent="0.2">
      <c r="B26" s="3076"/>
      <c r="C26" s="591" t="s">
        <v>1847</v>
      </c>
      <c r="D26" s="1504">
        <f>'11'!E44</f>
        <v>399.79999999999995</v>
      </c>
      <c r="E26" s="1520">
        <f>D98</f>
        <v>429.70000000000005</v>
      </c>
      <c r="G26" s="2"/>
      <c r="H26" s="55"/>
    </row>
    <row r="27" spans="2:12" ht="44" customHeight="1" x14ac:dyDescent="0.2">
      <c r="B27" s="3076"/>
      <c r="C27" s="591" t="s">
        <v>1848</v>
      </c>
      <c r="D27" s="1504">
        <f>'11'!E45</f>
        <v>33.270000000000003</v>
      </c>
      <c r="E27" s="1520">
        <f>D96</f>
        <v>30.549999999999997</v>
      </c>
      <c r="G27" s="2"/>
      <c r="H27" s="55"/>
    </row>
    <row r="28" spans="2:12" ht="44" customHeight="1" thickBot="1" x14ac:dyDescent="0.25">
      <c r="B28" s="3076"/>
      <c r="C28" s="1521" t="s">
        <v>1855</v>
      </c>
      <c r="D28" s="1522">
        <f>'11'!E46</f>
        <v>371.61999999999995</v>
      </c>
      <c r="E28" s="1523">
        <f>D97</f>
        <v>145.6</v>
      </c>
      <c r="G28" s="2"/>
      <c r="H28" s="55"/>
    </row>
    <row r="29" spans="2:12" ht="44" customHeight="1" thickBot="1" x14ac:dyDescent="0.25">
      <c r="B29" s="612" t="s">
        <v>149</v>
      </c>
      <c r="C29" s="1505" t="s">
        <v>485</v>
      </c>
      <c r="D29" s="1506">
        <f>D18*SUMPRODUCT(D19:D23,D24:D28)/1000</f>
        <v>2776.5596334039942</v>
      </c>
      <c r="E29" s="1506">
        <f>E18*SUMPRODUCT(E19:E23,E24:E28)/1000</f>
        <v>1128.9776831160559</v>
      </c>
      <c r="F29" s="577"/>
      <c r="G29" s="2"/>
      <c r="H29" s="55"/>
    </row>
    <row r="30" spans="2:12" ht="29" customHeight="1" x14ac:dyDescent="0.2">
      <c r="D30" s="571"/>
      <c r="E30" s="576"/>
      <c r="F30" s="547"/>
      <c r="G30" s="2"/>
      <c r="H30" s="55"/>
    </row>
    <row r="31" spans="2:12" ht="29" customHeight="1" x14ac:dyDescent="0.15">
      <c r="B31" s="144" t="s">
        <v>1470</v>
      </c>
      <c r="D31" s="593"/>
      <c r="E31" s="593"/>
      <c r="H31" s="55"/>
    </row>
    <row r="32" spans="2:12" ht="29" hidden="1" customHeight="1" outlineLevel="1" x14ac:dyDescent="0.2">
      <c r="B32" s="144"/>
      <c r="H32" s="55"/>
    </row>
    <row r="33" spans="2:10" ht="29" hidden="1" customHeight="1" outlineLevel="1" x14ac:dyDescent="0.2">
      <c r="B33" s="328" t="s">
        <v>1357</v>
      </c>
      <c r="C33" s="2"/>
      <c r="D33" s="2"/>
      <c r="E33" s="2"/>
      <c r="F33" s="2"/>
      <c r="G33" s="2"/>
      <c r="H33" s="55"/>
    </row>
    <row r="34" spans="2:10" ht="21" hidden="1" customHeight="1" outlineLevel="1" x14ac:dyDescent="0.2">
      <c r="B34" s="134" t="s">
        <v>1851</v>
      </c>
      <c r="C34" s="1475"/>
      <c r="D34" s="1475"/>
      <c r="E34" s="1475"/>
      <c r="F34" s="1475"/>
      <c r="G34" s="1475"/>
      <c r="H34" s="1475"/>
    </row>
    <row r="35" spans="2:10" ht="25" hidden="1" customHeight="1" outlineLevel="1" x14ac:dyDescent="0.2">
      <c r="B35" s="1473" t="s">
        <v>1812</v>
      </c>
      <c r="C35" s="3071" t="s">
        <v>1813</v>
      </c>
      <c r="D35" s="3073"/>
      <c r="E35" s="3071" t="s">
        <v>2160</v>
      </c>
      <c r="F35" s="3073"/>
      <c r="G35" s="3071" t="s">
        <v>2161</v>
      </c>
      <c r="H35" s="3072"/>
      <c r="I35" s="2"/>
      <c r="J35" s="2"/>
    </row>
    <row r="36" spans="2:10" ht="32" hidden="1" customHeight="1" outlineLevel="1" x14ac:dyDescent="0.2">
      <c r="B36" s="77" t="s">
        <v>1883</v>
      </c>
      <c r="C36" s="3065" t="s">
        <v>2042</v>
      </c>
      <c r="D36" s="3066"/>
      <c r="E36" s="3065" t="s">
        <v>2162</v>
      </c>
      <c r="F36" s="3066"/>
      <c r="G36" s="3065" t="s">
        <v>1814</v>
      </c>
      <c r="H36" s="3066"/>
      <c r="I36"/>
      <c r="J36" s="2"/>
    </row>
    <row r="37" spans="2:10" ht="32" hidden="1" customHeight="1" outlineLevel="1" x14ac:dyDescent="0.2">
      <c r="B37" s="77" t="s">
        <v>1815</v>
      </c>
      <c r="C37" s="3065" t="s">
        <v>1816</v>
      </c>
      <c r="D37" s="3066"/>
      <c r="E37" s="3065" t="s">
        <v>1882</v>
      </c>
      <c r="F37" s="3066"/>
      <c r="G37" s="3065" t="s">
        <v>1817</v>
      </c>
      <c r="H37" s="3066"/>
      <c r="I37" s="2"/>
      <c r="J37" s="2"/>
    </row>
    <row r="38" spans="2:10" ht="27" hidden="1" customHeight="1" outlineLevel="1" x14ac:dyDescent="0.2">
      <c r="B38" s="77" t="s">
        <v>1818</v>
      </c>
      <c r="C38" s="3070" t="s">
        <v>2041</v>
      </c>
      <c r="D38" s="3070"/>
      <c r="E38" s="3065" t="str">
        <f>E36</f>
        <v xml:space="preserve">La LTECV nous donne un objectif de réduction de 15% de la masse de tous les types de dechets en 2035 par rapport à 2023. </v>
      </c>
      <c r="F38" s="3066"/>
      <c r="G38" s="3065" t="s">
        <v>1819</v>
      </c>
      <c r="H38" s="3066"/>
      <c r="I38" s="2"/>
      <c r="J38" s="2"/>
    </row>
    <row r="39" spans="2:10" ht="27" hidden="1" customHeight="1" outlineLevel="1" x14ac:dyDescent="0.2">
      <c r="B39" s="1474"/>
      <c r="C39" s="1475"/>
      <c r="D39" s="1475"/>
      <c r="E39" s="1475"/>
      <c r="F39" s="1475"/>
      <c r="G39" s="1475"/>
      <c r="H39" s="1475"/>
      <c r="I39" s="2"/>
      <c r="J39" s="2"/>
    </row>
    <row r="40" spans="2:10" ht="27" hidden="1" customHeight="1" outlineLevel="1" x14ac:dyDescent="0.2">
      <c r="B40" s="328" t="s">
        <v>1357</v>
      </c>
      <c r="C40" s="142"/>
      <c r="D40" s="142"/>
      <c r="E40" s="142"/>
      <c r="F40" s="142"/>
      <c r="G40" s="142"/>
      <c r="H40" s="142"/>
      <c r="I40" s="2"/>
      <c r="J40" s="2"/>
    </row>
    <row r="41" spans="2:10" ht="27" hidden="1" customHeight="1" outlineLevel="1" x14ac:dyDescent="0.2">
      <c r="B41" s="134" t="s">
        <v>1852</v>
      </c>
      <c r="C41" s="142"/>
      <c r="D41" s="142"/>
      <c r="E41" s="142"/>
      <c r="F41" s="142"/>
      <c r="G41" s="142"/>
      <c r="H41" s="142"/>
      <c r="I41" s="2"/>
      <c r="J41" s="2"/>
    </row>
    <row r="42" spans="2:10" ht="27" hidden="1" customHeight="1" outlineLevel="1" x14ac:dyDescent="0.2">
      <c r="B42" s="1500" t="s">
        <v>1801</v>
      </c>
      <c r="C42" s="1500" t="s">
        <v>1802</v>
      </c>
      <c r="D42" s="1500" t="s">
        <v>1803</v>
      </c>
      <c r="E42" s="1500" t="s">
        <v>1804</v>
      </c>
      <c r="F42" s="1500" t="s">
        <v>1805</v>
      </c>
      <c r="G42" s="1500" t="s">
        <v>1806</v>
      </c>
      <c r="H42" s="1500" t="s">
        <v>13</v>
      </c>
    </row>
    <row r="43" spans="2:10" ht="29" hidden="1" customHeight="1" outlineLevel="1" x14ac:dyDescent="0.2">
      <c r="B43" s="1497" t="s">
        <v>1807</v>
      </c>
      <c r="C43" s="1496">
        <v>0.57999999999999985</v>
      </c>
      <c r="D43" s="1496">
        <v>0.32</v>
      </c>
      <c r="E43" s="1496">
        <v>0.1</v>
      </c>
      <c r="F43" s="1496">
        <v>0</v>
      </c>
      <c r="G43" s="1496">
        <v>0</v>
      </c>
      <c r="H43" s="1496">
        <v>0.99999999999999989</v>
      </c>
    </row>
    <row r="44" spans="2:10" ht="34" hidden="1" customHeight="1" outlineLevel="1" x14ac:dyDescent="0.2">
      <c r="B44" s="1497" t="s">
        <v>1808</v>
      </c>
      <c r="C44" s="1496">
        <v>0.11999999999999998</v>
      </c>
      <c r="D44" s="1496">
        <v>7.0000000000000007E-2</v>
      </c>
      <c r="E44" s="1496">
        <v>0.8</v>
      </c>
      <c r="F44" s="1496">
        <v>0.01</v>
      </c>
      <c r="G44" s="1496">
        <v>0</v>
      </c>
      <c r="H44" s="1496">
        <v>1</v>
      </c>
      <c r="I44" s="55"/>
    </row>
    <row r="45" spans="2:10" ht="29" hidden="1" customHeight="1" outlineLevel="1" x14ac:dyDescent="0.2">
      <c r="B45" s="1497" t="s">
        <v>1809</v>
      </c>
      <c r="C45" s="1496">
        <v>0.23999999999999996</v>
      </c>
      <c r="D45" s="1496">
        <v>0.14000000000000001</v>
      </c>
      <c r="E45" s="1496">
        <v>0.6</v>
      </c>
      <c r="F45" s="1496">
        <v>0.02</v>
      </c>
      <c r="G45" s="1496">
        <v>0</v>
      </c>
      <c r="H45" s="1496">
        <v>1</v>
      </c>
      <c r="I45" s="55"/>
    </row>
    <row r="46" spans="2:10" ht="29" hidden="1" customHeight="1" outlineLevel="1" x14ac:dyDescent="0.2">
      <c r="B46" s="1497" t="s">
        <v>1810</v>
      </c>
      <c r="C46" s="1496">
        <v>0.55000000000000004</v>
      </c>
      <c r="D46" s="1496">
        <v>0.30999999999999994</v>
      </c>
      <c r="E46" s="1496">
        <v>0</v>
      </c>
      <c r="F46" s="1496">
        <v>0.12</v>
      </c>
      <c r="G46" s="1496">
        <v>0.02</v>
      </c>
      <c r="H46" s="1496">
        <v>1</v>
      </c>
      <c r="I46" s="55"/>
    </row>
    <row r="47" spans="2:10" ht="29" hidden="1" customHeight="1" outlineLevel="1" x14ac:dyDescent="0.2">
      <c r="B47" s="1497" t="s">
        <v>1811</v>
      </c>
      <c r="C47" s="1496">
        <v>0.4</v>
      </c>
      <c r="D47" s="1496">
        <v>0.55000000000000004</v>
      </c>
      <c r="E47" s="1496">
        <v>0.01</v>
      </c>
      <c r="F47" s="1496">
        <v>0.03</v>
      </c>
      <c r="G47" s="1496">
        <v>0.01</v>
      </c>
      <c r="H47" s="1496">
        <v>1</v>
      </c>
      <c r="I47" s="55"/>
    </row>
    <row r="48" spans="2:10" ht="29" hidden="1" customHeight="1" outlineLevel="1" x14ac:dyDescent="0.2">
      <c r="B48" s="81" t="s">
        <v>1206</v>
      </c>
      <c r="C48" s="1496">
        <v>0.4</v>
      </c>
      <c r="D48" s="1496">
        <v>0</v>
      </c>
      <c r="E48" s="1496">
        <v>0.6</v>
      </c>
      <c r="F48" s="1496">
        <v>0</v>
      </c>
      <c r="G48" s="1496">
        <v>0</v>
      </c>
      <c r="H48" s="1496">
        <v>1</v>
      </c>
      <c r="I48" s="55"/>
    </row>
    <row r="49" spans="2:9" ht="29" hidden="1" customHeight="1" outlineLevel="1" x14ac:dyDescent="0.15">
      <c r="B49" s="1472"/>
      <c r="C49" s="1472"/>
      <c r="D49" s="1472"/>
      <c r="E49" s="1472"/>
      <c r="F49" s="1472"/>
      <c r="G49" s="1472"/>
      <c r="H49" s="1472"/>
    </row>
    <row r="50" spans="2:9" ht="29" hidden="1" customHeight="1" outlineLevel="1" x14ac:dyDescent="0.15">
      <c r="B50" s="328" t="s">
        <v>1357</v>
      </c>
      <c r="C50" s="1472"/>
      <c r="D50" s="1472"/>
      <c r="E50" s="1472"/>
      <c r="F50" s="1472"/>
      <c r="G50" s="1472"/>
      <c r="H50" s="1472"/>
      <c r="I50" s="55"/>
    </row>
    <row r="51" spans="2:9" ht="29" hidden="1" customHeight="1" outlineLevel="1" x14ac:dyDescent="0.15">
      <c r="B51" s="1499" t="s">
        <v>1853</v>
      </c>
      <c r="C51" s="1472"/>
      <c r="D51" s="1472"/>
      <c r="E51" s="1472"/>
      <c r="F51" s="1472"/>
      <c r="G51" s="1472"/>
      <c r="H51" s="1472"/>
      <c r="I51" s="55"/>
    </row>
    <row r="52" spans="2:9" ht="29" hidden="1" customHeight="1" outlineLevel="1" x14ac:dyDescent="0.2">
      <c r="B52" s="74" t="s">
        <v>1801</v>
      </c>
      <c r="C52" s="74" t="s">
        <v>1802</v>
      </c>
      <c r="D52" s="74" t="s">
        <v>1803</v>
      </c>
      <c r="E52" s="74" t="s">
        <v>1804</v>
      </c>
      <c r="F52" s="74" t="s">
        <v>1805</v>
      </c>
      <c r="G52" s="74" t="s">
        <v>1806</v>
      </c>
      <c r="H52" s="74" t="s">
        <v>13</v>
      </c>
    </row>
    <row r="53" spans="2:9" ht="29" hidden="1" customHeight="1" outlineLevel="1" x14ac:dyDescent="0.2">
      <c r="B53" s="1497" t="s">
        <v>1807</v>
      </c>
      <c r="C53" s="1496">
        <v>0</v>
      </c>
      <c r="D53" s="1496">
        <v>0</v>
      </c>
      <c r="E53" s="1496">
        <v>1</v>
      </c>
      <c r="F53" s="1496">
        <v>0</v>
      </c>
      <c r="G53" s="1496">
        <v>0</v>
      </c>
      <c r="H53" s="1496">
        <f>SUM(C53:G53)</f>
        <v>1</v>
      </c>
    </row>
    <row r="54" spans="2:9" ht="29" hidden="1" customHeight="1" outlineLevel="1" x14ac:dyDescent="0.2">
      <c r="B54" s="1497" t="s">
        <v>1808</v>
      </c>
      <c r="C54" s="1496">
        <v>0</v>
      </c>
      <c r="D54" s="1496">
        <v>0.2</v>
      </c>
      <c r="E54" s="1496">
        <v>0.8</v>
      </c>
      <c r="F54" s="1496">
        <v>0</v>
      </c>
      <c r="G54" s="1496">
        <v>0</v>
      </c>
      <c r="H54" s="1496">
        <f>SUM(C54:G54)</f>
        <v>1</v>
      </c>
    </row>
    <row r="55" spans="2:9" ht="29" hidden="1" customHeight="1" outlineLevel="1" x14ac:dyDescent="0.2">
      <c r="B55" s="1497" t="s">
        <v>1809</v>
      </c>
      <c r="C55" s="1496">
        <v>0.03</v>
      </c>
      <c r="D55" s="1496">
        <v>0.32</v>
      </c>
      <c r="E55" s="1496">
        <v>0.65</v>
      </c>
      <c r="F55" s="1496">
        <v>0</v>
      </c>
      <c r="G55" s="1496">
        <v>0</v>
      </c>
      <c r="H55" s="1496">
        <f>SUM(C55:G55)</f>
        <v>1</v>
      </c>
    </row>
    <row r="56" spans="2:9" ht="29" hidden="1" customHeight="1" outlineLevel="1" x14ac:dyDescent="0.2">
      <c r="B56" s="1497" t="s">
        <v>1810</v>
      </c>
      <c r="C56" s="1496">
        <v>0.18</v>
      </c>
      <c r="D56" s="1496">
        <v>0.15</v>
      </c>
      <c r="E56" s="1496">
        <v>0</v>
      </c>
      <c r="F56" s="1496">
        <v>0.65</v>
      </c>
      <c r="G56" s="1496">
        <v>0.02</v>
      </c>
      <c r="H56" s="1496">
        <f>SUM(C56:G56)</f>
        <v>1</v>
      </c>
    </row>
    <row r="57" spans="2:9" ht="29" hidden="1" customHeight="1" outlineLevel="1" x14ac:dyDescent="0.2">
      <c r="B57" s="1497" t="s">
        <v>1811</v>
      </c>
      <c r="C57" s="1496">
        <v>0.09</v>
      </c>
      <c r="D57" s="1496">
        <v>0.24</v>
      </c>
      <c r="E57" s="1496">
        <v>0</v>
      </c>
      <c r="F57" s="1496">
        <v>0.65</v>
      </c>
      <c r="G57" s="1496">
        <v>0.02</v>
      </c>
      <c r="H57" s="1496">
        <v>1</v>
      </c>
    </row>
    <row r="58" spans="2:9" ht="29" hidden="1" customHeight="1" outlineLevel="1" x14ac:dyDescent="0.2">
      <c r="B58" s="81" t="s">
        <v>1206</v>
      </c>
      <c r="C58" s="1496">
        <v>0.35</v>
      </c>
      <c r="D58" s="1496">
        <v>0</v>
      </c>
      <c r="E58" s="1496">
        <v>0.65</v>
      </c>
      <c r="F58" s="1496">
        <v>0</v>
      </c>
      <c r="G58" s="1496">
        <v>0</v>
      </c>
      <c r="H58" s="1496">
        <v>1</v>
      </c>
    </row>
    <row r="59" spans="2:9" ht="29" customHeight="1" collapsed="1" x14ac:dyDescent="0.15">
      <c r="B59" s="142"/>
      <c r="C59" s="142"/>
      <c r="D59" s="142"/>
      <c r="E59" s="142"/>
      <c r="F59" s="142"/>
      <c r="G59" s="142"/>
      <c r="H59" s="142"/>
    </row>
    <row r="60" spans="2:9" ht="29" customHeight="1" x14ac:dyDescent="0.15">
      <c r="B60" s="1566" t="s">
        <v>1871</v>
      </c>
      <c r="C60" s="142"/>
      <c r="D60" s="142"/>
      <c r="E60" s="142"/>
      <c r="F60" s="142"/>
      <c r="G60" s="142"/>
      <c r="H60" s="142"/>
    </row>
    <row r="61" spans="2:9" ht="29" hidden="1" customHeight="1" outlineLevel="1" x14ac:dyDescent="0.15">
      <c r="B61" s="1514"/>
      <c r="C61" s="142"/>
      <c r="D61" s="142"/>
      <c r="E61" s="142"/>
      <c r="F61" s="142"/>
      <c r="G61" s="142"/>
      <c r="H61" s="142"/>
    </row>
    <row r="62" spans="2:9" ht="29" hidden="1" customHeight="1" outlineLevel="1" x14ac:dyDescent="0.15">
      <c r="B62" s="1508" t="s">
        <v>1365</v>
      </c>
      <c r="C62" s="142"/>
      <c r="D62" s="142"/>
      <c r="E62" s="142"/>
      <c r="F62" s="142"/>
      <c r="G62" s="142"/>
      <c r="H62" s="142"/>
    </row>
    <row r="63" spans="2:9" ht="29" hidden="1" customHeight="1" outlineLevel="1" x14ac:dyDescent="0.2">
      <c r="B63" s="134" t="s">
        <v>1838</v>
      </c>
      <c r="C63" s="134"/>
      <c r="D63" s="134"/>
      <c r="E63" s="134"/>
      <c r="F63" s="134"/>
      <c r="G63" s="134"/>
      <c r="H63" s="134"/>
      <c r="I63" s="55"/>
    </row>
    <row r="64" spans="2:9" ht="29" hidden="1" customHeight="1" outlineLevel="1" x14ac:dyDescent="0.2">
      <c r="B64" s="74" t="s">
        <v>1812</v>
      </c>
      <c r="C64" s="74" t="s">
        <v>1820</v>
      </c>
      <c r="D64" s="74" t="s">
        <v>1821</v>
      </c>
      <c r="E64" s="142"/>
      <c r="F64" s="142"/>
      <c r="G64" s="142"/>
      <c r="H64" s="142"/>
      <c r="I64" s="2"/>
    </row>
    <row r="65" spans="2:9" ht="29" hidden="1" customHeight="1" outlineLevel="1" x14ac:dyDescent="0.2">
      <c r="B65" s="3058" t="s">
        <v>1822</v>
      </c>
      <c r="C65" s="81" t="s">
        <v>1823</v>
      </c>
      <c r="D65" s="1501">
        <v>1210</v>
      </c>
      <c r="E65" s="1476"/>
      <c r="F65" s="1476"/>
      <c r="G65" s="1476"/>
      <c r="H65" s="1476"/>
      <c r="I65" s="2"/>
    </row>
    <row r="66" spans="2:9" ht="29" hidden="1" customHeight="1" outlineLevel="1" x14ac:dyDescent="0.2">
      <c r="B66" s="3058"/>
      <c r="C66" s="81" t="s">
        <v>1802</v>
      </c>
      <c r="D66" s="1501">
        <v>737</v>
      </c>
      <c r="E66" s="1477"/>
      <c r="F66" s="1477"/>
      <c r="G66" s="1477"/>
      <c r="H66" s="1477"/>
      <c r="I66" s="2"/>
    </row>
    <row r="67" spans="2:9" ht="29" hidden="1" customHeight="1" outlineLevel="1" x14ac:dyDescent="0.2">
      <c r="B67" s="3058"/>
      <c r="C67" s="81" t="s">
        <v>1803</v>
      </c>
      <c r="D67" s="1515">
        <v>2770</v>
      </c>
      <c r="E67" s="1479"/>
      <c r="F67" s="1479"/>
      <c r="G67" s="1479"/>
      <c r="H67" s="1479"/>
      <c r="I67" s="2"/>
    </row>
    <row r="68" spans="2:9" ht="29" hidden="1" customHeight="1" outlineLevel="1" x14ac:dyDescent="0.2">
      <c r="B68" s="3058"/>
      <c r="C68" s="81" t="s">
        <v>1804</v>
      </c>
      <c r="D68" s="1515">
        <v>434</v>
      </c>
      <c r="E68" s="1479"/>
      <c r="F68" s="1479"/>
      <c r="G68" s="1479"/>
      <c r="H68" s="1479"/>
      <c r="I68" s="2"/>
    </row>
    <row r="69" spans="2:9" ht="29" hidden="1" customHeight="1" outlineLevel="1" x14ac:dyDescent="0.2">
      <c r="B69" s="3058" t="s">
        <v>1824</v>
      </c>
      <c r="C69" s="81" t="s">
        <v>1823</v>
      </c>
      <c r="D69" s="1515">
        <v>737</v>
      </c>
      <c r="E69" s="1479"/>
      <c r="F69" s="1479"/>
      <c r="G69" s="1479"/>
      <c r="H69" s="1479"/>
      <c r="I69" s="2"/>
    </row>
    <row r="70" spans="2:9" ht="29" hidden="1" customHeight="1" outlineLevel="1" x14ac:dyDescent="0.2">
      <c r="B70" s="3058"/>
      <c r="C70" s="81" t="s">
        <v>1802</v>
      </c>
      <c r="D70" s="1515">
        <v>950</v>
      </c>
      <c r="E70" s="1479"/>
      <c r="F70" s="1479"/>
      <c r="G70" s="1479"/>
      <c r="H70" s="1479"/>
      <c r="I70" s="2"/>
    </row>
    <row r="71" spans="2:9" ht="29" hidden="1" customHeight="1" outlineLevel="1" x14ac:dyDescent="0.2">
      <c r="B71" s="3058"/>
      <c r="C71" s="81" t="s">
        <v>1803</v>
      </c>
      <c r="D71" s="1515">
        <v>120</v>
      </c>
      <c r="E71" s="1479"/>
      <c r="F71" s="1479"/>
      <c r="G71" s="1479"/>
      <c r="H71" s="1479"/>
      <c r="I71" s="2"/>
    </row>
    <row r="72" spans="2:9" ht="29" hidden="1" customHeight="1" outlineLevel="1" x14ac:dyDescent="0.2">
      <c r="B72" s="3058"/>
      <c r="C72" s="81" t="s">
        <v>1804</v>
      </c>
      <c r="D72" s="1515">
        <v>992</v>
      </c>
      <c r="E72" s="1479"/>
      <c r="F72" s="1479"/>
      <c r="G72" s="1479"/>
      <c r="H72" s="1479"/>
      <c r="I72" s="2"/>
    </row>
    <row r="73" spans="2:9" ht="29" hidden="1" customHeight="1" outlineLevel="1" x14ac:dyDescent="0.2">
      <c r="B73" s="3067" t="s">
        <v>1190</v>
      </c>
      <c r="C73" s="81" t="s">
        <v>1823</v>
      </c>
      <c r="D73" s="1515" t="s">
        <v>1825</v>
      </c>
      <c r="E73" s="1479"/>
      <c r="F73" s="1479"/>
      <c r="G73" s="1479"/>
      <c r="H73" s="1479"/>
      <c r="I73" s="2"/>
    </row>
    <row r="74" spans="2:9" ht="29" hidden="1" customHeight="1" outlineLevel="1" x14ac:dyDescent="0.2">
      <c r="B74" s="3068"/>
      <c r="C74" s="81" t="s">
        <v>1802</v>
      </c>
      <c r="D74" s="1515">
        <v>950</v>
      </c>
      <c r="E74" s="1479"/>
      <c r="F74" s="1479"/>
      <c r="G74" s="1479"/>
      <c r="H74" s="1479"/>
      <c r="I74" s="2"/>
    </row>
    <row r="75" spans="2:9" ht="29" hidden="1" customHeight="1" outlineLevel="1" x14ac:dyDescent="0.2">
      <c r="B75" s="3068"/>
      <c r="C75" s="81" t="s">
        <v>1803</v>
      </c>
      <c r="D75" s="1515">
        <v>47</v>
      </c>
      <c r="E75" s="1479"/>
      <c r="F75" s="1479"/>
      <c r="G75" s="1479"/>
      <c r="H75" s="1479"/>
      <c r="I75" s="2"/>
    </row>
    <row r="76" spans="2:9" ht="29" hidden="1" customHeight="1" outlineLevel="1" x14ac:dyDescent="0.2">
      <c r="B76" s="3069"/>
      <c r="C76" s="81" t="s">
        <v>1804</v>
      </c>
      <c r="D76" s="1515">
        <v>992</v>
      </c>
      <c r="E76" s="1479"/>
      <c r="F76" s="1479"/>
      <c r="G76" s="1479"/>
      <c r="H76" s="1479"/>
      <c r="I76" s="2"/>
    </row>
    <row r="77" spans="2:9" ht="29" hidden="1" customHeight="1" outlineLevel="1" x14ac:dyDescent="0.2">
      <c r="B77" s="3067" t="s">
        <v>1826</v>
      </c>
      <c r="C77" s="81" t="s">
        <v>1823</v>
      </c>
      <c r="D77" s="1515" t="s">
        <v>1825</v>
      </c>
      <c r="E77" s="142"/>
      <c r="F77" s="142"/>
      <c r="G77" s="142"/>
      <c r="H77" s="142"/>
      <c r="I77" s="2"/>
    </row>
    <row r="78" spans="2:9" ht="29" hidden="1" customHeight="1" outlineLevel="1" x14ac:dyDescent="0.2">
      <c r="B78" s="3068"/>
      <c r="C78" s="81" t="s">
        <v>1802</v>
      </c>
      <c r="D78" s="1515">
        <v>28</v>
      </c>
      <c r="E78" s="142"/>
      <c r="F78" s="142"/>
      <c r="G78" s="142"/>
      <c r="H78" s="142"/>
      <c r="I78" s="2"/>
    </row>
    <row r="79" spans="2:9" ht="29" hidden="1" customHeight="1" outlineLevel="1" x14ac:dyDescent="0.2">
      <c r="B79" s="3068"/>
      <c r="C79" s="81" t="s">
        <v>1803</v>
      </c>
      <c r="D79" s="1515">
        <v>45</v>
      </c>
      <c r="E79" s="142"/>
      <c r="F79" s="142"/>
      <c r="G79" s="142"/>
      <c r="H79" s="142"/>
      <c r="I79" s="2"/>
    </row>
    <row r="80" spans="2:9" ht="29" hidden="1" customHeight="1" outlineLevel="1" x14ac:dyDescent="0.2">
      <c r="B80" s="3069"/>
      <c r="C80" s="81" t="s">
        <v>1805</v>
      </c>
      <c r="D80" s="1515">
        <v>28</v>
      </c>
      <c r="E80" s="142"/>
      <c r="F80" s="142"/>
      <c r="G80" s="142"/>
      <c r="H80" s="142"/>
      <c r="I80" s="2"/>
    </row>
    <row r="81" spans="2:16" ht="29" hidden="1" customHeight="1" outlineLevel="1" x14ac:dyDescent="0.2">
      <c r="B81" s="3067" t="s">
        <v>1827</v>
      </c>
      <c r="C81" s="81" t="s">
        <v>1823</v>
      </c>
      <c r="D81" s="1515">
        <v>386</v>
      </c>
      <c r="E81" s="142"/>
      <c r="F81" s="142"/>
      <c r="G81" s="142"/>
      <c r="H81" s="142"/>
      <c r="I81" s="2"/>
    </row>
    <row r="82" spans="2:16" ht="29" hidden="1" customHeight="1" outlineLevel="1" x14ac:dyDescent="0.2">
      <c r="B82" s="3068"/>
      <c r="C82" s="81" t="s">
        <v>1802</v>
      </c>
      <c r="D82" s="1515">
        <v>412</v>
      </c>
      <c r="E82" s="152"/>
      <c r="F82" s="153"/>
      <c r="G82" s="154"/>
      <c r="H82" s="152"/>
      <c r="I82" s="2"/>
    </row>
    <row r="83" spans="2:16" ht="29" hidden="1" customHeight="1" outlineLevel="1" x14ac:dyDescent="0.2">
      <c r="B83" s="3068"/>
      <c r="C83" s="81" t="s">
        <v>1803</v>
      </c>
      <c r="D83" s="1515">
        <v>374</v>
      </c>
      <c r="E83" s="1480"/>
      <c r="F83" s="1480"/>
      <c r="G83" s="1480"/>
      <c r="H83" s="1480"/>
      <c r="I83" s="2"/>
    </row>
    <row r="84" spans="2:16" ht="29" hidden="1" customHeight="1" outlineLevel="1" x14ac:dyDescent="0.2">
      <c r="B84" s="3069"/>
      <c r="C84" s="81" t="s">
        <v>1805</v>
      </c>
      <c r="D84" s="1515">
        <v>28</v>
      </c>
      <c r="E84" s="1481"/>
      <c r="F84" s="1482"/>
      <c r="G84" s="1482"/>
      <c r="H84" s="1481"/>
      <c r="I84" s="2"/>
    </row>
    <row r="85" spans="2:16" ht="29" hidden="1" customHeight="1" outlineLevel="1" x14ac:dyDescent="0.2">
      <c r="B85" s="3058" t="s">
        <v>1206</v>
      </c>
      <c r="C85" s="81" t="str">
        <f>'11'!C93</f>
        <v>Fin de vie moyenne</v>
      </c>
      <c r="D85" s="81">
        <f>'11'!D93</f>
        <v>496</v>
      </c>
      <c r="E85" s="1481"/>
      <c r="F85" s="1482"/>
      <c r="G85" s="1482"/>
      <c r="H85" s="1481"/>
      <c r="I85" s="2"/>
    </row>
    <row r="86" spans="2:16" ht="29" hidden="1" customHeight="1" outlineLevel="1" x14ac:dyDescent="0.2">
      <c r="B86" s="3058"/>
      <c r="C86" s="81" t="str">
        <f>'11'!C94</f>
        <v>Stockage</v>
      </c>
      <c r="D86" s="81">
        <f>'11'!D94</f>
        <v>41</v>
      </c>
      <c r="E86" s="1481"/>
      <c r="F86" s="1482"/>
      <c r="G86" s="1482"/>
      <c r="H86" s="1481"/>
      <c r="I86" s="2"/>
    </row>
    <row r="87" spans="2:16" ht="29" hidden="1" customHeight="1" outlineLevel="1" x14ac:dyDescent="0.2">
      <c r="B87" s="3058"/>
      <c r="C87" s="81" t="str">
        <f>'11'!C95</f>
        <v>Incinération</v>
      </c>
      <c r="D87" s="81">
        <f>'11'!D95</f>
        <v>130</v>
      </c>
      <c r="E87" s="1481"/>
      <c r="F87" s="1482"/>
      <c r="G87" s="1482"/>
      <c r="H87" s="1481"/>
      <c r="I87" s="2"/>
    </row>
    <row r="88" spans="2:16" ht="29" hidden="1" customHeight="1" outlineLevel="1" x14ac:dyDescent="0.2">
      <c r="B88" s="3058"/>
      <c r="C88" s="81" t="str">
        <f>'11'!C96</f>
        <v>Recyclage</v>
      </c>
      <c r="D88" s="81">
        <f>'11'!D96</f>
        <v>639</v>
      </c>
      <c r="E88" s="1481"/>
      <c r="F88" s="1482"/>
      <c r="G88" s="1482"/>
      <c r="H88" s="1481"/>
      <c r="I88" s="2"/>
    </row>
    <row r="89" spans="2:16" ht="29" hidden="1" customHeight="1" outlineLevel="1" x14ac:dyDescent="0.2">
      <c r="B89" s="1334"/>
      <c r="C89" s="1482"/>
      <c r="D89" s="1482"/>
      <c r="E89" s="1481"/>
      <c r="F89" s="1482"/>
      <c r="G89" s="1482"/>
      <c r="H89" s="1481"/>
      <c r="I89" s="2"/>
      <c r="J89" s="2"/>
      <c r="K89" s="2"/>
      <c r="L89" s="2"/>
      <c r="M89" s="2"/>
      <c r="N89" s="2"/>
      <c r="O89" s="2"/>
      <c r="P89" s="2"/>
    </row>
    <row r="90" spans="2:16" ht="29" hidden="1" customHeight="1" outlineLevel="1" x14ac:dyDescent="0.2">
      <c r="B90" s="1508" t="s">
        <v>1365</v>
      </c>
      <c r="C90" s="1482"/>
      <c r="D90" s="1482"/>
      <c r="E90" s="1481"/>
      <c r="F90" s="1482"/>
      <c r="G90" s="1482"/>
      <c r="H90" s="1481"/>
      <c r="I90" s="2"/>
      <c r="J90" s="2"/>
      <c r="K90" s="2"/>
      <c r="L90" s="2"/>
      <c r="M90" s="2"/>
      <c r="N90" s="2"/>
      <c r="O90" s="2"/>
      <c r="P90" s="2"/>
    </row>
    <row r="91" spans="2:16" ht="29" hidden="1" customHeight="1" outlineLevel="1" thickBot="1" x14ac:dyDescent="0.25">
      <c r="B91" s="1483" t="s">
        <v>1857</v>
      </c>
      <c r="C91" s="1482"/>
      <c r="D91" s="1482"/>
      <c r="E91" s="1481"/>
      <c r="F91" s="1482"/>
      <c r="G91" s="1482"/>
      <c r="H91" s="1481"/>
      <c r="I91" s="2"/>
      <c r="J91" s="2"/>
      <c r="K91" s="2"/>
      <c r="L91" s="2"/>
      <c r="M91" s="2"/>
      <c r="N91" s="2"/>
      <c r="O91" s="2"/>
      <c r="P91" s="2"/>
    </row>
    <row r="92" spans="2:16" ht="77" hidden="1" outlineLevel="1" thickBot="1" x14ac:dyDescent="0.25">
      <c r="B92" s="1550" t="s">
        <v>1828</v>
      </c>
      <c r="C92" s="1551">
        <v>2022</v>
      </c>
      <c r="D92" s="1579">
        <v>2035</v>
      </c>
      <c r="E92" s="1580" t="s">
        <v>1881</v>
      </c>
      <c r="F92" s="1482"/>
      <c r="G92" s="1482"/>
      <c r="H92" s="1481"/>
      <c r="I92" s="2"/>
      <c r="J92" s="2"/>
      <c r="K92" s="2"/>
      <c r="L92" s="2"/>
      <c r="M92" s="2"/>
      <c r="N92" s="2"/>
      <c r="O92" s="2"/>
      <c r="P92" s="2"/>
    </row>
    <row r="93" spans="2:16" ht="29" hidden="1" customHeight="1" outlineLevel="1" x14ac:dyDescent="0.2">
      <c r="B93" s="1548" t="s">
        <v>1822</v>
      </c>
      <c r="C93" s="1549">
        <f>C43*D66+D43*D67+E43*D68</f>
        <v>1357.26</v>
      </c>
      <c r="D93" s="1581">
        <f>C53*D66+D53*D67+E53*D68</f>
        <v>434</v>
      </c>
      <c r="E93" s="1584">
        <f>-(C93-D93)/C93</f>
        <v>-0.68023812681431706</v>
      </c>
      <c r="F93" s="1482"/>
      <c r="G93" s="1482"/>
      <c r="H93" s="1481"/>
      <c r="I93" s="2"/>
      <c r="J93" s="2"/>
      <c r="K93" s="2"/>
      <c r="L93" s="2"/>
      <c r="M93" s="2"/>
      <c r="N93" s="2"/>
      <c r="O93" s="2"/>
      <c r="P93" s="2"/>
    </row>
    <row r="94" spans="2:16" ht="29" hidden="1" customHeight="1" outlineLevel="1" x14ac:dyDescent="0.2">
      <c r="B94" s="1547" t="s">
        <v>1824</v>
      </c>
      <c r="C94" s="1549">
        <f>C44*D70+D44*D71+E44*D72+F44*D69</f>
        <v>923.37</v>
      </c>
      <c r="D94" s="1582">
        <f>C54*D70+D54*D71+E54*D72+F54*D69</f>
        <v>817.6</v>
      </c>
      <c r="E94" s="1585">
        <f t="shared" ref="E94:E98" si="1">-(C94-D94)/C94</f>
        <v>-0.11454779774088392</v>
      </c>
      <c r="F94" s="1482"/>
      <c r="G94" s="1482"/>
      <c r="H94" s="1481"/>
      <c r="I94" s="2"/>
      <c r="J94" s="2"/>
      <c r="K94" s="2"/>
      <c r="L94" s="2"/>
      <c r="M94" s="2"/>
      <c r="N94" s="2"/>
      <c r="O94" s="2"/>
      <c r="P94" s="2"/>
    </row>
    <row r="95" spans="2:16" ht="29" hidden="1" customHeight="1" outlineLevel="1" x14ac:dyDescent="0.2">
      <c r="B95" s="1547" t="s">
        <v>1190</v>
      </c>
      <c r="C95" s="1549">
        <f>C45*D74+D45*D75+E45*D76+F45*D74</f>
        <v>848.78</v>
      </c>
      <c r="D95" s="1582">
        <f>C55*D74+D55*D75+E55*D76+F55*D74</f>
        <v>688.34</v>
      </c>
      <c r="E95" s="1585">
        <f t="shared" si="1"/>
        <v>-0.18902424656565889</v>
      </c>
      <c r="F95" s="1482"/>
      <c r="G95" s="1482"/>
      <c r="H95" s="1481"/>
      <c r="I95" s="2"/>
      <c r="J95" s="2"/>
      <c r="K95" s="2"/>
      <c r="L95" s="2"/>
      <c r="M95" s="2"/>
      <c r="N95" s="2"/>
      <c r="O95" s="2"/>
      <c r="P95" s="2"/>
    </row>
    <row r="96" spans="2:16" ht="29" hidden="1" customHeight="1" outlineLevel="1" x14ac:dyDescent="0.2">
      <c r="B96" s="1547" t="s">
        <v>1826</v>
      </c>
      <c r="C96" s="1549">
        <f>C46*D78+D46*D79+F46*D80+G46*D80</f>
        <v>33.270000000000003</v>
      </c>
      <c r="D96" s="1582">
        <f>C56*D78+D56*D79+F56*D80+G56*D80</f>
        <v>30.549999999999997</v>
      </c>
      <c r="E96" s="1585">
        <f t="shared" si="1"/>
        <v>-8.1755335136760018E-2</v>
      </c>
      <c r="F96" s="1482"/>
      <c r="G96" s="1482"/>
      <c r="H96" s="1481"/>
      <c r="I96" s="2"/>
      <c r="J96" s="2"/>
      <c r="K96" s="2"/>
      <c r="L96" s="2"/>
      <c r="M96" s="2"/>
      <c r="N96" s="2"/>
      <c r="O96" s="2"/>
      <c r="P96" s="2"/>
    </row>
    <row r="97" spans="2:16" ht="29" hidden="1" customHeight="1" outlineLevel="1" x14ac:dyDescent="0.2">
      <c r="B97" s="1547" t="s">
        <v>1827</v>
      </c>
      <c r="C97" s="1576">
        <f>C47*D82+D47*D83+F47*D84+G47*D84</f>
        <v>371.61999999999995</v>
      </c>
      <c r="D97" s="1582">
        <f>C57*D82+D57*D83+F57*D84+(E57+G57)*D84</f>
        <v>145.6</v>
      </c>
      <c r="E97" s="1585">
        <f t="shared" si="1"/>
        <v>-0.6082019266993165</v>
      </c>
      <c r="F97" s="1482"/>
      <c r="G97" s="1482"/>
      <c r="H97" s="1481"/>
      <c r="I97" s="2"/>
      <c r="J97" s="2"/>
      <c r="K97" s="2"/>
      <c r="L97" s="2"/>
      <c r="M97" s="2"/>
      <c r="N97" s="2"/>
      <c r="O97" s="2"/>
      <c r="P97" s="2"/>
    </row>
    <row r="98" spans="2:16" ht="29" hidden="1" customHeight="1" outlineLevel="1" thickBot="1" x14ac:dyDescent="0.25">
      <c r="B98" s="1578" t="s">
        <v>1206</v>
      </c>
      <c r="C98" s="1577">
        <f>D86*C48+D88*E48</f>
        <v>399.79999999999995</v>
      </c>
      <c r="D98" s="1583">
        <f>D86*C58+E58*D88</f>
        <v>429.70000000000005</v>
      </c>
      <c r="E98" s="1586">
        <f t="shared" si="1"/>
        <v>7.4787393696848656E-2</v>
      </c>
      <c r="F98" s="2"/>
      <c r="G98" s="2"/>
      <c r="H98" s="2"/>
      <c r="I98" s="2"/>
      <c r="J98" s="2"/>
      <c r="K98" s="2"/>
      <c r="L98" s="2"/>
      <c r="M98" s="2"/>
      <c r="N98" s="2"/>
      <c r="O98" s="2"/>
      <c r="P98" s="2"/>
    </row>
    <row r="99" spans="2:16" ht="29" customHeight="1" collapsed="1" x14ac:dyDescent="0.2">
      <c r="B99" s="2022"/>
      <c r="C99" s="449"/>
      <c r="D99" s="449"/>
      <c r="E99" s="2023"/>
      <c r="F99" s="2"/>
      <c r="G99" s="2"/>
      <c r="H99" s="2"/>
      <c r="I99" s="2"/>
      <c r="J99" s="2"/>
      <c r="K99" s="2"/>
      <c r="L99" s="2"/>
      <c r="M99" s="2"/>
      <c r="N99" s="2"/>
      <c r="O99" s="2"/>
      <c r="P99" s="2"/>
    </row>
    <row r="100" spans="2:16" ht="29" customHeight="1" thickBot="1" x14ac:dyDescent="0.25">
      <c r="B100" s="2024" t="s">
        <v>2163</v>
      </c>
      <c r="C100" s="449"/>
      <c r="D100" s="449"/>
      <c r="E100" s="2023"/>
      <c r="F100" s="2"/>
      <c r="G100" s="2"/>
      <c r="H100" s="2"/>
      <c r="I100" s="2"/>
      <c r="J100" s="2"/>
      <c r="K100" s="2"/>
      <c r="L100" s="2"/>
      <c r="M100" s="2"/>
      <c r="N100" s="2"/>
      <c r="O100" s="2"/>
      <c r="P100" s="2"/>
    </row>
    <row r="101" spans="2:16" ht="29" hidden="1" customHeight="1" outlineLevel="1" x14ac:dyDescent="0.2">
      <c r="B101" s="2"/>
      <c r="C101" s="2"/>
      <c r="D101" s="2"/>
      <c r="E101" s="2"/>
      <c r="F101" s="2"/>
      <c r="G101" s="2"/>
      <c r="H101" s="2"/>
      <c r="I101" s="2"/>
      <c r="J101" s="2"/>
      <c r="K101" s="2"/>
      <c r="L101" s="2"/>
      <c r="M101" s="2"/>
      <c r="N101" s="2"/>
      <c r="O101" s="2"/>
      <c r="P101" s="2"/>
    </row>
    <row r="102" spans="2:16" ht="29" hidden="1" customHeight="1" outlineLevel="1" x14ac:dyDescent="0.2">
      <c r="B102" s="1566" t="s">
        <v>1872</v>
      </c>
      <c r="C102" s="2"/>
      <c r="D102" s="2"/>
      <c r="E102" s="2"/>
      <c r="F102" s="2"/>
      <c r="G102" s="2"/>
      <c r="H102" s="2"/>
      <c r="I102" s="2"/>
      <c r="J102" s="2"/>
      <c r="K102" s="2"/>
      <c r="L102" s="2"/>
      <c r="M102" s="2"/>
      <c r="N102" s="2"/>
      <c r="O102" s="2"/>
      <c r="P102" s="2"/>
    </row>
    <row r="103" spans="2:16" ht="34" hidden="1" customHeight="1" outlineLevel="1" x14ac:dyDescent="0.2">
      <c r="B103" s="193" t="s">
        <v>1357</v>
      </c>
      <c r="D103" s="142"/>
      <c r="E103" s="2"/>
      <c r="F103" s="2"/>
      <c r="G103" s="2"/>
      <c r="H103" s="2"/>
      <c r="I103" s="2"/>
      <c r="J103" s="2"/>
      <c r="K103" s="2"/>
      <c r="L103" s="2"/>
      <c r="M103" s="2"/>
      <c r="N103" s="2"/>
      <c r="O103" s="2"/>
      <c r="P103" s="2"/>
    </row>
    <row r="104" spans="2:16" ht="29" hidden="1" customHeight="1" outlineLevel="1" x14ac:dyDescent="0.2">
      <c r="B104" s="126" t="s">
        <v>2164</v>
      </c>
      <c r="D104" s="142"/>
      <c r="E104" s="2"/>
      <c r="F104" s="2"/>
      <c r="G104" s="2"/>
      <c r="H104" s="2"/>
      <c r="I104" s="2"/>
      <c r="J104" s="2"/>
      <c r="K104" s="2"/>
      <c r="L104" s="2"/>
      <c r="M104" s="2"/>
      <c r="N104" s="2"/>
      <c r="O104" s="2"/>
      <c r="P104" s="2"/>
    </row>
    <row r="105" spans="2:16" ht="29" hidden="1" customHeight="1" outlineLevel="1" x14ac:dyDescent="0.2">
      <c r="B105" s="1500" t="str">
        <f>B35</f>
        <v>Type de dechet</v>
      </c>
      <c r="C105" s="1500" t="str">
        <f>E35</f>
        <v>Objectifs que nous fixons sur les quantités en 2035</v>
      </c>
      <c r="D105" s="2025" t="s">
        <v>1859</v>
      </c>
      <c r="E105" s="1500" t="s">
        <v>2165</v>
      </c>
      <c r="F105" s="2025" t="s">
        <v>2166</v>
      </c>
      <c r="G105" s="2"/>
      <c r="H105" s="2"/>
      <c r="I105" s="2"/>
      <c r="J105" s="2"/>
      <c r="K105" s="2"/>
      <c r="L105" s="2"/>
      <c r="M105" s="2"/>
      <c r="N105" s="2"/>
      <c r="O105" s="2"/>
      <c r="P105" s="2"/>
    </row>
    <row r="106" spans="2:16" ht="29" hidden="1" customHeight="1" outlineLevel="1" x14ac:dyDescent="0.2">
      <c r="B106" s="1189" t="str">
        <f>B36</f>
        <v>Carton, verre et DIB (= déchets ménagers)</v>
      </c>
      <c r="C106" s="1516" t="str">
        <f>E36</f>
        <v xml:space="preserve">La LTECV nous donne un objectif de réduction de 15% de la masse de tous les types de dechets en 2035 par rapport à 2023. </v>
      </c>
      <c r="D106" s="2026">
        <f>-15%</f>
        <v>-0.15</v>
      </c>
      <c r="E106" s="1516" t="s">
        <v>2167</v>
      </c>
      <c r="F106" s="2026">
        <v>-0.4</v>
      </c>
      <c r="G106" s="2"/>
      <c r="H106" s="2"/>
      <c r="I106" s="2"/>
      <c r="J106" s="2"/>
      <c r="K106" s="2"/>
      <c r="L106" s="2"/>
      <c r="M106" s="2"/>
      <c r="N106" s="2"/>
      <c r="O106" s="2"/>
      <c r="P106" s="2"/>
    </row>
    <row r="107" spans="2:16" ht="29" hidden="1" customHeight="1" outlineLevel="1" x14ac:dyDescent="0.2">
      <c r="B107" s="1189" t="str">
        <f>B37</f>
        <v>Alimentaire</v>
      </c>
      <c r="C107" s="1516" t="str">
        <f t="shared" ref="C107:C108" si="2">E37</f>
        <v>Réduire de 50% la quantité de dechets alimentaires produits en 2035 par rapport à 2023.</v>
      </c>
      <c r="D107" s="2027">
        <v>-0.5</v>
      </c>
      <c r="E107" s="1516" t="s">
        <v>2168</v>
      </c>
      <c r="F107" s="2027">
        <v>-0.75</v>
      </c>
      <c r="G107" s="2"/>
      <c r="H107" s="2"/>
      <c r="I107" s="2"/>
      <c r="J107" s="2"/>
      <c r="K107" s="2"/>
      <c r="L107" s="2"/>
      <c r="M107" s="2"/>
      <c r="N107" s="2"/>
      <c r="O107" s="2"/>
      <c r="P107" s="2"/>
    </row>
    <row r="108" spans="2:16" ht="29" hidden="1" customHeight="1" outlineLevel="1" x14ac:dyDescent="0.2">
      <c r="B108" s="1189" t="str">
        <f>B38</f>
        <v>Plastiques</v>
      </c>
      <c r="C108" s="2028" t="str">
        <f t="shared" si="2"/>
        <v xml:space="preserve">La LTECV nous donne un objectif de réduction de 15% de la masse de tous les types de dechets en 2035 par rapport à 2023. </v>
      </c>
      <c r="D108" s="2026">
        <f>-15%</f>
        <v>-0.15</v>
      </c>
      <c r="E108" s="1516" t="s">
        <v>2167</v>
      </c>
      <c r="F108" s="2026">
        <v>-0.4</v>
      </c>
      <c r="G108" s="2"/>
      <c r="H108" s="2"/>
      <c r="I108" s="2"/>
      <c r="J108" s="2"/>
      <c r="K108" s="2"/>
      <c r="L108" s="2"/>
      <c r="M108" s="2"/>
      <c r="N108" s="2"/>
      <c r="O108" s="2"/>
      <c r="P108" s="2"/>
    </row>
    <row r="109" spans="2:16" ht="29" hidden="1" customHeight="1" outlineLevel="1" x14ac:dyDescent="0.2">
      <c r="B109" s="1508"/>
      <c r="C109" s="134"/>
      <c r="D109" s="142"/>
      <c r="E109" s="2"/>
      <c r="F109" s="2"/>
      <c r="G109" s="2"/>
      <c r="H109" s="2"/>
      <c r="I109" s="2"/>
      <c r="J109" s="2"/>
      <c r="K109" s="2"/>
      <c r="L109" s="2"/>
      <c r="M109" s="2"/>
      <c r="N109" s="2"/>
      <c r="O109" s="2"/>
      <c r="P109" s="2"/>
    </row>
    <row r="110" spans="2:16" ht="29" hidden="1" customHeight="1" outlineLevel="1" x14ac:dyDescent="0.2">
      <c r="B110" s="193" t="s">
        <v>1357</v>
      </c>
      <c r="C110" s="55"/>
      <c r="D110" s="55"/>
      <c r="E110" s="2"/>
      <c r="F110" s="2"/>
      <c r="G110" s="2"/>
      <c r="H110" s="2"/>
      <c r="I110" s="2"/>
      <c r="J110" s="2"/>
      <c r="K110" s="2"/>
      <c r="L110" s="2"/>
      <c r="M110" s="2"/>
      <c r="N110" s="2"/>
      <c r="O110" s="2"/>
      <c r="P110" s="2"/>
    </row>
    <row r="111" spans="2:16" ht="29" hidden="1" customHeight="1" outlineLevel="1" thickBot="1" x14ac:dyDescent="0.25">
      <c r="B111" s="55" t="s">
        <v>1858</v>
      </c>
      <c r="C111" s="55"/>
      <c r="D111" s="55"/>
      <c r="E111" s="2"/>
      <c r="F111" s="2"/>
      <c r="G111" s="2"/>
      <c r="H111" s="2"/>
      <c r="I111" s="2"/>
      <c r="J111" s="2"/>
      <c r="K111" s="2"/>
      <c r="L111" s="2"/>
      <c r="M111" s="2"/>
      <c r="N111" s="2"/>
      <c r="O111" s="2"/>
      <c r="P111" s="2"/>
    </row>
    <row r="112" spans="2:16" ht="29" hidden="1" customHeight="1" outlineLevel="1" thickBot="1" x14ac:dyDescent="0.25">
      <c r="B112" s="1556" t="s">
        <v>1188</v>
      </c>
      <c r="C112" s="1557" t="s">
        <v>1870</v>
      </c>
      <c r="D112" s="1557" t="s">
        <v>1860</v>
      </c>
      <c r="E112" s="1558" t="s">
        <v>922</v>
      </c>
      <c r="F112" s="2"/>
      <c r="G112" s="2"/>
      <c r="H112" s="2"/>
      <c r="I112" s="2"/>
      <c r="J112" s="2"/>
      <c r="K112" s="2"/>
      <c r="L112" s="2"/>
      <c r="M112" s="2"/>
      <c r="N112" s="2"/>
      <c r="O112" s="2"/>
      <c r="P112" s="2"/>
    </row>
    <row r="113" spans="1:16" ht="29" hidden="1" customHeight="1" outlineLevel="1" x14ac:dyDescent="0.2">
      <c r="B113" s="1552" t="str">
        <f>C19</f>
        <v>Bouteilles plastiques</v>
      </c>
      <c r="C113" s="1553">
        <f>D19*$D$18</f>
        <v>88.133115404232427</v>
      </c>
      <c r="D113" s="1554">
        <f>D19*$D$18*(1+F108)</f>
        <v>52.879869242539456</v>
      </c>
      <c r="E113" s="1304">
        <f>D113/$D$118</f>
        <v>1.3513513513513513E-2</v>
      </c>
      <c r="F113" s="2"/>
      <c r="G113" s="2"/>
      <c r="H113" s="2"/>
      <c r="I113" s="2"/>
      <c r="J113" s="2"/>
      <c r="K113" s="2"/>
      <c r="L113" s="2"/>
      <c r="M113" s="2"/>
      <c r="N113" s="2"/>
      <c r="O113" s="2"/>
      <c r="P113" s="2"/>
    </row>
    <row r="114" spans="1:16" ht="29" hidden="1" customHeight="1" outlineLevel="1" x14ac:dyDescent="0.2">
      <c r="B114" s="1555" t="str">
        <f>C20</f>
        <v>Carton</v>
      </c>
      <c r="C114" s="1524">
        <f t="shared" ref="C114:C117" si="3">D20*$D$18</f>
        <v>461.00398826829274</v>
      </c>
      <c r="D114" s="314">
        <f>D20*$D$18*(1+F106)</f>
        <v>276.60239296097564</v>
      </c>
      <c r="E114" s="725">
        <f>D114/$D$118</f>
        <v>7.068607068607069E-2</v>
      </c>
      <c r="F114" s="2"/>
      <c r="G114" s="2"/>
      <c r="H114" s="2"/>
      <c r="I114" s="2"/>
      <c r="J114" s="2"/>
      <c r="K114" s="2"/>
      <c r="L114" s="2"/>
      <c r="M114" s="2"/>
      <c r="N114" s="2"/>
      <c r="O114" s="2"/>
      <c r="P114" s="2"/>
    </row>
    <row r="115" spans="1:16" ht="29" hidden="1" customHeight="1" outlineLevel="1" x14ac:dyDescent="0.2">
      <c r="B115" s="1555" t="str">
        <f>C21</f>
        <v>Verre</v>
      </c>
      <c r="C115" s="1524">
        <f t="shared" si="3"/>
        <v>2169.4305330272596</v>
      </c>
      <c r="D115" s="314">
        <f>D21*$D$18*(1+F106)</f>
        <v>1301.6583198163557</v>
      </c>
      <c r="E115" s="725">
        <f>D115/$D$118</f>
        <v>0.3326403326403326</v>
      </c>
      <c r="F115" s="2"/>
      <c r="G115" s="2"/>
      <c r="H115" s="2"/>
      <c r="I115" s="2"/>
      <c r="J115" s="2"/>
      <c r="K115" s="2"/>
      <c r="L115" s="2"/>
      <c r="M115" s="2"/>
      <c r="N115" s="2"/>
      <c r="O115" s="2"/>
      <c r="P115" s="2"/>
    </row>
    <row r="116" spans="1:16" ht="29" hidden="1" customHeight="1" outlineLevel="1" x14ac:dyDescent="0.2">
      <c r="B116" s="1555" t="str">
        <f>C22</f>
        <v>Bio-déchets (pelouse et alimentaire)</v>
      </c>
      <c r="C116" s="1524">
        <f t="shared" si="3"/>
        <v>406.76822494261125</v>
      </c>
      <c r="D116" s="314">
        <f>D22*$D$18*(1+F107)</f>
        <v>101.69205623565281</v>
      </c>
      <c r="E116" s="725">
        <f>D116/$D$118</f>
        <v>2.5987525987525989E-2</v>
      </c>
      <c r="F116" s="2"/>
      <c r="G116" s="2"/>
      <c r="H116" s="2"/>
      <c r="I116" s="2"/>
      <c r="J116" s="2"/>
      <c r="K116" s="2"/>
      <c r="L116" s="2"/>
      <c r="M116" s="2"/>
      <c r="N116" s="2"/>
      <c r="O116" s="2"/>
      <c r="P116" s="2"/>
    </row>
    <row r="117" spans="1:16" ht="29" hidden="1" customHeight="1" outlineLevel="1" thickBot="1" x14ac:dyDescent="0.25">
      <c r="B117" s="1559" t="str">
        <f>C23</f>
        <v>DIB et déchets ménagers</v>
      </c>
      <c r="C117" s="1560">
        <f t="shared" si="3"/>
        <v>3633.79614282066</v>
      </c>
      <c r="D117" s="1561">
        <f>D23*$D$18*(1+F106)</f>
        <v>2180.2776856923961</v>
      </c>
      <c r="E117" s="1562">
        <f>D117/$D$118</f>
        <v>0.5571725571725572</v>
      </c>
      <c r="F117" s="2"/>
      <c r="G117" s="2"/>
      <c r="H117" s="2"/>
      <c r="I117" s="2"/>
      <c r="J117" s="2"/>
      <c r="K117" s="2"/>
      <c r="L117" s="2"/>
      <c r="M117" s="2"/>
      <c r="N117" s="2"/>
      <c r="O117" s="2"/>
      <c r="P117" s="2"/>
    </row>
    <row r="118" spans="1:16" ht="29" customHeight="1" collapsed="1" thickBot="1" x14ac:dyDescent="0.25">
      <c r="B118" s="1563" t="s">
        <v>198</v>
      </c>
      <c r="C118" s="1564">
        <f>SUM(C113:C117)</f>
        <v>6759.1320044630556</v>
      </c>
      <c r="D118" s="1564">
        <f>SUM(D113:D117)</f>
        <v>3913.1103239479198</v>
      </c>
      <c r="E118" s="1565">
        <f>SUM(E113:E117)</f>
        <v>1</v>
      </c>
      <c r="F118" s="2"/>
      <c r="G118" s="2"/>
      <c r="H118" s="2"/>
      <c r="I118" s="2"/>
      <c r="J118" s="2"/>
      <c r="K118" s="2"/>
      <c r="L118" s="2"/>
      <c r="M118" s="2"/>
      <c r="N118" s="2"/>
      <c r="O118" s="2"/>
      <c r="P118" s="2"/>
    </row>
    <row r="119" spans="1:16" ht="29" customHeight="1" x14ac:dyDescent="0.2">
      <c r="A119"/>
      <c r="B119" s="2"/>
      <c r="C119" s="2"/>
      <c r="D119" s="2"/>
      <c r="E119" s="2"/>
      <c r="F119" s="2"/>
      <c r="G119" s="2"/>
      <c r="H119" s="2"/>
      <c r="I119" s="2"/>
      <c r="J119" s="2"/>
      <c r="K119" s="2"/>
      <c r="L119" s="2"/>
      <c r="M119" s="2"/>
      <c r="N119" s="2"/>
      <c r="O119" s="2"/>
      <c r="P119" s="2"/>
    </row>
    <row r="120" spans="1:16" ht="29" customHeight="1" x14ac:dyDescent="0.2">
      <c r="B120" s="2"/>
      <c r="C120" s="2"/>
      <c r="D120" s="2"/>
      <c r="E120" s="2"/>
      <c r="F120" s="2"/>
      <c r="G120" s="2"/>
      <c r="H120" s="2"/>
      <c r="I120" s="2"/>
      <c r="J120" s="2"/>
      <c r="K120" s="2"/>
      <c r="L120" s="2"/>
      <c r="M120" s="2"/>
      <c r="N120" s="2"/>
      <c r="O120" s="2"/>
      <c r="P120" s="2"/>
    </row>
    <row r="121" spans="1:16" ht="29" customHeight="1" x14ac:dyDescent="0.2">
      <c r="B121" s="2"/>
      <c r="C121" s="2"/>
      <c r="D121" s="2"/>
      <c r="E121" s="2"/>
      <c r="F121" s="2"/>
      <c r="G121" s="2"/>
      <c r="H121" s="2"/>
      <c r="I121" s="2"/>
      <c r="J121" s="2"/>
      <c r="K121" s="2"/>
      <c r="L121" s="2"/>
      <c r="M121" s="2"/>
      <c r="N121" s="2"/>
      <c r="O121" s="2"/>
      <c r="P121" s="2"/>
    </row>
    <row r="122" spans="1:16" ht="29" customHeight="1" x14ac:dyDescent="0.2">
      <c r="B122" s="2"/>
      <c r="C122" s="2"/>
      <c r="D122" s="2"/>
      <c r="E122" s="2"/>
      <c r="F122" s="2"/>
      <c r="G122" s="2"/>
      <c r="H122" s="2"/>
      <c r="I122" s="2"/>
      <c r="J122" s="2"/>
      <c r="K122" s="2"/>
      <c r="L122" s="2"/>
      <c r="M122" s="2"/>
      <c r="N122" s="2"/>
      <c r="O122" s="2"/>
      <c r="P122" s="2"/>
    </row>
    <row r="123" spans="1:16" ht="29" customHeight="1" x14ac:dyDescent="0.2">
      <c r="B123" s="2"/>
      <c r="C123" s="2"/>
      <c r="D123" s="2"/>
      <c r="E123" s="2"/>
      <c r="F123" s="2"/>
      <c r="G123" s="2"/>
      <c r="H123" s="2"/>
      <c r="I123" s="2"/>
      <c r="J123" s="2"/>
      <c r="K123" s="2"/>
      <c r="L123" s="2"/>
      <c r="M123" s="2"/>
      <c r="N123" s="2"/>
      <c r="O123" s="2"/>
      <c r="P123" s="2"/>
    </row>
    <row r="124" spans="1:16" ht="29" customHeight="1" x14ac:dyDescent="0.2">
      <c r="B124" s="2435"/>
      <c r="C124"/>
      <c r="D124"/>
      <c r="E124"/>
      <c r="F124" s="2"/>
      <c r="G124" s="2"/>
      <c r="H124" s="2"/>
      <c r="I124" s="2"/>
      <c r="J124" s="2"/>
      <c r="K124" s="2"/>
      <c r="L124" s="2"/>
      <c r="M124" s="2"/>
      <c r="N124" s="2"/>
      <c r="O124" s="2"/>
      <c r="P124" s="2"/>
    </row>
    <row r="125" spans="1:16" ht="29" customHeight="1" x14ac:dyDescent="0.2">
      <c r="B125" s="2435"/>
      <c r="C125"/>
      <c r="D125"/>
      <c r="E125"/>
      <c r="F125" s="2"/>
      <c r="G125" s="2"/>
      <c r="H125" s="2"/>
      <c r="I125" s="2"/>
      <c r="J125" s="2"/>
      <c r="K125" s="2"/>
      <c r="L125" s="2"/>
      <c r="M125" s="2"/>
      <c r="N125" s="2"/>
      <c r="O125" s="2"/>
      <c r="P125" s="2"/>
    </row>
    <row r="126" spans="1:16" ht="31" customHeight="1" x14ac:dyDescent="0.2">
      <c r="B126" s="2437" t="s">
        <v>1812</v>
      </c>
      <c r="C126" s="2437" t="s">
        <v>1813</v>
      </c>
      <c r="D126" s="2437" t="s">
        <v>2622</v>
      </c>
      <c r="E126" s="2437" t="s">
        <v>2623</v>
      </c>
      <c r="F126" s="2"/>
      <c r="G126" s="2"/>
      <c r="H126" s="2"/>
      <c r="I126" s="2"/>
      <c r="J126" s="2"/>
      <c r="K126" s="2"/>
      <c r="L126" s="2"/>
      <c r="M126" s="2"/>
      <c r="N126" s="2"/>
      <c r="O126" s="2"/>
      <c r="P126" s="2"/>
    </row>
    <row r="127" spans="1:16" ht="42" customHeight="1" x14ac:dyDescent="0.2">
      <c r="B127" s="3063" t="s">
        <v>2624</v>
      </c>
      <c r="C127" s="3064" t="s">
        <v>2625</v>
      </c>
      <c r="D127" s="3064" t="s">
        <v>2634</v>
      </c>
      <c r="E127" s="3064" t="s">
        <v>2627</v>
      </c>
      <c r="F127" s="2"/>
      <c r="G127" s="2"/>
      <c r="H127" s="2"/>
      <c r="I127" s="2"/>
      <c r="J127" s="2"/>
      <c r="K127" s="2"/>
      <c r="L127" s="2"/>
      <c r="M127" s="2"/>
      <c r="N127" s="2"/>
      <c r="O127" s="2"/>
      <c r="P127" s="2"/>
    </row>
    <row r="128" spans="1:16" ht="42" customHeight="1" x14ac:dyDescent="0.2">
      <c r="B128" s="3063"/>
      <c r="C128" s="3064"/>
      <c r="D128" s="3064"/>
      <c r="E128" s="3064"/>
      <c r="F128" s="2"/>
      <c r="G128" s="2"/>
      <c r="H128" s="2"/>
      <c r="I128" s="2"/>
      <c r="J128" s="2"/>
      <c r="K128" s="2"/>
      <c r="L128" s="2"/>
      <c r="M128" s="2"/>
      <c r="N128" s="2"/>
      <c r="O128" s="2"/>
      <c r="P128" s="2"/>
    </row>
    <row r="129" spans="1:16" ht="42" customHeight="1" x14ac:dyDescent="0.2">
      <c r="B129" s="3063"/>
      <c r="C129" s="3064" t="s">
        <v>2626</v>
      </c>
      <c r="D129" s="3064"/>
      <c r="E129" s="3064"/>
      <c r="F129" s="2"/>
      <c r="G129" s="2"/>
      <c r="H129" s="2"/>
      <c r="I129" s="2"/>
      <c r="J129" s="2"/>
      <c r="K129" s="2"/>
      <c r="L129" s="2"/>
      <c r="M129" s="2"/>
      <c r="N129" s="2"/>
      <c r="O129" s="2"/>
      <c r="P129" s="2"/>
    </row>
    <row r="130" spans="1:16" ht="34" customHeight="1" x14ac:dyDescent="0.2">
      <c r="B130" s="3063"/>
      <c r="C130" s="3064"/>
      <c r="D130" s="3064"/>
      <c r="E130" s="3064"/>
      <c r="F130" s="2"/>
      <c r="G130" s="2"/>
      <c r="H130" s="2"/>
      <c r="I130" s="2"/>
      <c r="J130" s="2"/>
      <c r="K130" s="2"/>
      <c r="L130" s="2"/>
      <c r="M130" s="2"/>
      <c r="N130" s="2"/>
      <c r="O130" s="2"/>
      <c r="P130" s="2"/>
    </row>
    <row r="131" spans="1:16" ht="77" customHeight="1" x14ac:dyDescent="0.2">
      <c r="B131" s="2438" t="s">
        <v>2628</v>
      </c>
      <c r="C131" s="2439" t="s">
        <v>2629</v>
      </c>
      <c r="D131" s="2439" t="s">
        <v>2630</v>
      </c>
      <c r="E131" s="2439" t="s">
        <v>2631</v>
      </c>
      <c r="F131" s="2"/>
      <c r="G131" s="2"/>
      <c r="H131" s="2"/>
      <c r="I131" s="2"/>
      <c r="J131" s="2"/>
      <c r="K131" s="2"/>
      <c r="L131" s="2"/>
      <c r="M131" s="2"/>
      <c r="N131" s="2"/>
      <c r="O131" s="2"/>
      <c r="P131" s="2"/>
    </row>
    <row r="132" spans="1:16" ht="40" customHeight="1" x14ac:dyDescent="0.2">
      <c r="B132" s="2438" t="s">
        <v>1818</v>
      </c>
      <c r="C132" s="2439" t="s">
        <v>2632</v>
      </c>
      <c r="D132" s="2439"/>
      <c r="E132" s="2439" t="s">
        <v>2633</v>
      </c>
      <c r="F132" s="2"/>
      <c r="G132" s="2"/>
      <c r="H132" s="2"/>
      <c r="I132" s="2"/>
      <c r="J132" s="2"/>
      <c r="K132" s="2"/>
      <c r="L132" s="2"/>
      <c r="M132" s="2"/>
      <c r="N132" s="2"/>
      <c r="O132" s="2"/>
      <c r="P132" s="2"/>
    </row>
    <row r="133" spans="1:16" ht="29" customHeight="1" x14ac:dyDescent="0.2">
      <c r="B133" s="2436"/>
      <c r="C133"/>
      <c r="D133"/>
      <c r="E133"/>
      <c r="F133" s="2"/>
      <c r="G133" s="2"/>
      <c r="H133" s="2"/>
      <c r="I133" s="2"/>
      <c r="J133" s="2"/>
      <c r="K133" s="2"/>
      <c r="L133" s="2"/>
      <c r="M133" s="2"/>
      <c r="N133" s="2"/>
      <c r="O133" s="2"/>
      <c r="P133" s="2"/>
    </row>
    <row r="134" spans="1:16" ht="29" customHeight="1" x14ac:dyDescent="0.2">
      <c r="B134" s="2"/>
      <c r="C134" s="2"/>
      <c r="D134" s="2"/>
      <c r="E134" s="2"/>
      <c r="F134" s="2"/>
      <c r="G134" s="2"/>
      <c r="H134" s="2"/>
      <c r="I134" s="2"/>
      <c r="J134" s="2"/>
      <c r="K134" s="2"/>
      <c r="L134" s="2"/>
      <c r="M134" s="2"/>
      <c r="N134" s="2"/>
      <c r="O134" s="2"/>
      <c r="P134" s="2"/>
    </row>
    <row r="135" spans="1:16" ht="29" customHeight="1" x14ac:dyDescent="0.2">
      <c r="B135" s="2"/>
      <c r="C135" s="2"/>
      <c r="D135" s="2"/>
      <c r="E135" s="2"/>
      <c r="F135" s="2"/>
      <c r="G135" s="2"/>
      <c r="H135" s="2"/>
      <c r="I135" s="2"/>
      <c r="J135" s="2"/>
      <c r="K135" s="2"/>
      <c r="L135" s="2"/>
      <c r="M135" s="2"/>
      <c r="N135" s="2"/>
      <c r="O135" s="2"/>
      <c r="P135" s="2"/>
    </row>
    <row r="136" spans="1:16" ht="29" customHeight="1" x14ac:dyDescent="0.2">
      <c r="A136" s="2"/>
      <c r="B136" s="2"/>
      <c r="C136" s="2"/>
      <c r="D136" s="2"/>
      <c r="E136" s="2"/>
      <c r="F136" s="2"/>
      <c r="G136" s="2"/>
      <c r="H136" s="2"/>
      <c r="I136" s="2"/>
      <c r="J136" s="2"/>
      <c r="K136" s="2"/>
      <c r="L136" s="2"/>
      <c r="M136" s="2"/>
      <c r="N136" s="2"/>
      <c r="O136" s="2"/>
      <c r="P136" s="2"/>
    </row>
    <row r="137" spans="1:16" ht="29" customHeight="1" x14ac:dyDescent="0.2">
      <c r="A137" s="2"/>
      <c r="B137" s="2"/>
      <c r="C137" s="2"/>
      <c r="D137" s="2"/>
      <c r="E137" s="2"/>
      <c r="F137" s="2"/>
      <c r="G137" s="2"/>
      <c r="H137" s="2"/>
      <c r="I137" s="2"/>
      <c r="J137" s="2"/>
      <c r="K137" s="2"/>
      <c r="L137" s="2"/>
      <c r="M137" s="2"/>
      <c r="N137" s="2"/>
      <c r="O137" s="2"/>
      <c r="P137" s="2"/>
    </row>
    <row r="138" spans="1:16" ht="29" customHeight="1" x14ac:dyDescent="0.2">
      <c r="A138" s="2"/>
      <c r="B138" s="2"/>
      <c r="C138" s="2"/>
      <c r="D138" s="2"/>
      <c r="E138" s="2"/>
      <c r="F138" s="2"/>
      <c r="G138" s="2"/>
      <c r="H138" s="2"/>
      <c r="I138" s="2"/>
      <c r="K138" s="2"/>
      <c r="L138" s="2"/>
      <c r="M138" s="2"/>
      <c r="N138" s="2"/>
      <c r="O138" s="2"/>
      <c r="P138" s="2"/>
    </row>
    <row r="139" spans="1:16" ht="29" customHeight="1" x14ac:dyDescent="0.2">
      <c r="A139" s="2"/>
      <c r="B139" s="2"/>
      <c r="C139" s="2"/>
      <c r="D139" s="2"/>
      <c r="E139" s="2"/>
      <c r="F139" s="2"/>
      <c r="G139" s="2"/>
      <c r="H139" s="2"/>
      <c r="I139" s="2"/>
      <c r="K139" s="2"/>
      <c r="L139" s="2"/>
      <c r="M139" s="2"/>
      <c r="N139" s="2"/>
      <c r="O139" s="2"/>
      <c r="P139" s="2"/>
    </row>
    <row r="140" spans="1:16" ht="29" customHeight="1" x14ac:dyDescent="0.2">
      <c r="A140" s="2"/>
      <c r="B140" s="2"/>
      <c r="C140" s="2"/>
      <c r="D140" s="2"/>
      <c r="E140" s="2"/>
      <c r="F140" s="2"/>
      <c r="G140" s="2"/>
      <c r="H140" s="2"/>
      <c r="I140" s="2"/>
      <c r="K140" s="2"/>
      <c r="L140" s="2"/>
      <c r="M140" s="2"/>
      <c r="N140" s="2"/>
      <c r="O140" s="2"/>
      <c r="P140" s="2"/>
    </row>
    <row r="141" spans="1:16" ht="29" customHeight="1" x14ac:dyDescent="0.2">
      <c r="A141" s="2"/>
      <c r="B141" s="2"/>
      <c r="C141" s="2"/>
      <c r="D141" s="2"/>
      <c r="E141" s="2"/>
      <c r="F141" s="2"/>
      <c r="G141" s="2"/>
      <c r="H141" s="2"/>
      <c r="I141" s="2"/>
      <c r="J141" s="2"/>
      <c r="K141" s="2"/>
      <c r="L141" s="2"/>
      <c r="M141" s="2"/>
      <c r="N141" s="2"/>
      <c r="O141" s="2"/>
      <c r="P141" s="2"/>
    </row>
    <row r="142" spans="1:16" ht="29" customHeight="1" x14ac:dyDescent="0.2">
      <c r="A142" s="2"/>
      <c r="B142" s="2"/>
      <c r="C142" s="2"/>
      <c r="D142" s="2"/>
      <c r="E142" s="2"/>
      <c r="F142" s="2"/>
      <c r="G142" s="2"/>
      <c r="H142" s="2"/>
      <c r="I142" s="2"/>
      <c r="J142" s="2"/>
      <c r="K142" s="2"/>
      <c r="L142" s="2"/>
      <c r="M142" s="2"/>
      <c r="N142" s="2"/>
      <c r="O142" s="2"/>
      <c r="P142" s="2"/>
    </row>
    <row r="143" spans="1:16" ht="29" customHeight="1" x14ac:dyDescent="0.2">
      <c r="A143" s="2"/>
      <c r="B143" s="2"/>
      <c r="C143" s="2"/>
      <c r="D143" s="2"/>
      <c r="E143" s="2"/>
      <c r="F143" s="2"/>
      <c r="G143" s="2"/>
      <c r="H143" s="2"/>
      <c r="I143" s="2"/>
      <c r="J143" s="2"/>
      <c r="K143" s="2"/>
      <c r="L143" s="2"/>
      <c r="M143" s="2"/>
      <c r="N143" s="2"/>
      <c r="O143" s="2"/>
      <c r="P143" s="2"/>
    </row>
    <row r="144" spans="1:16" ht="29" customHeight="1" x14ac:dyDescent="0.2">
      <c r="A144" s="2"/>
      <c r="B144" s="2"/>
      <c r="C144" s="2"/>
      <c r="D144" s="2"/>
      <c r="E144" s="2"/>
      <c r="F144" s="2"/>
      <c r="G144" s="2"/>
      <c r="H144" s="2"/>
      <c r="I144" s="2"/>
      <c r="J144" s="2"/>
      <c r="K144" s="2"/>
      <c r="L144" s="2"/>
      <c r="M144" s="2"/>
      <c r="N144" s="2"/>
      <c r="O144" s="2"/>
      <c r="P144" s="2"/>
    </row>
    <row r="145" spans="1:16" ht="29" customHeight="1" x14ac:dyDescent="0.2">
      <c r="A145" s="2"/>
      <c r="B145" s="2"/>
      <c r="C145" s="2"/>
      <c r="D145" s="2"/>
      <c r="E145" s="2"/>
      <c r="F145" s="2"/>
      <c r="G145" s="2"/>
      <c r="H145" s="2"/>
      <c r="I145" s="2"/>
      <c r="J145" s="2"/>
      <c r="K145" s="2"/>
      <c r="L145" s="2"/>
      <c r="M145" s="2"/>
      <c r="N145" s="2"/>
      <c r="O145" s="2"/>
      <c r="P145" s="2"/>
    </row>
    <row r="146" spans="1:16" ht="29" customHeight="1" x14ac:dyDescent="0.2">
      <c r="A146" s="2"/>
      <c r="B146" s="2"/>
      <c r="C146" s="2"/>
      <c r="D146" s="2"/>
      <c r="E146" s="2"/>
      <c r="F146" s="2"/>
      <c r="G146" s="2"/>
      <c r="H146" s="2"/>
      <c r="I146" s="2"/>
      <c r="J146" s="2"/>
      <c r="K146" s="2"/>
      <c r="L146" s="2"/>
      <c r="M146" s="2"/>
      <c r="N146" s="2"/>
      <c r="O146" s="2"/>
      <c r="P146" s="2"/>
    </row>
    <row r="147" spans="1:16" ht="29" customHeight="1" x14ac:dyDescent="0.2">
      <c r="A147" s="2"/>
      <c r="B147" s="2"/>
      <c r="C147" s="2"/>
      <c r="D147" s="2"/>
      <c r="E147" s="2"/>
      <c r="F147" s="2"/>
      <c r="G147" s="2"/>
      <c r="H147" s="2"/>
      <c r="I147" s="2"/>
      <c r="J147" s="2"/>
      <c r="K147" s="2"/>
      <c r="L147" s="2"/>
      <c r="M147" s="2"/>
      <c r="N147" s="2"/>
      <c r="O147" s="2"/>
      <c r="P147" s="2"/>
    </row>
    <row r="148" spans="1:16" ht="29" customHeight="1" x14ac:dyDescent="0.2">
      <c r="A148" s="2"/>
      <c r="B148" s="2"/>
      <c r="C148" s="2"/>
      <c r="D148" s="2"/>
      <c r="E148" s="2"/>
      <c r="F148" s="2"/>
      <c r="G148" s="2"/>
      <c r="H148" s="2"/>
      <c r="I148" s="2"/>
      <c r="J148" s="2"/>
      <c r="K148" s="2"/>
      <c r="L148" s="2"/>
      <c r="M148" s="2"/>
      <c r="N148" s="2"/>
      <c r="O148" s="2"/>
      <c r="P148" s="2"/>
    </row>
    <row r="149" spans="1:16" ht="29" customHeight="1" x14ac:dyDescent="0.2">
      <c r="A149" s="2"/>
      <c r="B149" s="2"/>
      <c r="C149" s="2"/>
      <c r="D149" s="2"/>
      <c r="E149" s="2"/>
      <c r="F149" s="2"/>
      <c r="G149" s="2"/>
      <c r="H149" s="2"/>
      <c r="I149" s="2"/>
      <c r="J149" s="2"/>
      <c r="K149" s="2"/>
      <c r="L149" s="2"/>
      <c r="M149" s="2"/>
      <c r="N149" s="2"/>
      <c r="O149" s="2"/>
      <c r="P149" s="2"/>
    </row>
    <row r="150" spans="1:16" ht="29" customHeight="1" x14ac:dyDescent="0.2">
      <c r="A150" s="2"/>
      <c r="B150" s="2"/>
      <c r="C150" s="2"/>
      <c r="D150" s="2"/>
      <c r="E150" s="2"/>
      <c r="F150" s="2"/>
      <c r="G150" s="2"/>
      <c r="H150" s="2"/>
      <c r="I150" s="2"/>
      <c r="J150" s="2"/>
      <c r="K150" s="2"/>
      <c r="L150" s="2"/>
      <c r="M150" s="2"/>
      <c r="N150" s="2"/>
      <c r="O150" s="2"/>
      <c r="P150" s="2"/>
    </row>
    <row r="151" spans="1:16" ht="29" customHeight="1" x14ac:dyDescent="0.2">
      <c r="A151" s="2"/>
      <c r="B151" s="2"/>
      <c r="C151" s="2"/>
      <c r="D151" s="2"/>
      <c r="E151" s="2"/>
      <c r="F151" s="2"/>
      <c r="G151" s="2"/>
      <c r="H151" s="2"/>
      <c r="I151" s="2"/>
      <c r="J151" s="2"/>
      <c r="K151" s="2"/>
      <c r="L151" s="2"/>
      <c r="M151" s="2"/>
      <c r="N151" s="2"/>
      <c r="O151" s="2"/>
      <c r="P151" s="2"/>
    </row>
    <row r="152" spans="1:16" ht="29" customHeight="1" x14ac:dyDescent="0.2">
      <c r="A152" s="2"/>
      <c r="B152" s="2"/>
      <c r="C152" s="2"/>
      <c r="D152" s="2"/>
      <c r="E152" s="2"/>
      <c r="F152" s="2"/>
      <c r="G152" s="2"/>
      <c r="H152" s="2"/>
      <c r="I152" s="2"/>
      <c r="J152" s="2"/>
      <c r="K152" s="2"/>
      <c r="L152" s="2"/>
      <c r="M152" s="2"/>
      <c r="N152" s="2"/>
      <c r="O152" s="2"/>
      <c r="P152" s="2"/>
    </row>
    <row r="153" spans="1:16" ht="29" customHeight="1" x14ac:dyDescent="0.2">
      <c r="A153" s="2"/>
      <c r="B153" s="2"/>
      <c r="C153" s="2"/>
      <c r="D153" s="2"/>
      <c r="E153" s="2"/>
      <c r="F153" s="2"/>
      <c r="G153" s="2"/>
      <c r="H153" s="2"/>
      <c r="I153" s="2"/>
      <c r="J153" s="2"/>
      <c r="K153" s="2"/>
      <c r="L153" s="2"/>
      <c r="M153" s="2"/>
      <c r="N153" s="2"/>
      <c r="O153" s="2"/>
      <c r="P153" s="2"/>
    </row>
    <row r="154" spans="1:16" ht="29" customHeight="1" x14ac:dyDescent="0.2">
      <c r="A154" s="2"/>
      <c r="B154" s="2"/>
      <c r="C154" s="2"/>
      <c r="D154" s="2"/>
      <c r="E154" s="2"/>
      <c r="F154" s="2"/>
      <c r="G154" s="2"/>
      <c r="H154" s="2"/>
      <c r="I154" s="2"/>
      <c r="J154" s="2"/>
      <c r="K154" s="2"/>
      <c r="L154" s="2"/>
      <c r="M154" s="2"/>
      <c r="N154" s="2"/>
      <c r="O154" s="2"/>
      <c r="P154" s="2"/>
    </row>
    <row r="155" spans="1:16" ht="29" customHeight="1" x14ac:dyDescent="0.2">
      <c r="A155" s="2"/>
      <c r="B155" s="2"/>
      <c r="C155" s="2"/>
      <c r="D155" s="2"/>
      <c r="E155" s="2"/>
      <c r="F155" s="2"/>
      <c r="G155" s="2"/>
      <c r="H155" s="2"/>
      <c r="I155" s="2"/>
      <c r="J155" s="2"/>
      <c r="K155" s="2"/>
      <c r="L155" s="2"/>
      <c r="M155" s="2"/>
      <c r="N155" s="2"/>
      <c r="O155" s="2"/>
      <c r="P155" s="2"/>
    </row>
    <row r="156" spans="1:16" ht="29" customHeight="1" x14ac:dyDescent="0.2">
      <c r="A156" s="2"/>
      <c r="B156" s="2"/>
      <c r="C156" s="2"/>
      <c r="D156" s="2"/>
      <c r="E156" s="2"/>
      <c r="F156" s="2"/>
      <c r="G156" s="2"/>
      <c r="H156" s="2"/>
      <c r="I156" s="2"/>
      <c r="J156" s="2"/>
      <c r="K156" s="2"/>
      <c r="L156" s="2"/>
      <c r="M156" s="2"/>
      <c r="N156" s="2"/>
      <c r="O156" s="2"/>
      <c r="P156" s="2"/>
    </row>
    <row r="157" spans="1:16" ht="29" customHeight="1" x14ac:dyDescent="0.2">
      <c r="A157" s="2"/>
      <c r="B157" s="2"/>
      <c r="C157" s="2"/>
      <c r="D157" s="2"/>
      <c r="E157" s="2"/>
      <c r="F157" s="2"/>
      <c r="G157" s="2"/>
      <c r="H157" s="2"/>
      <c r="I157" s="2"/>
      <c r="J157" s="2"/>
      <c r="K157" s="2"/>
      <c r="L157" s="2"/>
      <c r="M157" s="2"/>
      <c r="N157" s="2"/>
      <c r="O157" s="2"/>
      <c r="P157" s="2"/>
    </row>
    <row r="158" spans="1:16" ht="29" customHeight="1" x14ac:dyDescent="0.2">
      <c r="A158" s="2"/>
      <c r="B158" s="2"/>
      <c r="C158" s="2"/>
      <c r="D158" s="2"/>
      <c r="E158" s="2"/>
      <c r="F158" s="2"/>
      <c r="G158" s="2"/>
      <c r="H158" s="2"/>
      <c r="I158" s="2"/>
      <c r="J158" s="2"/>
      <c r="K158" s="2"/>
      <c r="L158" s="2"/>
      <c r="M158" s="2"/>
      <c r="N158" s="2"/>
      <c r="O158" s="2"/>
      <c r="P158" s="2"/>
    </row>
    <row r="159" spans="1:16" ht="29" customHeight="1" x14ac:dyDescent="0.2">
      <c r="A159" s="2"/>
      <c r="B159" s="2"/>
      <c r="C159" s="2"/>
      <c r="D159" s="2"/>
      <c r="E159" s="2"/>
      <c r="F159" s="2"/>
      <c r="G159" s="2"/>
      <c r="H159" s="2"/>
      <c r="I159" s="2"/>
      <c r="J159" s="2"/>
      <c r="K159" s="2"/>
      <c r="L159" s="2"/>
      <c r="M159" s="2"/>
      <c r="N159" s="2"/>
      <c r="O159" s="2"/>
      <c r="P159" s="2"/>
    </row>
    <row r="160" spans="1:16" ht="29" customHeight="1" x14ac:dyDescent="0.2">
      <c r="A160" s="2"/>
      <c r="B160" s="2"/>
      <c r="C160" s="2"/>
      <c r="D160" s="2"/>
      <c r="E160" s="2"/>
      <c r="F160" s="2"/>
      <c r="G160" s="2"/>
      <c r="H160" s="2"/>
      <c r="I160" s="2"/>
      <c r="J160" s="2"/>
      <c r="K160" s="2"/>
      <c r="L160" s="2"/>
      <c r="M160" s="2"/>
      <c r="N160" s="2"/>
      <c r="O160" s="2"/>
      <c r="P160" s="2"/>
    </row>
    <row r="161" spans="1:16" ht="29" customHeight="1" x14ac:dyDescent="0.2">
      <c r="A161" s="2"/>
      <c r="B161" s="2"/>
      <c r="C161" s="2"/>
      <c r="D161" s="2"/>
      <c r="E161" s="2"/>
      <c r="F161" s="2"/>
      <c r="G161" s="2"/>
      <c r="H161" s="2"/>
      <c r="I161" s="2"/>
      <c r="J161" s="2"/>
      <c r="K161" s="2"/>
      <c r="L161" s="2"/>
      <c r="M161" s="2"/>
      <c r="N161" s="2"/>
      <c r="O161" s="2"/>
      <c r="P161" s="2"/>
    </row>
    <row r="162" spans="1:16" ht="29" customHeight="1" x14ac:dyDescent="0.2">
      <c r="A162" s="2"/>
      <c r="B162" s="2"/>
      <c r="C162" s="2"/>
      <c r="D162" s="2"/>
      <c r="E162" s="2"/>
      <c r="F162" s="2"/>
      <c r="G162" s="2"/>
      <c r="H162" s="2"/>
      <c r="I162" s="2"/>
      <c r="J162" s="2"/>
      <c r="K162" s="2"/>
      <c r="L162" s="2"/>
      <c r="M162" s="2"/>
      <c r="N162" s="2"/>
      <c r="O162" s="2"/>
      <c r="P162" s="2"/>
    </row>
    <row r="163" spans="1:16" ht="29" customHeight="1" x14ac:dyDescent="0.2">
      <c r="A163" s="2"/>
      <c r="B163" s="2"/>
      <c r="C163" s="2"/>
      <c r="D163" s="2"/>
      <c r="E163" s="2"/>
      <c r="F163" s="2"/>
      <c r="G163" s="2"/>
      <c r="H163" s="2"/>
      <c r="I163" s="2"/>
      <c r="J163" s="2"/>
      <c r="K163" s="2"/>
      <c r="L163" s="2"/>
      <c r="M163" s="2"/>
      <c r="N163" s="2"/>
      <c r="O163" s="2"/>
      <c r="P163" s="2"/>
    </row>
    <row r="164" spans="1:16" ht="29" customHeight="1" x14ac:dyDescent="0.2">
      <c r="A164" s="2"/>
      <c r="B164" s="2"/>
      <c r="C164" s="2"/>
      <c r="D164" s="2"/>
      <c r="E164" s="2"/>
      <c r="F164" s="2"/>
      <c r="G164" s="2"/>
      <c r="H164" s="2"/>
      <c r="I164" s="2"/>
      <c r="J164" s="2"/>
      <c r="K164" s="2"/>
      <c r="L164" s="2"/>
      <c r="M164" s="2"/>
      <c r="N164" s="2"/>
      <c r="O164" s="2"/>
      <c r="P164" s="2"/>
    </row>
    <row r="165" spans="1:16" ht="29" customHeight="1" x14ac:dyDescent="0.2">
      <c r="A165" s="2"/>
      <c r="B165" s="2"/>
      <c r="C165" s="2"/>
      <c r="D165" s="2"/>
      <c r="E165" s="2"/>
      <c r="F165" s="2"/>
      <c r="G165" s="2"/>
      <c r="H165" s="2"/>
      <c r="I165" s="2"/>
      <c r="J165" s="2"/>
      <c r="K165" s="2"/>
      <c r="L165" s="2"/>
      <c r="M165" s="2"/>
      <c r="N165" s="2"/>
      <c r="O165" s="2"/>
      <c r="P165" s="2"/>
    </row>
    <row r="166" spans="1:16" ht="29" customHeight="1" x14ac:dyDescent="0.2">
      <c r="A166" s="2"/>
      <c r="B166" s="2"/>
      <c r="C166" s="2"/>
      <c r="D166" s="2"/>
      <c r="E166" s="2"/>
      <c r="F166" s="2"/>
      <c r="G166" s="2"/>
      <c r="H166" s="2"/>
      <c r="I166" s="2"/>
      <c r="J166" s="2"/>
      <c r="K166" s="2"/>
      <c r="L166" s="2"/>
      <c r="M166" s="2"/>
      <c r="N166" s="2"/>
      <c r="O166" s="2"/>
      <c r="P166" s="2"/>
    </row>
    <row r="167" spans="1:16" ht="29" customHeight="1" x14ac:dyDescent="0.2">
      <c r="A167" s="2"/>
      <c r="B167" s="2"/>
      <c r="C167" s="2"/>
      <c r="D167" s="2"/>
      <c r="E167" s="2"/>
      <c r="F167" s="2"/>
      <c r="G167" s="2"/>
      <c r="H167" s="2"/>
      <c r="I167" s="2"/>
      <c r="J167" s="2"/>
      <c r="K167" s="2"/>
      <c r="L167" s="2"/>
      <c r="M167" s="2"/>
      <c r="N167" s="2"/>
      <c r="O167" s="2"/>
      <c r="P167" s="2"/>
    </row>
    <row r="168" spans="1:16" ht="29" customHeight="1" x14ac:dyDescent="0.2">
      <c r="A168" s="2"/>
      <c r="B168" s="2"/>
      <c r="C168" s="2"/>
      <c r="D168" s="2"/>
      <c r="E168" s="2"/>
      <c r="F168" s="2"/>
      <c r="G168" s="2"/>
      <c r="H168" s="2"/>
      <c r="I168" s="2"/>
      <c r="J168" s="2"/>
      <c r="K168" s="2"/>
      <c r="L168" s="2"/>
      <c r="M168" s="2"/>
      <c r="N168" s="2"/>
      <c r="O168" s="2"/>
      <c r="P168" s="2"/>
    </row>
    <row r="169" spans="1:16" ht="29" customHeight="1" x14ac:dyDescent="0.2">
      <c r="A169" s="2"/>
      <c r="B169" s="2"/>
      <c r="C169" s="2"/>
      <c r="D169" s="2"/>
      <c r="E169" s="2"/>
      <c r="F169" s="2"/>
      <c r="G169" s="2"/>
      <c r="H169" s="2"/>
      <c r="I169" s="2"/>
      <c r="J169" s="2"/>
      <c r="K169" s="2"/>
      <c r="L169" s="2"/>
      <c r="M169" s="2"/>
      <c r="N169" s="2"/>
      <c r="O169" s="2"/>
      <c r="P169" s="2"/>
    </row>
    <row r="170" spans="1:16" ht="29" customHeight="1" x14ac:dyDescent="0.2">
      <c r="A170" s="2"/>
      <c r="B170" s="2"/>
      <c r="C170" s="2"/>
      <c r="D170" s="2"/>
      <c r="E170" s="2"/>
      <c r="F170" s="2"/>
      <c r="G170" s="2"/>
      <c r="H170" s="2"/>
      <c r="I170" s="2"/>
      <c r="J170" s="2"/>
      <c r="K170" s="2"/>
      <c r="L170" s="2"/>
      <c r="M170" s="2"/>
      <c r="N170" s="2"/>
      <c r="O170" s="2"/>
      <c r="P170" s="2"/>
    </row>
    <row r="171" spans="1:16" ht="29" customHeight="1" x14ac:dyDescent="0.2">
      <c r="A171" s="2"/>
      <c r="B171" s="2"/>
      <c r="C171" s="2"/>
      <c r="D171" s="2"/>
      <c r="E171" s="2"/>
      <c r="F171" s="2"/>
      <c r="G171" s="2"/>
      <c r="H171" s="2"/>
      <c r="I171" s="2"/>
      <c r="J171" s="2"/>
      <c r="K171" s="2"/>
      <c r="L171" s="2"/>
      <c r="M171" s="2"/>
      <c r="N171" s="2"/>
      <c r="O171" s="2"/>
      <c r="P171" s="2"/>
    </row>
    <row r="172" spans="1:16" ht="16" x14ac:dyDescent="0.2">
      <c r="A172" s="2"/>
      <c r="B172" s="2"/>
      <c r="C172" s="2"/>
      <c r="D172" s="2"/>
      <c r="E172" s="2"/>
      <c r="F172" s="2"/>
      <c r="G172" s="2"/>
      <c r="H172" s="2"/>
      <c r="I172" s="2"/>
      <c r="J172" s="2"/>
      <c r="K172" s="2"/>
      <c r="L172" s="2"/>
      <c r="M172" s="2"/>
      <c r="N172" s="2"/>
      <c r="O172" s="2"/>
      <c r="P172" s="2"/>
    </row>
    <row r="173" spans="1:16" ht="16" x14ac:dyDescent="0.2">
      <c r="A173" s="2"/>
      <c r="B173" s="2"/>
      <c r="C173" s="2"/>
      <c r="D173" s="2"/>
      <c r="E173" s="2"/>
      <c r="F173" s="2"/>
      <c r="G173" s="2"/>
      <c r="H173" s="2"/>
      <c r="I173" s="2"/>
      <c r="J173" s="2"/>
      <c r="K173" s="2"/>
      <c r="L173" s="2"/>
      <c r="M173" s="2"/>
      <c r="N173" s="2"/>
      <c r="O173" s="2"/>
      <c r="P173" s="2"/>
    </row>
    <row r="174" spans="1:16" ht="16" x14ac:dyDescent="0.2">
      <c r="A174" s="2"/>
      <c r="B174" s="2"/>
      <c r="C174" s="2"/>
      <c r="D174" s="2"/>
      <c r="E174" s="2"/>
      <c r="F174" s="2"/>
      <c r="G174" s="2"/>
      <c r="H174" s="2"/>
      <c r="I174" s="2"/>
      <c r="J174" s="2"/>
      <c r="K174" s="2"/>
      <c r="L174" s="2"/>
      <c r="M174" s="2"/>
      <c r="N174" s="2"/>
      <c r="O174" s="2"/>
      <c r="P174" s="2"/>
    </row>
    <row r="175" spans="1:16" ht="16" x14ac:dyDescent="0.2">
      <c r="A175" s="2"/>
      <c r="B175" s="2"/>
      <c r="C175" s="2"/>
      <c r="D175" s="2"/>
      <c r="E175" s="2"/>
      <c r="F175" s="2"/>
      <c r="G175" s="2"/>
      <c r="H175" s="2"/>
      <c r="I175" s="2"/>
      <c r="J175" s="2"/>
      <c r="K175" s="2"/>
      <c r="L175" s="2"/>
      <c r="M175" s="2"/>
      <c r="N175" s="2"/>
      <c r="O175" s="2"/>
      <c r="P175" s="2"/>
    </row>
    <row r="176" spans="1:16" ht="16" x14ac:dyDescent="0.2">
      <c r="A176" s="2"/>
      <c r="B176" s="2"/>
      <c r="C176" s="2"/>
      <c r="D176" s="2"/>
      <c r="E176" s="2"/>
      <c r="F176" s="2"/>
      <c r="G176" s="2"/>
      <c r="H176" s="2"/>
      <c r="I176" s="2"/>
      <c r="J176" s="2"/>
      <c r="K176" s="2"/>
      <c r="L176" s="2"/>
      <c r="M176" s="2"/>
      <c r="N176" s="2"/>
      <c r="O176" s="2"/>
      <c r="P176" s="2"/>
    </row>
    <row r="177" spans="1:16" ht="16" x14ac:dyDescent="0.2">
      <c r="A177" s="2"/>
      <c r="B177" s="2"/>
      <c r="C177" s="2"/>
      <c r="D177" s="2"/>
      <c r="E177" s="2"/>
      <c r="F177" s="2"/>
      <c r="G177" s="2"/>
      <c r="H177" s="2"/>
      <c r="I177" s="2"/>
      <c r="J177" s="2"/>
      <c r="K177" s="2"/>
      <c r="L177" s="2"/>
      <c r="M177" s="2"/>
      <c r="N177" s="2"/>
      <c r="O177" s="2"/>
      <c r="P177" s="2"/>
    </row>
    <row r="178" spans="1:16" ht="16" x14ac:dyDescent="0.2">
      <c r="A178" s="2"/>
      <c r="B178" s="2"/>
      <c r="C178" s="2"/>
      <c r="D178" s="2"/>
      <c r="E178" s="2"/>
      <c r="F178" s="2"/>
      <c r="G178" s="2"/>
      <c r="H178" s="2"/>
      <c r="I178" s="2"/>
      <c r="J178" s="2"/>
      <c r="K178" s="2"/>
      <c r="L178" s="2"/>
      <c r="M178" s="2"/>
      <c r="N178" s="2"/>
      <c r="O178" s="2"/>
      <c r="P178" s="2"/>
    </row>
    <row r="179" spans="1:16" ht="16" x14ac:dyDescent="0.2">
      <c r="A179" s="2"/>
      <c r="B179" s="2"/>
      <c r="C179" s="2"/>
      <c r="D179" s="2"/>
      <c r="E179" s="2"/>
      <c r="F179" s="2"/>
      <c r="G179" s="2"/>
      <c r="H179" s="2"/>
      <c r="I179" s="2"/>
      <c r="J179" s="2"/>
      <c r="K179" s="2"/>
      <c r="L179" s="2"/>
      <c r="M179" s="2"/>
      <c r="N179" s="2"/>
      <c r="O179" s="2"/>
      <c r="P179" s="2"/>
    </row>
    <row r="180" spans="1:16" ht="16" x14ac:dyDescent="0.2">
      <c r="A180" s="2"/>
      <c r="B180" s="2"/>
      <c r="C180" s="2"/>
      <c r="D180" s="2"/>
      <c r="E180" s="2"/>
      <c r="F180" s="2"/>
      <c r="G180" s="2"/>
      <c r="H180" s="2"/>
      <c r="I180" s="2"/>
      <c r="J180" s="2"/>
      <c r="K180" s="2"/>
      <c r="L180" s="2"/>
      <c r="M180" s="2"/>
      <c r="N180" s="2"/>
      <c r="O180" s="2"/>
      <c r="P180" s="2"/>
    </row>
    <row r="181" spans="1:16" ht="16" x14ac:dyDescent="0.2">
      <c r="A181" s="2"/>
      <c r="B181" s="2"/>
      <c r="C181" s="2"/>
      <c r="D181" s="2"/>
      <c r="E181" s="2"/>
      <c r="F181" s="2"/>
      <c r="G181" s="2"/>
      <c r="H181" s="2"/>
      <c r="I181" s="2"/>
      <c r="J181" s="2"/>
      <c r="K181" s="2"/>
      <c r="L181" s="2"/>
      <c r="M181" s="2"/>
      <c r="N181" s="2"/>
      <c r="O181" s="2"/>
      <c r="P181" s="2"/>
    </row>
    <row r="182" spans="1:16" ht="16" x14ac:dyDescent="0.2">
      <c r="A182" s="2"/>
      <c r="B182" s="2"/>
      <c r="C182" s="2"/>
      <c r="D182" s="2"/>
      <c r="E182" s="2"/>
      <c r="F182" s="2"/>
      <c r="G182" s="2"/>
      <c r="H182" s="2"/>
      <c r="I182" s="2"/>
      <c r="J182" s="2"/>
      <c r="K182" s="2"/>
      <c r="L182" s="2"/>
      <c r="M182" s="2"/>
      <c r="N182" s="2"/>
      <c r="O182" s="2"/>
      <c r="P182" s="2"/>
    </row>
    <row r="183" spans="1:16" ht="16" x14ac:dyDescent="0.2">
      <c r="A183" s="2"/>
      <c r="B183" s="2"/>
      <c r="C183" s="2"/>
      <c r="D183" s="2"/>
      <c r="E183" s="2"/>
      <c r="F183" s="2"/>
      <c r="G183" s="2"/>
      <c r="H183" s="2"/>
      <c r="I183" s="2"/>
      <c r="J183" s="2"/>
      <c r="K183" s="2"/>
      <c r="L183" s="2"/>
      <c r="M183" s="2"/>
      <c r="N183" s="2"/>
      <c r="O183" s="2"/>
      <c r="P183" s="2"/>
    </row>
    <row r="184" spans="1:16" ht="16" x14ac:dyDescent="0.2">
      <c r="A184" s="2"/>
      <c r="B184" s="2"/>
      <c r="C184" s="2"/>
      <c r="D184" s="2"/>
      <c r="E184" s="2"/>
      <c r="F184" s="2"/>
      <c r="G184" s="2"/>
      <c r="H184" s="2"/>
      <c r="I184" s="2"/>
      <c r="J184" s="2"/>
      <c r="K184" s="2"/>
      <c r="L184" s="2"/>
      <c r="M184" s="2"/>
      <c r="N184" s="2"/>
      <c r="O184" s="2"/>
      <c r="P184" s="2"/>
    </row>
    <row r="185" spans="1:16" ht="16" x14ac:dyDescent="0.2">
      <c r="A185" s="2"/>
      <c r="B185" s="2"/>
      <c r="C185" s="2"/>
      <c r="D185" s="2"/>
      <c r="E185" s="2"/>
      <c r="F185" s="2"/>
      <c r="G185" s="2"/>
      <c r="H185" s="2"/>
      <c r="I185" s="2"/>
      <c r="J185" s="2"/>
      <c r="K185" s="2"/>
      <c r="L185" s="2"/>
      <c r="M185" s="2"/>
      <c r="N185" s="2"/>
      <c r="O185" s="2"/>
      <c r="P185" s="2"/>
    </row>
    <row r="186" spans="1:16" ht="16" x14ac:dyDescent="0.2">
      <c r="A186" s="2"/>
      <c r="B186" s="2"/>
      <c r="C186" s="2"/>
      <c r="D186" s="2"/>
      <c r="E186" s="2"/>
      <c r="F186" s="2"/>
      <c r="G186" s="2"/>
      <c r="H186" s="2"/>
      <c r="I186" s="2"/>
      <c r="J186" s="2"/>
      <c r="K186" s="2"/>
      <c r="L186" s="2"/>
      <c r="M186" s="2"/>
      <c r="N186" s="2"/>
      <c r="O186" s="2"/>
      <c r="P186" s="2"/>
    </row>
    <row r="187" spans="1:16" ht="16" x14ac:dyDescent="0.2">
      <c r="A187" s="2"/>
      <c r="B187" s="2"/>
      <c r="C187" s="2"/>
      <c r="D187" s="2"/>
      <c r="E187" s="2"/>
      <c r="F187" s="2"/>
      <c r="G187" s="2"/>
      <c r="H187" s="2"/>
      <c r="I187" s="2"/>
      <c r="J187" s="2"/>
      <c r="K187" s="2"/>
      <c r="L187" s="2"/>
      <c r="M187" s="2"/>
      <c r="N187" s="2"/>
      <c r="O187" s="2"/>
      <c r="P187" s="2"/>
    </row>
    <row r="188" spans="1:16" ht="16" x14ac:dyDescent="0.2">
      <c r="A188" s="2"/>
      <c r="B188" s="2"/>
      <c r="C188" s="2"/>
      <c r="D188" s="2"/>
      <c r="E188" s="2"/>
      <c r="F188" s="2"/>
      <c r="G188" s="2"/>
      <c r="H188" s="2"/>
      <c r="I188" s="2"/>
      <c r="J188" s="2"/>
      <c r="K188" s="2"/>
      <c r="L188" s="2"/>
      <c r="M188" s="2"/>
      <c r="N188" s="2"/>
      <c r="O188" s="2"/>
      <c r="P188" s="2"/>
    </row>
    <row r="189" spans="1:16" ht="16" x14ac:dyDescent="0.2">
      <c r="B189" s="2"/>
      <c r="C189" s="2"/>
      <c r="D189" s="2"/>
      <c r="E189" s="2"/>
      <c r="F189" s="2"/>
      <c r="G189" s="2"/>
      <c r="H189" s="2"/>
      <c r="I189" s="2"/>
      <c r="J189" s="2"/>
      <c r="K189" s="2"/>
      <c r="L189" s="2"/>
      <c r="M189" s="2"/>
      <c r="N189" s="2"/>
      <c r="O189" s="2"/>
      <c r="P189" s="2"/>
    </row>
    <row r="190" spans="1:16" ht="16" x14ac:dyDescent="0.2">
      <c r="B190" s="2"/>
      <c r="C190" s="2"/>
      <c r="D190" s="2"/>
      <c r="E190" s="2"/>
      <c r="F190" s="2"/>
      <c r="G190" s="2"/>
      <c r="H190" s="2"/>
      <c r="I190" s="2"/>
      <c r="J190" s="2"/>
      <c r="K190" s="2"/>
      <c r="L190" s="2"/>
      <c r="M190" s="2"/>
      <c r="N190" s="2"/>
      <c r="O190" s="2"/>
      <c r="P190" s="2"/>
    </row>
    <row r="191" spans="1:16" ht="16" x14ac:dyDescent="0.2">
      <c r="B191" s="2"/>
      <c r="C191" s="2"/>
      <c r="D191" s="2"/>
      <c r="E191" s="2"/>
      <c r="F191" s="2"/>
      <c r="G191" s="2"/>
      <c r="H191" s="2"/>
      <c r="I191" s="2"/>
      <c r="J191" s="2"/>
      <c r="K191" s="2"/>
      <c r="L191" s="2"/>
      <c r="M191" s="2"/>
      <c r="N191" s="2"/>
      <c r="O191" s="2"/>
      <c r="P191" s="2"/>
    </row>
    <row r="192" spans="1:16" ht="16" x14ac:dyDescent="0.2">
      <c r="B192" s="2"/>
      <c r="C192" s="2"/>
      <c r="D192" s="2"/>
      <c r="E192" s="2"/>
      <c r="F192" s="2"/>
      <c r="G192" s="2"/>
      <c r="H192" s="2"/>
      <c r="I192" s="2"/>
      <c r="J192" s="2"/>
      <c r="K192" s="2"/>
      <c r="L192" s="2"/>
      <c r="M192" s="2"/>
      <c r="N192" s="2"/>
      <c r="O192" s="2"/>
      <c r="P192" s="2"/>
    </row>
    <row r="193" spans="2:16" ht="16" x14ac:dyDescent="0.2">
      <c r="B193" s="2"/>
      <c r="C193" s="2"/>
      <c r="D193" s="2"/>
      <c r="E193" s="2"/>
      <c r="F193" s="2"/>
      <c r="G193" s="2"/>
      <c r="H193" s="2"/>
      <c r="I193" s="2"/>
      <c r="J193" s="2"/>
      <c r="K193" s="2"/>
      <c r="L193" s="2"/>
      <c r="M193" s="2"/>
      <c r="N193" s="2"/>
      <c r="O193" s="2"/>
      <c r="P193" s="2"/>
    </row>
    <row r="194" spans="2:16" ht="16" x14ac:dyDescent="0.2">
      <c r="B194" s="2"/>
      <c r="C194" s="2"/>
      <c r="D194" s="2"/>
      <c r="E194" s="2"/>
      <c r="F194" s="2"/>
      <c r="G194" s="2"/>
      <c r="H194" s="2"/>
      <c r="I194" s="2"/>
      <c r="J194" s="2"/>
      <c r="K194" s="2"/>
      <c r="L194" s="2"/>
      <c r="M194" s="2"/>
      <c r="N194" s="2"/>
      <c r="O194" s="2"/>
      <c r="P194" s="2"/>
    </row>
    <row r="195" spans="2:16" ht="16" x14ac:dyDescent="0.2">
      <c r="B195" s="2"/>
      <c r="C195" s="2"/>
      <c r="D195" s="2"/>
      <c r="E195" s="2"/>
      <c r="F195" s="2"/>
      <c r="G195" s="2"/>
      <c r="H195" s="2"/>
      <c r="I195" s="2"/>
      <c r="J195" s="2"/>
      <c r="K195" s="2"/>
      <c r="L195" s="2"/>
      <c r="M195" s="2"/>
      <c r="N195" s="2"/>
      <c r="O195" s="2"/>
      <c r="P195" s="2"/>
    </row>
    <row r="196" spans="2:16" ht="16" x14ac:dyDescent="0.2">
      <c r="B196" s="2"/>
      <c r="C196" s="2"/>
      <c r="D196" s="2"/>
      <c r="E196" s="2"/>
      <c r="F196" s="2"/>
      <c r="G196" s="2"/>
      <c r="H196" s="2"/>
      <c r="I196" s="2"/>
      <c r="J196" s="2"/>
      <c r="K196" s="2"/>
      <c r="L196" s="2"/>
      <c r="M196" s="2"/>
      <c r="N196" s="2"/>
      <c r="O196" s="2"/>
      <c r="P196" s="2"/>
    </row>
    <row r="197" spans="2:16" ht="16" x14ac:dyDescent="0.2">
      <c r="B197" s="2"/>
      <c r="C197" s="2"/>
      <c r="D197" s="2"/>
      <c r="E197" s="2"/>
      <c r="F197" s="2"/>
      <c r="G197" s="2"/>
      <c r="H197" s="2"/>
      <c r="I197" s="2"/>
      <c r="J197" s="2"/>
      <c r="K197" s="2"/>
      <c r="L197" s="2"/>
      <c r="M197" s="2"/>
      <c r="N197" s="2"/>
      <c r="O197" s="2"/>
      <c r="P197" s="2"/>
    </row>
    <row r="198" spans="2:16" ht="16" x14ac:dyDescent="0.2">
      <c r="B198" s="2"/>
      <c r="C198" s="2"/>
      <c r="D198" s="2"/>
      <c r="E198" s="2"/>
      <c r="F198" s="2"/>
      <c r="G198" s="2"/>
      <c r="H198" s="2"/>
      <c r="I198" s="2"/>
      <c r="J198" s="2"/>
      <c r="K198" s="2"/>
      <c r="L198" s="2"/>
      <c r="M198" s="2"/>
      <c r="N198" s="2"/>
      <c r="O198" s="2"/>
      <c r="P198" s="2"/>
    </row>
    <row r="199" spans="2:16" ht="16" x14ac:dyDescent="0.2">
      <c r="B199" s="2"/>
      <c r="C199" s="2"/>
      <c r="D199" s="2"/>
      <c r="E199" s="2"/>
      <c r="F199" s="2"/>
      <c r="G199" s="2"/>
      <c r="H199" s="2"/>
      <c r="I199" s="2"/>
      <c r="J199" s="2"/>
      <c r="K199" s="2"/>
      <c r="L199" s="2"/>
      <c r="M199" s="2"/>
      <c r="N199" s="2"/>
      <c r="O199" s="2"/>
      <c r="P199" s="2"/>
    </row>
    <row r="200" spans="2:16" ht="16" x14ac:dyDescent="0.2">
      <c r="B200" s="2"/>
      <c r="C200" s="2"/>
      <c r="D200" s="2"/>
      <c r="E200" s="2"/>
      <c r="F200" s="2"/>
      <c r="G200" s="2"/>
      <c r="H200" s="2"/>
      <c r="I200" s="2"/>
      <c r="J200" s="2"/>
      <c r="K200" s="2"/>
      <c r="L200" s="2"/>
      <c r="M200" s="2"/>
      <c r="N200" s="2"/>
      <c r="O200" s="2"/>
      <c r="P200" s="2"/>
    </row>
    <row r="201" spans="2:16" ht="16" x14ac:dyDescent="0.2">
      <c r="J201" s="2"/>
      <c r="K201" s="2"/>
      <c r="L201" s="2"/>
      <c r="M201" s="2"/>
      <c r="N201" s="2"/>
      <c r="O201" s="2"/>
      <c r="P201" s="2"/>
    </row>
    <row r="202" spans="2:16" ht="16" x14ac:dyDescent="0.2">
      <c r="J202" s="2"/>
      <c r="K202" s="2"/>
      <c r="L202" s="2"/>
      <c r="M202" s="2"/>
      <c r="N202" s="2"/>
      <c r="O202" s="2"/>
      <c r="P202" s="2"/>
    </row>
  </sheetData>
  <mergeCells count="28">
    <mergeCell ref="B85:B88"/>
    <mergeCell ref="B81:B84"/>
    <mergeCell ref="E38:F38"/>
    <mergeCell ref="B2:D2"/>
    <mergeCell ref="B5:D5"/>
    <mergeCell ref="C8:D8"/>
    <mergeCell ref="B19:B23"/>
    <mergeCell ref="B24:B28"/>
    <mergeCell ref="G35:H35"/>
    <mergeCell ref="C36:D36"/>
    <mergeCell ref="E36:F36"/>
    <mergeCell ref="G36:H36"/>
    <mergeCell ref="C37:D37"/>
    <mergeCell ref="E37:F37"/>
    <mergeCell ref="G37:H37"/>
    <mergeCell ref="C35:D35"/>
    <mergeCell ref="E35:F35"/>
    <mergeCell ref="G38:H38"/>
    <mergeCell ref="B65:B68"/>
    <mergeCell ref="B69:B72"/>
    <mergeCell ref="B73:B76"/>
    <mergeCell ref="B77:B80"/>
    <mergeCell ref="C38:D38"/>
    <mergeCell ref="B127:B130"/>
    <mergeCell ref="D127:D130"/>
    <mergeCell ref="E127:E130"/>
    <mergeCell ref="C129:C130"/>
    <mergeCell ref="C127:C128"/>
  </mergeCells>
  <conditionalFormatting sqref="D9">
    <cfRule type="containsText" dxfId="26" priority="1" operator="containsText" text="Pas ok">
      <formula>NOT(ISERROR(SEARCH("Pas ok",D9)))</formula>
    </cfRule>
    <cfRule type="containsText" dxfId="25" priority="2" operator="containsText" text="Calcul brouillon, ordre de grandeur">
      <formula>NOT(ISERROR(SEARCH("Calcul brouillon, ordre de grandeur",D9)))</formula>
    </cfRule>
    <cfRule type="containsText" dxfId="24" priority="3" operator="containsText" text="Bon ordre de grandeur">
      <formula>NOT(ISERROR(SEARCH("Bon ordre de grandeur",D9)))</formula>
    </cfRule>
    <cfRule type="containsText" dxfId="23" priority="4" operator="containsText" text="Calcul validé">
      <formula>NOT(ISERROR(SEARCH("Calcul validé",D9)))</formula>
    </cfRule>
    <cfRule type="containsText" dxfId="22" priority="5" operator="containsText" text="Pas ok">
      <formula>NOT(ISERROR(SEARCH("Pas ok",D9)))</formula>
    </cfRule>
    <cfRule type="containsText" dxfId="21" priority="6" operator="containsText" text="Calcul brouillon, ordre de grandeur">
      <formula>NOT(ISERROR(SEARCH("Calcul brouillon, ordre de grandeur",D9)))</formula>
    </cfRule>
    <cfRule type="containsText" dxfId="20" priority="7" operator="containsText" text="Bon ordre de grandeur">
      <formula>NOT(ISERROR(SEARCH("Bon ordre de grandeur",D9)))</formula>
    </cfRule>
    <cfRule type="containsText" dxfId="19" priority="8" operator="containsText" text="Calcul validé">
      <formula>NOT(ISERROR(SEARCH("Calcul validé",D9)))</formula>
    </cfRule>
  </conditionalFormatting>
  <conditionalFormatting sqref="D9:E9">
    <cfRule type="containsText" dxfId="18" priority="9" operator="containsText" text="Calcul brouillon, odg">
      <formula>NOT(ISERROR(SEARCH("Calcul brouillon, odg",D9)))</formula>
    </cfRule>
  </conditionalFormatting>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2:X970"/>
  <sheetViews>
    <sheetView zoomScale="50" zoomScaleNormal="50" workbookViewId="0">
      <selection activeCell="B35" sqref="B35"/>
    </sheetView>
  </sheetViews>
  <sheetFormatPr baseColWidth="10" defaultColWidth="14.5703125" defaultRowHeight="16" outlineLevelRow="2" x14ac:dyDescent="0.2"/>
  <cols>
    <col min="1" max="1" width="10.140625" style="219" customWidth="1"/>
    <col min="2" max="2" width="37.42578125" style="219" customWidth="1"/>
    <col min="3" max="3" width="24.85546875" style="219" customWidth="1"/>
    <col min="4" max="4" width="17.7109375" style="219" customWidth="1"/>
    <col min="5" max="5" width="27.5703125" style="219" customWidth="1"/>
    <col min="6" max="6" width="17.5703125" style="219" customWidth="1"/>
    <col min="7" max="7" width="19.42578125" style="219" customWidth="1"/>
    <col min="8" max="8" width="23.42578125" style="219" customWidth="1"/>
    <col min="9" max="9" width="30.42578125" style="219" customWidth="1"/>
    <col min="10" max="10" width="22.7109375" style="219" customWidth="1"/>
    <col min="11" max="12" width="44.42578125" style="219" customWidth="1"/>
    <col min="13" max="13" width="63.42578125" style="219" customWidth="1"/>
    <col min="14" max="14" width="16.7109375" style="219" customWidth="1"/>
    <col min="15" max="15" width="52.7109375" style="1317" customWidth="1"/>
    <col min="16" max="16" width="61.7109375" style="219" customWidth="1"/>
    <col min="17" max="17" width="28.140625" style="219" customWidth="1"/>
    <col min="18" max="18" width="32.85546875" style="219" customWidth="1"/>
    <col min="19" max="19" width="35.7109375" style="219" customWidth="1"/>
    <col min="20" max="22" width="88.42578125" style="219" customWidth="1"/>
    <col min="23" max="16384" width="14.5703125" style="219"/>
  </cols>
  <sheetData>
    <row r="2" spans="2:11" ht="20" x14ac:dyDescent="0.2">
      <c r="B2" s="2559" t="s">
        <v>1210</v>
      </c>
      <c r="C2" s="2560"/>
      <c r="D2" s="2560"/>
      <c r="E2" s="2561"/>
      <c r="F2" s="55"/>
      <c r="G2" s="55"/>
      <c r="H2" s="55"/>
      <c r="I2" s="55"/>
      <c r="J2" s="55"/>
      <c r="K2" s="55"/>
    </row>
    <row r="3" spans="2:11" ht="20" customHeight="1" thickBot="1" x14ac:dyDescent="0.25">
      <c r="B3" s="75"/>
      <c r="C3" s="55"/>
      <c r="D3" s="55"/>
      <c r="E3" s="55"/>
      <c r="F3" s="55"/>
      <c r="G3" s="55"/>
      <c r="H3" s="55"/>
      <c r="I3" s="55"/>
      <c r="J3" s="55"/>
      <c r="K3" s="55"/>
    </row>
    <row r="4" spans="2:11" ht="20" customHeight="1" thickBot="1" x14ac:dyDescent="0.25">
      <c r="B4" s="2607" t="s">
        <v>17</v>
      </c>
      <c r="C4" s="2608"/>
      <c r="D4" s="2609"/>
      <c r="E4" s="55"/>
      <c r="F4"/>
      <c r="G4"/>
      <c r="H4"/>
      <c r="I4"/>
      <c r="J4"/>
      <c r="K4"/>
    </row>
    <row r="5" spans="2:11" ht="20" customHeight="1" x14ac:dyDescent="0.2">
      <c r="B5" s="320" t="s">
        <v>18</v>
      </c>
      <c r="C5" s="1805">
        <f>D107</f>
        <v>10358.562039735099</v>
      </c>
      <c r="D5" s="1318" t="s">
        <v>19</v>
      </c>
      <c r="E5" s="55"/>
      <c r="F5"/>
      <c r="G5"/>
      <c r="H5"/>
      <c r="I5"/>
      <c r="J5"/>
      <c r="K5"/>
    </row>
    <row r="6" spans="2:11" ht="20" customHeight="1" x14ac:dyDescent="0.2">
      <c r="B6" s="442" t="s">
        <v>20</v>
      </c>
      <c r="C6" s="2658" t="str">
        <f>C9</f>
        <v>vFinale</v>
      </c>
      <c r="D6" s="2566"/>
      <c r="E6" s="55"/>
      <c r="F6"/>
      <c r="G6"/>
      <c r="H6"/>
      <c r="I6"/>
      <c r="J6"/>
      <c r="K6"/>
    </row>
    <row r="7" spans="2:11" ht="20" customHeight="1" thickBot="1" x14ac:dyDescent="0.25">
      <c r="B7" s="321" t="s">
        <v>21</v>
      </c>
      <c r="C7" s="3078"/>
      <c r="D7" s="3079"/>
      <c r="E7" s="55"/>
      <c r="F7"/>
      <c r="G7"/>
      <c r="H7"/>
      <c r="I7"/>
      <c r="J7"/>
      <c r="K7"/>
    </row>
    <row r="8" spans="2:11" ht="20" customHeight="1" thickBot="1" x14ac:dyDescent="0.25">
      <c r="B8" s="55"/>
      <c r="C8" s="55"/>
      <c r="D8" s="55"/>
      <c r="E8" s="55"/>
      <c r="F8" s="55"/>
      <c r="G8" s="55"/>
      <c r="H8" s="55"/>
      <c r="I8" s="55"/>
      <c r="J8" s="55"/>
      <c r="K8" s="55"/>
    </row>
    <row r="9" spans="2:11" ht="20" customHeight="1" x14ac:dyDescent="0.2">
      <c r="B9" s="1319" t="s">
        <v>22</v>
      </c>
      <c r="C9" s="3080" t="s">
        <v>1602</v>
      </c>
      <c r="D9" s="3081"/>
      <c r="E9" s="62"/>
      <c r="F9" s="62"/>
      <c r="G9" s="62"/>
      <c r="H9" s="62"/>
      <c r="I9" s="62"/>
      <c r="J9" s="62"/>
      <c r="K9" s="63"/>
    </row>
    <row r="10" spans="2:11" ht="20" customHeight="1" thickBot="1" x14ac:dyDescent="0.25">
      <c r="B10" s="980" t="s">
        <v>1905</v>
      </c>
      <c r="C10" s="1016">
        <f>C5/'ANNEXE A'!$C$248</f>
        <v>7.1143970053125685</v>
      </c>
      <c r="D10" s="977" t="s">
        <v>24</v>
      </c>
      <c r="E10" s="64"/>
      <c r="F10" s="64"/>
      <c r="G10" s="64"/>
      <c r="H10" s="64"/>
      <c r="I10" s="64"/>
      <c r="J10" s="64"/>
      <c r="K10" s="65"/>
    </row>
    <row r="11" spans="2:11" ht="20" customHeight="1" thickBot="1" x14ac:dyDescent="0.25">
      <c r="B11" s="66"/>
      <c r="C11" s="67"/>
      <c r="D11" s="67"/>
      <c r="E11" s="67"/>
      <c r="F11" s="67"/>
      <c r="G11" s="67"/>
      <c r="H11" s="67"/>
      <c r="I11" s="67"/>
      <c r="J11" s="67"/>
      <c r="K11" s="68"/>
    </row>
    <row r="12" spans="2:11" ht="20" customHeight="1" x14ac:dyDescent="0.2">
      <c r="B12" s="2642" t="s">
        <v>25</v>
      </c>
      <c r="C12" s="2643"/>
      <c r="D12" s="2643"/>
      <c r="E12" s="2643"/>
      <c r="F12" s="2643"/>
      <c r="G12" s="2643"/>
      <c r="H12" s="2643"/>
      <c r="I12" s="2643"/>
      <c r="J12" s="2643"/>
      <c r="K12" s="2644"/>
    </row>
    <row r="13" spans="2:11" ht="151" customHeight="1" x14ac:dyDescent="0.2">
      <c r="B13" s="69" t="s">
        <v>26</v>
      </c>
      <c r="C13" s="2574" t="s">
        <v>2348</v>
      </c>
      <c r="D13" s="2575"/>
      <c r="E13" s="2575"/>
      <c r="F13" s="2575"/>
      <c r="G13" s="2575"/>
      <c r="H13" s="2575"/>
      <c r="I13" s="2575"/>
      <c r="J13" s="2575"/>
      <c r="K13" s="2576"/>
    </row>
    <row r="14" spans="2:11" ht="193" customHeight="1" x14ac:dyDescent="0.2">
      <c r="B14" s="70" t="s">
        <v>27</v>
      </c>
      <c r="C14" s="2577" t="s">
        <v>2356</v>
      </c>
      <c r="D14" s="2578"/>
      <c r="E14" s="2578"/>
      <c r="F14" s="2578"/>
      <c r="G14" s="2578"/>
      <c r="H14" s="2578"/>
      <c r="I14" s="2578"/>
      <c r="J14" s="2578"/>
      <c r="K14" s="2579"/>
    </row>
    <row r="15" spans="2:11" ht="68" customHeight="1" x14ac:dyDescent="0.2">
      <c r="B15" s="70" t="s">
        <v>28</v>
      </c>
      <c r="C15" s="2577" t="s">
        <v>2369</v>
      </c>
      <c r="D15" s="2578"/>
      <c r="E15" s="2578"/>
      <c r="F15" s="2578"/>
      <c r="G15" s="2578"/>
      <c r="H15" s="2578"/>
      <c r="I15" s="2578"/>
      <c r="J15" s="2578"/>
      <c r="K15" s="2579"/>
    </row>
    <row r="16" spans="2:11" ht="32" customHeight="1" x14ac:dyDescent="0.2">
      <c r="B16" s="70" t="s">
        <v>29</v>
      </c>
      <c r="C16" s="2577"/>
      <c r="D16" s="2578"/>
      <c r="E16" s="2578"/>
      <c r="F16" s="2578"/>
      <c r="G16" s="2578"/>
      <c r="H16" s="2578"/>
      <c r="I16" s="2578"/>
      <c r="J16" s="2578"/>
      <c r="K16" s="2579"/>
    </row>
    <row r="17" spans="2:21" ht="35" customHeight="1" x14ac:dyDescent="0.2">
      <c r="B17" s="70" t="s">
        <v>30</v>
      </c>
      <c r="C17" s="2577" t="s">
        <v>2357</v>
      </c>
      <c r="D17" s="2578"/>
      <c r="E17" s="2578"/>
      <c r="F17" s="2578"/>
      <c r="G17" s="2578"/>
      <c r="H17" s="2578"/>
      <c r="I17" s="2578"/>
      <c r="J17" s="2578"/>
      <c r="K17" s="2579"/>
    </row>
    <row r="18" spans="2:21" ht="26" customHeight="1" x14ac:dyDescent="0.2">
      <c r="B18" s="70" t="s">
        <v>31</v>
      </c>
      <c r="C18" s="2600" t="s">
        <v>1211</v>
      </c>
      <c r="D18" s="2578"/>
      <c r="E18" s="2578"/>
      <c r="F18" s="2578"/>
      <c r="G18" s="2578"/>
      <c r="H18" s="2578"/>
      <c r="I18" s="2578"/>
      <c r="J18" s="2578"/>
      <c r="K18" s="2579"/>
    </row>
    <row r="19" spans="2:21" ht="30" customHeight="1" x14ac:dyDescent="0.2">
      <c r="B19" s="71" t="s">
        <v>33</v>
      </c>
      <c r="C19" s="3082"/>
      <c r="D19" s="2581"/>
      <c r="E19" s="2581"/>
      <c r="F19" s="2581"/>
      <c r="G19" s="2581"/>
      <c r="H19" s="2581"/>
      <c r="I19" s="2581"/>
      <c r="J19" s="2581"/>
      <c r="K19" s="2582"/>
    </row>
    <row r="20" spans="2:21" ht="30" customHeight="1" x14ac:dyDescent="0.2">
      <c r="B20" s="112"/>
      <c r="C20" s="532"/>
      <c r="D20" s="323"/>
      <c r="E20" s="323"/>
      <c r="F20" s="323"/>
      <c r="G20" s="323"/>
      <c r="H20" s="323"/>
      <c r="I20" s="323"/>
      <c r="J20" s="323"/>
      <c r="K20" s="323"/>
    </row>
    <row r="21" spans="2:21" ht="23" x14ac:dyDescent="0.2">
      <c r="B21" s="433" t="s">
        <v>1353</v>
      </c>
      <c r="C21" s="323"/>
      <c r="D21" s="323"/>
      <c r="E21" s="323"/>
      <c r="F21" s="323"/>
      <c r="G21" s="323"/>
      <c r="H21" s="323"/>
      <c r="I21" s="323"/>
      <c r="J21" s="323"/>
      <c r="K21" s="323"/>
    </row>
    <row r="22" spans="2:21" ht="26" customHeight="1" x14ac:dyDescent="0.2">
      <c r="B22" s="112"/>
      <c r="C22" s="323"/>
      <c r="D22" s="323"/>
      <c r="E22" s="323"/>
      <c r="F22" s="323"/>
      <c r="G22" s="323"/>
      <c r="H22" s="323"/>
      <c r="I22" s="323"/>
      <c r="J22" s="323"/>
      <c r="K22" s="323"/>
    </row>
    <row r="23" spans="2:21" ht="23" customHeight="1" x14ac:dyDescent="0.2">
      <c r="B23" s="73" t="s">
        <v>493</v>
      </c>
      <c r="C23" s="74" t="s">
        <v>36</v>
      </c>
      <c r="D23" s="3083" t="s">
        <v>37</v>
      </c>
      <c r="E23" s="3084"/>
      <c r="F23" s="323"/>
      <c r="G23" s="323"/>
      <c r="H23" s="323"/>
      <c r="I23" s="323"/>
      <c r="J23" s="323"/>
      <c r="K23" s="323"/>
      <c r="P23" s="464"/>
    </row>
    <row r="24" spans="2:21" ht="31" customHeight="1" x14ac:dyDescent="0.2">
      <c r="B24" s="1320" t="s">
        <v>2174</v>
      </c>
      <c r="C24" s="859">
        <f>C188</f>
        <v>400000</v>
      </c>
      <c r="D24" s="3085" t="s">
        <v>1212</v>
      </c>
      <c r="E24" s="3086"/>
      <c r="F24" s="323"/>
      <c r="G24" s="323"/>
      <c r="H24" s="323"/>
      <c r="I24" s="323"/>
      <c r="J24" s="323"/>
    </row>
    <row r="25" spans="2:21" ht="27" customHeight="1" x14ac:dyDescent="0.2">
      <c r="B25"/>
      <c r="C25"/>
      <c r="D25"/>
      <c r="E25"/>
      <c r="F25" s="323"/>
      <c r="G25" s="323"/>
      <c r="H25" s="323"/>
      <c r="I25" s="323"/>
      <c r="J25" s="55"/>
    </row>
    <row r="26" spans="2:21" ht="23" customHeight="1" x14ac:dyDescent="0.2">
      <c r="B26" s="1321"/>
      <c r="C26" s="1321"/>
      <c r="D26" s="1321"/>
      <c r="E26" s="1321"/>
      <c r="F26" s="1321"/>
      <c r="G26" s="1321"/>
      <c r="H26" s="1321"/>
      <c r="I26" s="1321"/>
      <c r="J26" s="1321"/>
      <c r="K26" s="1321"/>
      <c r="O26"/>
      <c r="P26"/>
      <c r="Q26"/>
      <c r="R26"/>
      <c r="S26"/>
    </row>
    <row r="27" spans="2:21" ht="41" customHeight="1" x14ac:dyDescent="0.2">
      <c r="B27" s="325" t="s">
        <v>2183</v>
      </c>
      <c r="O27"/>
      <c r="P27"/>
      <c r="Q27"/>
      <c r="R27"/>
      <c r="S27"/>
    </row>
    <row r="28" spans="2:21" ht="41" customHeight="1" x14ac:dyDescent="0.2">
      <c r="B28" s="2251" t="s">
        <v>2270</v>
      </c>
      <c r="O28"/>
      <c r="P28"/>
      <c r="Q28"/>
      <c r="R28"/>
      <c r="S28"/>
    </row>
    <row r="29" spans="2:21" ht="34" hidden="1" customHeight="1" outlineLevel="2" x14ac:dyDescent="0.2">
      <c r="B29" s="464" t="s">
        <v>1357</v>
      </c>
      <c r="O29"/>
      <c r="P29"/>
      <c r="Q29"/>
      <c r="R29"/>
      <c r="S29"/>
    </row>
    <row r="30" spans="2:21" ht="35" hidden="1" customHeight="1" outlineLevel="2" x14ac:dyDescent="0.2">
      <c r="B30" s="219" t="s">
        <v>2339</v>
      </c>
      <c r="C30" s="650"/>
      <c r="D30" s="650"/>
      <c r="E30" s="650"/>
      <c r="F30" s="650"/>
      <c r="G30" s="650"/>
      <c r="H30" s="650"/>
      <c r="I30" s="650"/>
      <c r="J30" s="650"/>
      <c r="K30" s="650"/>
      <c r="L30" s="650"/>
      <c r="O30"/>
      <c r="P30"/>
      <c r="Q30"/>
      <c r="R30"/>
      <c r="S30"/>
      <c r="T30" s="1323"/>
      <c r="U30" s="1323"/>
    </row>
    <row r="31" spans="2:21" s="55" customFormat="1" ht="31" hidden="1" customHeight="1" outlineLevel="2" x14ac:dyDescent="0.2">
      <c r="B31" s="650"/>
      <c r="C31" s="650"/>
      <c r="D31" s="650"/>
      <c r="E31" s="650"/>
      <c r="F31" s="650"/>
      <c r="G31" s="650"/>
      <c r="H31" s="650"/>
      <c r="I31" s="650"/>
      <c r="J31" s="650"/>
      <c r="K31" s="650"/>
      <c r="L31" s="650"/>
      <c r="O31"/>
      <c r="P31"/>
      <c r="Q31"/>
      <c r="R31"/>
      <c r="S31"/>
    </row>
    <row r="32" spans="2:21" ht="23" hidden="1" customHeight="1" outlineLevel="2" x14ac:dyDescent="0.2">
      <c r="B32" s="87" t="s">
        <v>1214</v>
      </c>
      <c r="C32" s="2033">
        <f>D199</f>
        <v>0.94701986754966883</v>
      </c>
      <c r="D32" s="87" t="s">
        <v>2299</v>
      </c>
      <c r="E32" s="650"/>
      <c r="F32" s="650"/>
      <c r="G32" s="650"/>
      <c r="H32" s="650"/>
      <c r="I32" s="650"/>
      <c r="J32" s="650"/>
      <c r="K32" s="650"/>
      <c r="L32" s="650"/>
      <c r="O32"/>
      <c r="P32"/>
      <c r="Q32"/>
      <c r="R32"/>
      <c r="S32"/>
      <c r="T32" s="1323"/>
      <c r="U32" s="1323"/>
    </row>
    <row r="33" spans="2:22" ht="26" hidden="1" customHeight="1" outlineLevel="2" x14ac:dyDescent="0.2">
      <c r="B33" s="87" t="s">
        <v>1215</v>
      </c>
      <c r="C33" s="2033">
        <f>1-C32</f>
        <v>5.2980132450331174E-2</v>
      </c>
      <c r="D33" s="87" t="s">
        <v>2299</v>
      </c>
      <c r="E33" s="650"/>
      <c r="F33" s="650"/>
      <c r="G33" s="650"/>
      <c r="H33" s="1324"/>
      <c r="I33" s="650"/>
      <c r="J33" s="650"/>
      <c r="K33" s="650"/>
      <c r="L33" s="650"/>
      <c r="O33"/>
      <c r="P33"/>
      <c r="Q33"/>
      <c r="R33"/>
      <c r="S33"/>
      <c r="T33" s="1323"/>
      <c r="U33" s="1323"/>
    </row>
    <row r="34" spans="2:22" ht="28" hidden="1" customHeight="1" outlineLevel="2" x14ac:dyDescent="0.2">
      <c r="B34" s="650"/>
      <c r="C34" s="650"/>
      <c r="D34" s="650"/>
      <c r="E34" s="650"/>
      <c r="F34" s="650"/>
      <c r="G34" s="650"/>
      <c r="H34" s="650"/>
      <c r="I34" s="650"/>
      <c r="J34" s="650"/>
      <c r="K34" s="650"/>
      <c r="L34" s="650"/>
      <c r="T34" s="1323"/>
      <c r="U34" s="1323"/>
    </row>
    <row r="35" spans="2:22" ht="35" hidden="1" customHeight="1" outlineLevel="2" x14ac:dyDescent="0.2">
      <c r="B35" s="1368" t="s">
        <v>1216</v>
      </c>
      <c r="C35" s="3087" t="s">
        <v>1217</v>
      </c>
      <c r="D35" s="3088"/>
      <c r="E35" s="79" t="s">
        <v>1218</v>
      </c>
      <c r="F35" s="79" t="s">
        <v>60</v>
      </c>
      <c r="G35" s="79" t="s">
        <v>59</v>
      </c>
      <c r="H35" s="79" t="s">
        <v>2175</v>
      </c>
      <c r="I35" s="79" t="s">
        <v>61</v>
      </c>
      <c r="J35" s="79" t="s">
        <v>59</v>
      </c>
      <c r="K35" s="971" t="s">
        <v>150</v>
      </c>
      <c r="L35" s="971" t="s">
        <v>125</v>
      </c>
      <c r="T35" s="1323"/>
      <c r="U35" s="1323"/>
    </row>
    <row r="36" spans="2:22" ht="28" hidden="1" customHeight="1" outlineLevel="2" x14ac:dyDescent="0.2">
      <c r="B36" s="3089" t="s">
        <v>1219</v>
      </c>
      <c r="C36" s="2045" t="s">
        <v>2176</v>
      </c>
      <c r="D36" s="2046"/>
      <c r="E36" s="2276">
        <v>2</v>
      </c>
      <c r="F36" s="2034">
        <f>39.5/1000</f>
        <v>3.95E-2</v>
      </c>
      <c r="G36" s="87" t="s">
        <v>1213</v>
      </c>
      <c r="H36" s="83">
        <f>22.2%*C32</f>
        <v>0.21023841059602649</v>
      </c>
      <c r="I36" s="1369">
        <f>($C$32*$C$24*(E36*F36))*H36</f>
        <v>6291.5584755054606</v>
      </c>
      <c r="J36" s="87" t="s">
        <v>67</v>
      </c>
      <c r="K36" s="2038"/>
      <c r="L36" s="311" t="s">
        <v>2181</v>
      </c>
      <c r="T36" s="1323"/>
      <c r="U36" s="1323"/>
    </row>
    <row r="37" spans="2:22" ht="28" hidden="1" customHeight="1" outlineLevel="2" x14ac:dyDescent="0.2">
      <c r="B37" s="3090"/>
      <c r="C37" s="2045" t="s">
        <v>2177</v>
      </c>
      <c r="D37" s="2046"/>
      <c r="E37" s="2276">
        <v>2</v>
      </c>
      <c r="F37" s="2034">
        <f>52.7/1000</f>
        <v>5.2700000000000004E-2</v>
      </c>
      <c r="G37" s="87" t="s">
        <v>1213</v>
      </c>
      <c r="H37" s="83">
        <f>(1-H36-H38)</f>
        <v>0.73976158940397352</v>
      </c>
      <c r="I37" s="1369">
        <f>($C$32*$C$24*(E37*F37))*H37</f>
        <v>29535.985769045219</v>
      </c>
      <c r="J37" s="87" t="s">
        <v>67</v>
      </c>
      <c r="K37" s="2037" t="s">
        <v>2340</v>
      </c>
      <c r="L37" s="311" t="s">
        <v>2181</v>
      </c>
      <c r="T37" s="1323"/>
      <c r="U37" s="1323"/>
    </row>
    <row r="38" spans="2:22" ht="28" hidden="1" customHeight="1" outlineLevel="2" x14ac:dyDescent="0.2">
      <c r="B38" s="88" t="s">
        <v>2178</v>
      </c>
      <c r="C38" s="2045" t="s">
        <v>2179</v>
      </c>
      <c r="D38" s="2046"/>
      <c r="E38" s="2276">
        <v>2</v>
      </c>
      <c r="F38" s="2034">
        <f>52.3/1000</f>
        <v>5.2299999999999999E-2</v>
      </c>
      <c r="G38" s="87" t="s">
        <v>1213</v>
      </c>
      <c r="H38" s="83">
        <v>0.05</v>
      </c>
      <c r="I38" s="1369">
        <f>($C$33*$C$24*(E38*F38))</f>
        <v>2216.6887417218563</v>
      </c>
      <c r="J38" s="87" t="s">
        <v>67</v>
      </c>
      <c r="K38" s="2039"/>
      <c r="L38" s="311" t="s">
        <v>2181</v>
      </c>
      <c r="T38" s="1323"/>
      <c r="U38" s="1323"/>
    </row>
    <row r="39" spans="2:22" ht="28" hidden="1" customHeight="1" outlineLevel="2" x14ac:dyDescent="0.2">
      <c r="B39" s="1323"/>
      <c r="C39" s="1323"/>
      <c r="E39" s="365"/>
      <c r="F39" s="1325"/>
      <c r="G39" s="1325"/>
      <c r="H39" s="50" t="s">
        <v>198</v>
      </c>
      <c r="I39" s="2036">
        <f>SUM(I36:I38)/1000</f>
        <v>38.044232986272533</v>
      </c>
      <c r="J39" s="2035" t="s">
        <v>71</v>
      </c>
      <c r="K39" s="1325"/>
      <c r="L39" s="1323"/>
      <c r="O39" s="219"/>
      <c r="T39" s="1323"/>
      <c r="U39" s="1323"/>
      <c r="V39" s="1323"/>
    </row>
    <row r="40" spans="2:22" ht="32" customHeight="1" outlineLevel="1" collapsed="1" x14ac:dyDescent="0.2">
      <c r="B40" s="2251" t="s">
        <v>2271</v>
      </c>
      <c r="C40"/>
      <c r="D40"/>
      <c r="E40"/>
      <c r="F40"/>
      <c r="G40"/>
      <c r="H40"/>
      <c r="I40"/>
      <c r="J40"/>
      <c r="K40"/>
      <c r="L40"/>
      <c r="M40" s="1323"/>
      <c r="N40" s="365"/>
      <c r="O40"/>
      <c r="P40"/>
      <c r="Q40"/>
      <c r="R40"/>
      <c r="S40" s="650"/>
      <c r="T40" s="1323"/>
      <c r="U40" s="1323"/>
      <c r="V40" s="1323"/>
    </row>
    <row r="41" spans="2:22" ht="32" hidden="1" customHeight="1" outlineLevel="2" x14ac:dyDescent="0.2">
      <c r="B41" s="464" t="s">
        <v>1357</v>
      </c>
      <c r="H41" s="2344"/>
      <c r="M41" s="1323"/>
      <c r="N41" s="365"/>
      <c r="O41"/>
      <c r="P41"/>
      <c r="Q41"/>
      <c r="R41"/>
      <c r="S41" s="650"/>
      <c r="T41" s="1323"/>
      <c r="U41" s="1323"/>
      <c r="V41" s="1323"/>
    </row>
    <row r="42" spans="2:22" ht="32" hidden="1" customHeight="1" outlineLevel="2" x14ac:dyDescent="0.2">
      <c r="B42" s="219" t="s">
        <v>2272</v>
      </c>
      <c r="C42" s="650"/>
      <c r="D42" s="650"/>
      <c r="E42" s="650"/>
      <c r="F42" s="650"/>
      <c r="G42" s="650"/>
      <c r="H42" s="650"/>
      <c r="I42" s="650"/>
      <c r="J42" s="650"/>
      <c r="K42" s="650"/>
      <c r="L42" s="650"/>
      <c r="M42" s="1323"/>
      <c r="N42" s="365"/>
      <c r="O42"/>
      <c r="P42"/>
      <c r="Q42"/>
      <c r="R42"/>
      <c r="S42" s="650"/>
      <c r="T42" s="1323"/>
      <c r="U42" s="1323"/>
      <c r="V42" s="1323"/>
    </row>
    <row r="43" spans="2:22" ht="32" hidden="1" customHeight="1" outlineLevel="2" x14ac:dyDescent="0.2">
      <c r="B43" s="650"/>
      <c r="C43" s="650"/>
      <c r="D43" s="650"/>
      <c r="E43" s="650"/>
      <c r="F43" s="650"/>
      <c r="G43" s="650"/>
      <c r="H43" s="650"/>
      <c r="I43" s="650"/>
      <c r="J43" s="650"/>
      <c r="K43" s="650"/>
      <c r="L43" s="650"/>
      <c r="M43" s="1323"/>
      <c r="N43" s="365"/>
      <c r="O43"/>
      <c r="P43"/>
      <c r="Q43"/>
      <c r="R43"/>
      <c r="S43" s="650"/>
      <c r="T43" s="1323"/>
      <c r="U43" s="1323"/>
      <c r="V43" s="1323"/>
    </row>
    <row r="44" spans="2:22" ht="32" hidden="1" customHeight="1" outlineLevel="2" x14ac:dyDescent="0.2">
      <c r="B44" s="87" t="s">
        <v>1214</v>
      </c>
      <c r="C44" s="2033">
        <f>C32</f>
        <v>0.94701986754966883</v>
      </c>
      <c r="D44" s="87" t="s">
        <v>2299</v>
      </c>
      <c r="E44" s="650"/>
      <c r="F44" s="650"/>
      <c r="G44" s="650"/>
      <c r="H44" s="650"/>
      <c r="I44" s="650"/>
      <c r="J44" s="650"/>
      <c r="K44" s="650"/>
      <c r="L44" s="650"/>
      <c r="M44" s="1323"/>
      <c r="N44" s="365"/>
      <c r="O44"/>
      <c r="P44"/>
      <c r="Q44"/>
      <c r="R44"/>
      <c r="S44" s="650"/>
      <c r="T44" s="1323"/>
      <c r="U44" s="1323"/>
      <c r="V44" s="1323"/>
    </row>
    <row r="45" spans="2:22" ht="32" hidden="1" customHeight="1" outlineLevel="2" x14ac:dyDescent="0.2">
      <c r="B45" s="87" t="s">
        <v>1215</v>
      </c>
      <c r="C45" s="2033">
        <f>C33</f>
        <v>5.2980132450331174E-2</v>
      </c>
      <c r="D45" s="87" t="s">
        <v>2299</v>
      </c>
      <c r="E45" s="650"/>
      <c r="F45" s="650"/>
      <c r="G45" s="650"/>
      <c r="H45" s="1324"/>
      <c r="I45" s="650"/>
      <c r="J45" s="650"/>
      <c r="K45" s="650"/>
      <c r="L45" s="650"/>
      <c r="M45" s="1323"/>
      <c r="N45" s="365"/>
      <c r="O45"/>
      <c r="P45"/>
      <c r="Q45"/>
      <c r="R45"/>
      <c r="S45" s="650"/>
      <c r="T45" s="1323"/>
      <c r="U45" s="1323"/>
      <c r="V45" s="1323"/>
    </row>
    <row r="46" spans="2:22" ht="32" hidden="1" customHeight="1" outlineLevel="2" x14ac:dyDescent="0.2">
      <c r="B46" s="650"/>
      <c r="C46" s="650"/>
      <c r="D46" s="650"/>
      <c r="E46" s="650"/>
      <c r="F46" s="650"/>
      <c r="G46" s="650"/>
      <c r="H46" s="650"/>
      <c r="I46" s="650"/>
      <c r="J46" s="650"/>
      <c r="K46" s="650"/>
      <c r="L46" s="650"/>
      <c r="M46" s="1323"/>
      <c r="N46" s="365"/>
      <c r="O46"/>
      <c r="P46"/>
      <c r="Q46"/>
      <c r="R46"/>
      <c r="S46" s="650"/>
      <c r="T46" s="1323"/>
      <c r="U46" s="1323"/>
      <c r="V46" s="1323"/>
    </row>
    <row r="47" spans="2:22" ht="32" hidden="1" customHeight="1" outlineLevel="2" x14ac:dyDescent="0.2">
      <c r="B47" s="1368" t="s">
        <v>1216</v>
      </c>
      <c r="C47" s="3087" t="s">
        <v>1217</v>
      </c>
      <c r="D47" s="3088"/>
      <c r="E47" s="79" t="s">
        <v>1218</v>
      </c>
      <c r="F47" s="79" t="s">
        <v>1109</v>
      </c>
      <c r="G47" s="79" t="s">
        <v>59</v>
      </c>
      <c r="H47" s="79" t="s">
        <v>2273</v>
      </c>
      <c r="I47" s="79" t="s">
        <v>61</v>
      </c>
      <c r="J47" s="79" t="s">
        <v>59</v>
      </c>
      <c r="K47" s="971" t="s">
        <v>150</v>
      </c>
      <c r="L47" s="971" t="s">
        <v>125</v>
      </c>
      <c r="M47" s="1323"/>
      <c r="N47" s="365"/>
      <c r="O47"/>
      <c r="P47"/>
      <c r="Q47"/>
      <c r="R47"/>
      <c r="S47" s="650"/>
      <c r="T47" s="1323"/>
      <c r="U47" s="1323"/>
      <c r="V47" s="1323"/>
    </row>
    <row r="48" spans="2:22" ht="32" hidden="1" customHeight="1" outlineLevel="2" x14ac:dyDescent="0.2">
      <c r="B48" s="3089" t="s">
        <v>1219</v>
      </c>
      <c r="C48" s="3094" t="s">
        <v>2274</v>
      </c>
      <c r="D48" s="3095"/>
      <c r="E48" s="2276">
        <v>2</v>
      </c>
      <c r="F48" s="87">
        <f>0.4/1000</f>
        <v>4.0000000000000002E-4</v>
      </c>
      <c r="G48" s="87" t="s">
        <v>1213</v>
      </c>
      <c r="H48" s="83">
        <v>0.3</v>
      </c>
      <c r="I48" s="1369">
        <f>($C$24*$C$44*(E48*F48))*H48</f>
        <v>90.913907284768214</v>
      </c>
      <c r="J48" s="87" t="s">
        <v>67</v>
      </c>
      <c r="K48" s="2038" t="s">
        <v>2341</v>
      </c>
      <c r="L48" s="987" t="s">
        <v>2275</v>
      </c>
      <c r="M48" s="1323"/>
      <c r="N48" s="365"/>
      <c r="O48"/>
      <c r="P48"/>
      <c r="Q48"/>
      <c r="R48"/>
      <c r="S48" s="650"/>
      <c r="T48" s="1323"/>
      <c r="U48" s="1323"/>
      <c r="V48" s="1323"/>
    </row>
    <row r="49" spans="2:22" ht="32" hidden="1" customHeight="1" outlineLevel="2" x14ac:dyDescent="0.2">
      <c r="B49" s="3090"/>
      <c r="C49" s="3094" t="s">
        <v>2276</v>
      </c>
      <c r="D49" s="3095"/>
      <c r="E49" s="2276">
        <v>2</v>
      </c>
      <c r="F49" s="87">
        <f>6/1000</f>
        <v>6.0000000000000001E-3</v>
      </c>
      <c r="G49" s="87" t="s">
        <v>1213</v>
      </c>
      <c r="H49" s="83">
        <v>0.6</v>
      </c>
      <c r="I49" s="1369">
        <f>($C$24*$C$44*(E49*F49))*H49</f>
        <v>2727.4172185430461</v>
      </c>
      <c r="J49" s="87" t="s">
        <v>67</v>
      </c>
      <c r="K49" s="2037" t="s">
        <v>2342</v>
      </c>
      <c r="L49" s="1458" t="s">
        <v>2277</v>
      </c>
      <c r="M49" s="1323"/>
      <c r="N49" s="365"/>
      <c r="O49"/>
      <c r="P49"/>
      <c r="Q49"/>
      <c r="R49"/>
      <c r="S49" s="650"/>
      <c r="T49" s="1323"/>
      <c r="U49" s="1323"/>
      <c r="V49" s="1323"/>
    </row>
    <row r="50" spans="2:22" ht="32" hidden="1" customHeight="1" outlineLevel="2" x14ac:dyDescent="0.2">
      <c r="B50" s="3093"/>
      <c r="C50" s="3094" t="s">
        <v>2278</v>
      </c>
      <c r="D50" s="3095"/>
      <c r="E50" s="2276">
        <v>2</v>
      </c>
      <c r="F50" s="2253">
        <f>P159</f>
        <v>0</v>
      </c>
      <c r="G50" s="87" t="s">
        <v>1213</v>
      </c>
      <c r="H50" s="83">
        <v>0.1</v>
      </c>
      <c r="I50" s="1369">
        <f>($C$24*$C$44*(E50*F50))*H50</f>
        <v>0</v>
      </c>
      <c r="J50" s="87" t="s">
        <v>67</v>
      </c>
      <c r="K50" s="2037" t="s">
        <v>2343</v>
      </c>
      <c r="L50" s="987" t="s">
        <v>2279</v>
      </c>
      <c r="M50" s="1323"/>
      <c r="N50" s="365"/>
      <c r="O50"/>
      <c r="P50"/>
      <c r="Q50"/>
      <c r="R50"/>
      <c r="S50" s="650"/>
      <c r="T50" s="1323"/>
      <c r="U50" s="1323"/>
      <c r="V50" s="1323"/>
    </row>
    <row r="51" spans="2:22" ht="32" hidden="1" customHeight="1" outlineLevel="2" x14ac:dyDescent="0.2">
      <c r="B51" s="87" t="s">
        <v>2280</v>
      </c>
      <c r="C51" s="3094" t="s">
        <v>2281</v>
      </c>
      <c r="D51" s="3095"/>
      <c r="E51" s="2276">
        <v>2</v>
      </c>
      <c r="F51" s="87">
        <f>4/1000</f>
        <v>4.0000000000000001E-3</v>
      </c>
      <c r="G51" s="87" t="s">
        <v>1213</v>
      </c>
      <c r="H51" s="88" t="s">
        <v>250</v>
      </c>
      <c r="I51" s="1369">
        <f>($C$24*$C$45*(E51*F51))</f>
        <v>169.53642384105976</v>
      </c>
      <c r="J51" s="87" t="s">
        <v>67</v>
      </c>
      <c r="K51" s="2039" t="s">
        <v>2344</v>
      </c>
      <c r="L51" s="2178" t="s">
        <v>2282</v>
      </c>
      <c r="M51" s="1323"/>
      <c r="N51" s="365"/>
      <c r="O51"/>
      <c r="P51"/>
      <c r="Q51"/>
      <c r="R51"/>
      <c r="S51" s="650"/>
      <c r="T51" s="1323"/>
      <c r="U51" s="1323"/>
      <c r="V51" s="1323"/>
    </row>
    <row r="52" spans="2:22" ht="32" hidden="1" customHeight="1" outlineLevel="2" x14ac:dyDescent="0.2">
      <c r="B52" s="1323"/>
      <c r="C52" s="1323"/>
      <c r="E52" s="365"/>
      <c r="F52" s="1325"/>
      <c r="G52" s="1325"/>
      <c r="H52" s="50" t="s">
        <v>13</v>
      </c>
      <c r="I52" s="2254">
        <f>SUM(I48:I51)/1000</f>
        <v>2.9878675496688745</v>
      </c>
      <c r="J52" s="50" t="s">
        <v>71</v>
      </c>
      <c r="K52" s="2279"/>
      <c r="L52" s="2280"/>
      <c r="M52" s="1323"/>
      <c r="N52" s="365"/>
      <c r="O52"/>
      <c r="P52"/>
      <c r="Q52"/>
      <c r="R52"/>
      <c r="S52" s="650"/>
      <c r="T52" s="1323"/>
      <c r="U52" s="1323"/>
      <c r="V52" s="1323"/>
    </row>
    <row r="53" spans="2:22" ht="32" hidden="1" customHeight="1" outlineLevel="2" x14ac:dyDescent="0.2">
      <c r="B53" s="1323"/>
      <c r="C53" s="1323"/>
      <c r="E53" s="365"/>
      <c r="F53" s="1325"/>
      <c r="G53" s="1325"/>
      <c r="H53" s="1325"/>
      <c r="I53" s="1325"/>
      <c r="J53" s="1325"/>
      <c r="K53" s="2279"/>
      <c r="L53" s="2280"/>
      <c r="M53" s="1323"/>
      <c r="N53" s="365"/>
      <c r="O53"/>
      <c r="P53"/>
      <c r="Q53"/>
      <c r="R53"/>
      <c r="S53" s="650"/>
      <c r="T53" s="1323"/>
      <c r="U53" s="1323"/>
      <c r="V53" s="1323"/>
    </row>
    <row r="54" spans="2:22" ht="32" hidden="1" customHeight="1" outlineLevel="2" x14ac:dyDescent="0.2">
      <c r="B54" s="3096" t="s">
        <v>1216</v>
      </c>
      <c r="C54" s="3097"/>
      <c r="D54" s="3098"/>
      <c r="E54" s="79" t="s">
        <v>1218</v>
      </c>
      <c r="F54" s="110" t="s">
        <v>2283</v>
      </c>
      <c r="G54" s="110" t="s">
        <v>2284</v>
      </c>
      <c r="H54" s="110" t="s">
        <v>2273</v>
      </c>
      <c r="I54" s="110" t="s">
        <v>61</v>
      </c>
      <c r="J54" s="110" t="s">
        <v>59</v>
      </c>
      <c r="K54" s="2277" t="s">
        <v>150</v>
      </c>
      <c r="L54" s="2277" t="s">
        <v>125</v>
      </c>
      <c r="M54" s="1323"/>
      <c r="N54" s="365"/>
      <c r="O54"/>
      <c r="P54"/>
      <c r="Q54"/>
      <c r="R54"/>
      <c r="S54" s="650"/>
      <c r="T54" s="1323"/>
      <c r="U54" s="1323"/>
      <c r="V54" s="1323"/>
    </row>
    <row r="55" spans="2:22" ht="32" hidden="1" customHeight="1" outlineLevel="2" x14ac:dyDescent="0.2">
      <c r="B55" s="3094" t="s">
        <v>2285</v>
      </c>
      <c r="C55" s="3099"/>
      <c r="D55" s="3095"/>
      <c r="E55" s="88">
        <v>2</v>
      </c>
      <c r="F55" s="87">
        <v>100</v>
      </c>
      <c r="G55" s="2252">
        <f>(F55*E55/1000)*$C$44*$C$24</f>
        <v>75761.589403973499</v>
      </c>
      <c r="H55" s="83">
        <v>0.95</v>
      </c>
      <c r="I55" s="2252">
        <f>G55*$D$250</f>
        <v>3939.602649006622</v>
      </c>
      <c r="J55" s="87" t="s">
        <v>67</v>
      </c>
      <c r="K55" s="2278" t="s">
        <v>2347</v>
      </c>
      <c r="L55" s="1763" t="s">
        <v>2282</v>
      </c>
      <c r="M55" s="1323"/>
      <c r="N55" s="365"/>
      <c r="O55"/>
      <c r="P55"/>
      <c r="Q55"/>
      <c r="R55"/>
      <c r="S55" s="650"/>
      <c r="T55" s="1323"/>
      <c r="U55" s="1323"/>
      <c r="V55" s="1323"/>
    </row>
    <row r="56" spans="2:22" ht="32" hidden="1" customHeight="1" outlineLevel="2" x14ac:dyDescent="0.2">
      <c r="B56" s="3094" t="s">
        <v>2286</v>
      </c>
      <c r="C56" s="3099"/>
      <c r="D56" s="3095"/>
      <c r="E56" s="88">
        <v>2</v>
      </c>
      <c r="F56" s="87">
        <v>10</v>
      </c>
      <c r="G56" s="2252">
        <f>(F56*E56/1000)*$C$44*$C$24</f>
        <v>7576.1589403973512</v>
      </c>
      <c r="H56" s="2255">
        <v>0.95</v>
      </c>
      <c r="I56" s="2252">
        <f t="shared" ref="I56:I57" si="0">G56*$D$250</f>
        <v>393.96026490066225</v>
      </c>
      <c r="J56" s="87" t="s">
        <v>67</v>
      </c>
      <c r="K56" s="2039" t="s">
        <v>2346</v>
      </c>
      <c r="L56" s="2178" t="s">
        <v>2287</v>
      </c>
      <c r="M56" s="1323"/>
      <c r="N56" s="365"/>
      <c r="O56"/>
      <c r="P56"/>
      <c r="Q56"/>
      <c r="R56"/>
      <c r="S56" s="650"/>
      <c r="T56" s="1323"/>
      <c r="U56" s="1323"/>
      <c r="V56" s="1323"/>
    </row>
    <row r="57" spans="2:22" ht="32" hidden="1" customHeight="1" outlineLevel="2" x14ac:dyDescent="0.2">
      <c r="B57" s="3094" t="s">
        <v>2288</v>
      </c>
      <c r="C57" s="3099"/>
      <c r="D57" s="3095"/>
      <c r="E57" s="88">
        <v>2</v>
      </c>
      <c r="F57" s="87">
        <v>50</v>
      </c>
      <c r="G57" s="2252">
        <f>(F57*E57/1000)*$C$44*$C$24</f>
        <v>37880.79470198675</v>
      </c>
      <c r="H57" s="83">
        <v>0.05</v>
      </c>
      <c r="I57" s="2252">
        <f t="shared" si="0"/>
        <v>1969.801324503311</v>
      </c>
      <c r="J57" s="87" t="s">
        <v>67</v>
      </c>
      <c r="K57" s="2278" t="s">
        <v>2345</v>
      </c>
      <c r="L57" s="1763" t="s">
        <v>2289</v>
      </c>
      <c r="M57" s="1323"/>
      <c r="N57" s="365"/>
      <c r="O57"/>
      <c r="P57"/>
      <c r="Q57"/>
      <c r="R57"/>
      <c r="S57" s="650"/>
      <c r="T57" s="1323"/>
      <c r="U57" s="1323"/>
      <c r="V57" s="1323"/>
    </row>
    <row r="58" spans="2:22" ht="32" hidden="1" customHeight="1" outlineLevel="2" x14ac:dyDescent="0.2">
      <c r="B58" s="1323"/>
      <c r="C58" s="1323"/>
      <c r="H58" s="50" t="s">
        <v>13</v>
      </c>
      <c r="I58" s="2254">
        <f>SUM(I55:I57)/1000</f>
        <v>6.3033642384105955</v>
      </c>
      <c r="J58" s="50" t="s">
        <v>71</v>
      </c>
      <c r="K58" s="1325"/>
      <c r="M58" s="1323"/>
      <c r="N58" s="365"/>
      <c r="O58"/>
      <c r="P58"/>
      <c r="Q58"/>
      <c r="R58"/>
      <c r="S58" s="650"/>
      <c r="T58" s="1323"/>
      <c r="U58" s="1323"/>
      <c r="V58" s="1323"/>
    </row>
    <row r="59" spans="2:22" ht="32" hidden="1" customHeight="1" outlineLevel="2" x14ac:dyDescent="0.2">
      <c r="B59" s="1323"/>
      <c r="C59" s="1323"/>
      <c r="D59" s="365"/>
      <c r="E59" s="365"/>
      <c r="F59" s="1325"/>
      <c r="G59" s="1325"/>
      <c r="K59" s="2256"/>
      <c r="M59" s="1323"/>
      <c r="N59" s="365"/>
      <c r="O59"/>
      <c r="P59"/>
      <c r="Q59"/>
      <c r="R59"/>
      <c r="S59" s="650"/>
      <c r="T59" s="1323"/>
      <c r="U59" s="1323"/>
      <c r="V59" s="1323"/>
    </row>
    <row r="60" spans="2:22" ht="32" hidden="1" customHeight="1" outlineLevel="2" x14ac:dyDescent="0.2">
      <c r="D60" s="365"/>
      <c r="E60"/>
      <c r="F60"/>
      <c r="G60" s="1325"/>
      <c r="H60" s="50" t="s">
        <v>198</v>
      </c>
      <c r="I60" s="2260">
        <f>I58+I52</f>
        <v>9.2912317880794699</v>
      </c>
      <c r="J60" s="1750" t="s">
        <v>71</v>
      </c>
      <c r="K60" s="2257"/>
      <c r="L60" s="1325"/>
      <c r="M60" s="1323"/>
      <c r="N60" s="365"/>
      <c r="O60"/>
      <c r="P60"/>
      <c r="Q60"/>
      <c r="R60"/>
      <c r="S60" s="650"/>
      <c r="T60" s="1323"/>
      <c r="U60" s="1323"/>
      <c r="V60" s="1323"/>
    </row>
    <row r="61" spans="2:22" ht="32" customHeight="1" outlineLevel="1" collapsed="1" x14ac:dyDescent="0.2">
      <c r="B61" s="464" t="s">
        <v>1357</v>
      </c>
      <c r="C61"/>
      <c r="D61"/>
      <c r="E61"/>
      <c r="F61"/>
      <c r="G61"/>
      <c r="H61"/>
      <c r="I61"/>
      <c r="J61"/>
      <c r="K61"/>
      <c r="L61"/>
      <c r="M61" s="1323"/>
      <c r="N61" s="365"/>
      <c r="O61"/>
      <c r="P61"/>
      <c r="Q61"/>
      <c r="R61"/>
      <c r="S61" s="650"/>
      <c r="T61" s="1323"/>
      <c r="U61" s="1323"/>
      <c r="V61" s="1323"/>
    </row>
    <row r="62" spans="2:22" ht="32" customHeight="1" outlineLevel="1" x14ac:dyDescent="0.2">
      <c r="B62" s="55" t="s">
        <v>2367</v>
      </c>
      <c r="C62"/>
      <c r="D62"/>
      <c r="E62"/>
      <c r="F62"/>
      <c r="G62"/>
      <c r="H62"/>
      <c r="I62"/>
      <c r="J62"/>
      <c r="K62"/>
      <c r="L62"/>
      <c r="M62" s="1323"/>
      <c r="N62" s="365"/>
      <c r="O62"/>
      <c r="P62"/>
      <c r="Q62"/>
      <c r="R62"/>
      <c r="S62" s="650"/>
      <c r="T62" s="1323"/>
      <c r="U62" s="1323"/>
      <c r="V62" s="1323"/>
    </row>
    <row r="63" spans="2:22" ht="32" customHeight="1" outlineLevel="1" x14ac:dyDescent="0.2">
      <c r="B63" s="55"/>
      <c r="C63"/>
      <c r="D63"/>
      <c r="E63"/>
      <c r="F63"/>
      <c r="G63"/>
      <c r="H63"/>
      <c r="I63"/>
      <c r="J63"/>
      <c r="K63"/>
      <c r="L63"/>
      <c r="M63" s="1323"/>
      <c r="N63" s="365"/>
      <c r="O63"/>
      <c r="P63"/>
      <c r="Q63"/>
      <c r="R63"/>
      <c r="S63" s="650"/>
      <c r="T63" s="1323"/>
      <c r="U63" s="1323"/>
      <c r="V63" s="1323"/>
    </row>
    <row r="64" spans="2:22" ht="32" customHeight="1" x14ac:dyDescent="0.2">
      <c r="D64" s="365"/>
      <c r="E64"/>
      <c r="F64"/>
      <c r="G64" s="1325"/>
      <c r="K64" s="1325"/>
      <c r="L64" s="1325"/>
      <c r="M64" s="1323"/>
      <c r="N64" s="365"/>
      <c r="O64"/>
      <c r="P64"/>
      <c r="Q64"/>
      <c r="R64"/>
      <c r="S64" s="650"/>
      <c r="T64" s="1323"/>
      <c r="U64" s="1323"/>
      <c r="V64" s="1323"/>
    </row>
    <row r="65" spans="2:22" ht="38" customHeight="1" x14ac:dyDescent="0.2">
      <c r="B65" s="325" t="s">
        <v>1739</v>
      </c>
      <c r="C65" s="1323"/>
      <c r="D65" s="365"/>
      <c r="E65"/>
      <c r="F65"/>
      <c r="G65" s="1325"/>
      <c r="K65" s="1325"/>
      <c r="L65" s="1325"/>
      <c r="M65" s="1323"/>
      <c r="N65" s="365"/>
      <c r="O65"/>
      <c r="P65"/>
      <c r="Q65"/>
      <c r="R65"/>
      <c r="S65" s="650"/>
      <c r="T65" s="1323"/>
      <c r="U65" s="1323"/>
      <c r="V65" s="1323"/>
    </row>
    <row r="66" spans="2:22" ht="37" customHeight="1" thickBot="1" x14ac:dyDescent="0.25">
      <c r="B66" s="328" t="s">
        <v>1365</v>
      </c>
      <c r="C66" s="1323"/>
      <c r="D66" s="2"/>
      <c r="E66"/>
      <c r="F66"/>
      <c r="G66" s="1325"/>
      <c r="H66" s="1325"/>
      <c r="I66" s="1328"/>
      <c r="J66" s="1325"/>
      <c r="K66" s="1329"/>
      <c r="L66" s="1325"/>
      <c r="M66" s="1323"/>
      <c r="R66" s="1325"/>
      <c r="S66" s="1325"/>
      <c r="T66" s="1323"/>
      <c r="U66" s="1323"/>
      <c r="V66" s="1323"/>
    </row>
    <row r="67" spans="2:22" ht="33" customHeight="1" thickBot="1" x14ac:dyDescent="0.25">
      <c r="B67" s="219" t="s">
        <v>1714</v>
      </c>
      <c r="C67" s="1323"/>
      <c r="D67" s="2044">
        <f>I60/C24*1000</f>
        <v>2.3228079470198674E-2</v>
      </c>
      <c r="E67" s="2043" t="s">
        <v>2185</v>
      </c>
      <c r="F67" s="1325"/>
      <c r="G67" s="1325"/>
      <c r="H67" s="1325"/>
      <c r="I67" s="1325"/>
      <c r="J67" s="1325"/>
      <c r="K67" s="1325"/>
      <c r="L67" s="1325"/>
      <c r="O67" s="219"/>
      <c r="U67" s="1323"/>
      <c r="V67" s="1323"/>
    </row>
    <row r="68" spans="2:22" ht="33" customHeight="1" x14ac:dyDescent="0.2">
      <c r="B68" s="219" t="s">
        <v>2182</v>
      </c>
      <c r="D68" s="365"/>
      <c r="E68" s="365"/>
      <c r="F68" s="1325"/>
      <c r="G68" s="1325"/>
      <c r="H68" s="1325"/>
      <c r="I68" s="1325"/>
      <c r="J68" s="1325"/>
      <c r="K68" s="1325"/>
      <c r="L68" s="1325"/>
      <c r="M68" s="1323"/>
      <c r="O68" s="219"/>
      <c r="U68" s="1323"/>
      <c r="V68" s="1323"/>
    </row>
    <row r="69" spans="2:22" ht="33" customHeight="1" x14ac:dyDescent="0.2">
      <c r="B69" s="219" t="s">
        <v>1715</v>
      </c>
      <c r="K69" s="1567"/>
      <c r="L69" s="1567"/>
      <c r="M69" s="1323"/>
      <c r="O69" s="219"/>
      <c r="U69" s="1323"/>
      <c r="V69" s="1323"/>
    </row>
    <row r="70" spans="2:22" ht="26" customHeight="1" x14ac:dyDescent="0.2">
      <c r="I70" s="1351"/>
      <c r="K70" s="1568"/>
      <c r="M70" s="1323"/>
      <c r="O70" s="219"/>
      <c r="U70" s="1323"/>
      <c r="V70" s="1323"/>
    </row>
    <row r="71" spans="2:22" ht="26" customHeight="1" x14ac:dyDescent="0.2">
      <c r="I71" s="1351"/>
      <c r="M71" s="1323"/>
      <c r="O71" s="219"/>
      <c r="U71" s="1323"/>
      <c r="V71" s="1323"/>
    </row>
    <row r="72" spans="2:22" ht="26" customHeight="1" x14ac:dyDescent="0.2">
      <c r="B72" s="548" t="s">
        <v>1716</v>
      </c>
      <c r="I72" s="1351"/>
      <c r="M72" s="1323"/>
      <c r="N72" s="1323"/>
      <c r="O72" s="219"/>
      <c r="U72" s="1323"/>
      <c r="V72" s="1323"/>
    </row>
    <row r="73" spans="2:22" ht="26" customHeight="1" x14ac:dyDescent="0.2">
      <c r="B73" s="548"/>
      <c r="I73" s="1351"/>
      <c r="M73" s="1323"/>
      <c r="N73" s="1323"/>
      <c r="O73" s="219"/>
      <c r="U73" s="1323"/>
      <c r="V73" s="1323"/>
    </row>
    <row r="74" spans="2:22" ht="30" customHeight="1" x14ac:dyDescent="0.2">
      <c r="B74" s="1359" t="s">
        <v>767</v>
      </c>
      <c r="C74" s="1357" t="s">
        <v>1706</v>
      </c>
      <c r="D74" s="1357" t="s">
        <v>1704</v>
      </c>
      <c r="E74" s="1357" t="s">
        <v>1705</v>
      </c>
      <c r="F74" s="1358" t="s">
        <v>1707</v>
      </c>
      <c r="G74" s="1761" t="s">
        <v>1708</v>
      </c>
      <c r="H74" s="1352"/>
      <c r="M74" s="1323"/>
      <c r="N74" s="1323"/>
      <c r="O74" s="219"/>
      <c r="U74" s="1323"/>
      <c r="V74" s="1323"/>
    </row>
    <row r="75" spans="2:22" ht="26" customHeight="1" x14ac:dyDescent="0.2">
      <c r="B75" s="1353" t="s">
        <v>1701</v>
      </c>
      <c r="C75" s="1353">
        <v>380</v>
      </c>
      <c r="D75" s="1354">
        <v>550000</v>
      </c>
      <c r="E75" s="1354">
        <f t="shared" ref="E75:E81" si="1">C75*D75</f>
        <v>209000000</v>
      </c>
      <c r="F75" s="1760" t="s">
        <v>2349</v>
      </c>
      <c r="G75" s="1762" t="s">
        <v>1718</v>
      </c>
      <c r="M75" s="1325"/>
      <c r="N75" s="365"/>
      <c r="O75" s="219"/>
      <c r="U75" s="1323"/>
      <c r="V75" s="1323"/>
    </row>
    <row r="76" spans="2:22" ht="24" customHeight="1" x14ac:dyDescent="0.2">
      <c r="B76" s="1353" t="s">
        <v>1702</v>
      </c>
      <c r="C76" s="1353">
        <v>380</v>
      </c>
      <c r="D76" s="2041">
        <v>50000</v>
      </c>
      <c r="E76" s="1354">
        <f t="shared" si="1"/>
        <v>19000000</v>
      </c>
      <c r="F76" s="1760" t="s">
        <v>2350</v>
      </c>
      <c r="G76" s="1763" t="s">
        <v>1717</v>
      </c>
      <c r="M76" s="1325"/>
      <c r="N76" s="365"/>
      <c r="O76" s="219"/>
      <c r="U76" s="1323"/>
      <c r="V76" s="1323"/>
    </row>
    <row r="77" spans="2:22" ht="31" customHeight="1" x14ac:dyDescent="0.2">
      <c r="B77" s="1353" t="s">
        <v>1703</v>
      </c>
      <c r="C77" s="1353">
        <v>132</v>
      </c>
      <c r="D77" s="2041">
        <v>0</v>
      </c>
      <c r="E77" s="1354">
        <f t="shared" si="1"/>
        <v>0</v>
      </c>
      <c r="F77" s="1760" t="s">
        <v>2351</v>
      </c>
      <c r="G77" s="1763"/>
      <c r="M77" s="1325"/>
      <c r="N77" s="365"/>
      <c r="O77" s="219"/>
      <c r="U77" s="1323"/>
      <c r="V77" s="1323"/>
    </row>
    <row r="78" spans="2:22" ht="31" customHeight="1" x14ac:dyDescent="0.2">
      <c r="B78" s="1353" t="s">
        <v>1269</v>
      </c>
      <c r="C78" s="1353">
        <v>186</v>
      </c>
      <c r="D78" s="1354">
        <v>300000</v>
      </c>
      <c r="E78" s="1354">
        <f t="shared" si="1"/>
        <v>55800000</v>
      </c>
      <c r="F78" s="1760" t="s">
        <v>2352</v>
      </c>
      <c r="G78" s="1320" t="s">
        <v>2355</v>
      </c>
      <c r="M78" s="1325"/>
      <c r="N78" s="365"/>
      <c r="O78" s="219"/>
      <c r="U78" s="1323"/>
      <c r="V78" s="1323"/>
    </row>
    <row r="79" spans="2:22" ht="30" customHeight="1" x14ac:dyDescent="0.2">
      <c r="B79" s="1766" t="s">
        <v>1270</v>
      </c>
      <c r="C79" s="1766">
        <v>245</v>
      </c>
      <c r="D79" s="2042">
        <v>50000</v>
      </c>
      <c r="E79" s="1767">
        <f t="shared" si="1"/>
        <v>12250000</v>
      </c>
      <c r="F79" s="1768" t="s">
        <v>2353</v>
      </c>
      <c r="G79" s="1769" t="s">
        <v>1719</v>
      </c>
      <c r="M79" s="1325"/>
      <c r="N79" s="365"/>
      <c r="O79" s="219"/>
      <c r="U79" s="1323"/>
      <c r="V79" s="1323"/>
    </row>
    <row r="80" spans="2:22" ht="30" customHeight="1" x14ac:dyDescent="0.2">
      <c r="B80" s="87" t="s">
        <v>2005</v>
      </c>
      <c r="C80" s="87">
        <f>'ANNEXE A'!I232</f>
        <v>15</v>
      </c>
      <c r="D80" s="2040">
        <v>0</v>
      </c>
      <c r="E80" s="1767">
        <f t="shared" si="1"/>
        <v>0</v>
      </c>
      <c r="F80" s="1760" t="s">
        <v>2351</v>
      </c>
      <c r="G80" s="1764"/>
      <c r="M80" s="1325"/>
      <c r="N80" s="365"/>
      <c r="O80" s="219"/>
      <c r="U80" s="1323"/>
      <c r="V80" s="1323"/>
    </row>
    <row r="81" spans="2:22" ht="30" customHeight="1" x14ac:dyDescent="0.2">
      <c r="B81" s="87" t="s">
        <v>2004</v>
      </c>
      <c r="C81" s="87">
        <f>'ANNEXE A'!H232</f>
        <v>30</v>
      </c>
      <c r="D81" s="111">
        <f>D75</f>
        <v>550000</v>
      </c>
      <c r="E81" s="111">
        <f t="shared" si="1"/>
        <v>16500000</v>
      </c>
      <c r="F81" s="1763" t="s">
        <v>2354</v>
      </c>
      <c r="G81" s="1764"/>
      <c r="M81" s="1325"/>
      <c r="N81" s="365"/>
      <c r="O81" s="219"/>
      <c r="U81" s="1323"/>
      <c r="V81" s="1323"/>
    </row>
    <row r="82" spans="2:22" ht="24" customHeight="1" x14ac:dyDescent="0.2">
      <c r="D82" s="1362" t="s">
        <v>13</v>
      </c>
      <c r="E82" s="1363">
        <f>SUM(E75:E81)</f>
        <v>312550000</v>
      </c>
      <c r="L82" s="1325"/>
      <c r="M82" s="1325"/>
      <c r="N82" s="365"/>
      <c r="O82" s="219"/>
      <c r="U82" s="1323"/>
      <c r="V82" s="1323"/>
    </row>
    <row r="83" spans="2:22" ht="24" customHeight="1" x14ac:dyDescent="0.2">
      <c r="L83" s="1325"/>
      <c r="M83" s="1325"/>
      <c r="N83" s="365"/>
      <c r="O83" s="219"/>
      <c r="U83" s="1323"/>
      <c r="V83" s="1323"/>
    </row>
    <row r="84" spans="2:22" ht="24" customHeight="1" x14ac:dyDescent="0.2">
      <c r="L84" s="1325"/>
      <c r="M84" s="1325"/>
      <c r="N84" s="365"/>
      <c r="O84" s="219"/>
      <c r="U84" s="1323"/>
      <c r="V84" s="1323"/>
    </row>
    <row r="85" spans="2:22" ht="24" customHeight="1" x14ac:dyDescent="0.2">
      <c r="B85" s="548" t="s">
        <v>1724</v>
      </c>
      <c r="C85" s="2"/>
      <c r="D85" s="2"/>
      <c r="E85" s="2"/>
      <c r="L85" s="1325"/>
      <c r="M85" s="1325"/>
      <c r="N85" s="365"/>
      <c r="O85" s="219"/>
      <c r="U85" s="1323"/>
      <c r="V85" s="1323"/>
    </row>
    <row r="86" spans="2:22" ht="24" customHeight="1" x14ac:dyDescent="0.2">
      <c r="B86" s="548"/>
      <c r="C86" s="2"/>
      <c r="D86" s="2"/>
      <c r="E86" s="2"/>
      <c r="L86" s="1325"/>
      <c r="M86" s="1325"/>
      <c r="N86" s="365"/>
      <c r="O86" s="219"/>
      <c r="U86" s="1323"/>
      <c r="V86" s="1323"/>
    </row>
    <row r="87" spans="2:22" ht="39" customHeight="1" x14ac:dyDescent="0.2">
      <c r="B87" s="1359" t="s">
        <v>767</v>
      </c>
      <c r="C87" s="1357" t="s">
        <v>1706</v>
      </c>
      <c r="D87" s="1357" t="s">
        <v>1704</v>
      </c>
      <c r="E87" s="1357" t="s">
        <v>1705</v>
      </c>
      <c r="F87" s="1358" t="s">
        <v>1707</v>
      </c>
      <c r="G87"/>
      <c r="M87" s="1332"/>
      <c r="N87" s="365"/>
      <c r="O87" s="219"/>
      <c r="U87" s="1323"/>
      <c r="V87" s="1323"/>
    </row>
    <row r="88" spans="2:22" ht="28" customHeight="1" x14ac:dyDescent="0.2">
      <c r="B88" s="1353" t="s">
        <v>1709</v>
      </c>
      <c r="C88" s="1770">
        <f>COUNTIF('16'!$B$84:$B$170,"Equipe de France - Football Homme")</f>
        <v>3</v>
      </c>
      <c r="D88" s="1354">
        <f>C124</f>
        <v>6200000</v>
      </c>
      <c r="E88" s="1354">
        <f>C88*D88</f>
        <v>18600000</v>
      </c>
      <c r="F88" s="1356" t="s">
        <v>1730</v>
      </c>
      <c r="G88"/>
      <c r="M88" s="1325"/>
      <c r="N88" s="365"/>
      <c r="O88" s="219"/>
      <c r="U88" s="1323"/>
      <c r="V88" s="1323"/>
    </row>
    <row r="89" spans="2:22" ht="24" customHeight="1" x14ac:dyDescent="0.2">
      <c r="B89" s="1353" t="s">
        <v>1710</v>
      </c>
      <c r="C89" s="1770">
        <f>COUNTIF('16'!$B$84:$B$170,"Equipe de France - Football Femme")</f>
        <v>6</v>
      </c>
      <c r="D89" s="1354">
        <f>C130</f>
        <v>2100000</v>
      </c>
      <c r="E89" s="1354">
        <f>C89*D89</f>
        <v>12600000</v>
      </c>
      <c r="F89" s="1356" t="s">
        <v>1731</v>
      </c>
      <c r="G89"/>
      <c r="M89" s="1325"/>
      <c r="N89" s="365"/>
      <c r="O89" s="219"/>
      <c r="U89" s="1323"/>
      <c r="V89" s="1323"/>
    </row>
    <row r="90" spans="2:22" ht="24" customHeight="1" x14ac:dyDescent="0.2">
      <c r="B90" s="1353" t="s">
        <v>1711</v>
      </c>
      <c r="C90" s="1770">
        <f>COUNTIF('16'!$B$84:$B$170,"Equipe de France - Rugby Homme")</f>
        <v>6</v>
      </c>
      <c r="D90" s="1354">
        <f>C142</f>
        <v>5000000</v>
      </c>
      <c r="E90" s="1354">
        <f>C90*D90</f>
        <v>30000000</v>
      </c>
      <c r="F90" s="1356" t="s">
        <v>1732</v>
      </c>
      <c r="G90"/>
      <c r="J90" s="2337"/>
      <c r="M90" s="1325"/>
      <c r="N90" s="365"/>
      <c r="O90" s="219"/>
      <c r="U90" s="1323"/>
      <c r="V90" s="1323"/>
    </row>
    <row r="91" spans="2:22" ht="24" customHeight="1" x14ac:dyDescent="0.2">
      <c r="B91" s="1353" t="s">
        <v>1712</v>
      </c>
      <c r="C91" s="1770">
        <f>COUNTIF('16'!$B$84:$B$170,"Equipe de France - Rugby Femme")</f>
        <v>2</v>
      </c>
      <c r="D91" s="1354">
        <f>C147</f>
        <v>2000000</v>
      </c>
      <c r="E91" s="1354">
        <f t="shared" ref="E91:E96" si="2">C91*D91</f>
        <v>4000000</v>
      </c>
      <c r="F91" s="1356" t="s">
        <v>1733</v>
      </c>
      <c r="G91"/>
      <c r="M91" s="1325"/>
      <c r="N91" s="365"/>
      <c r="O91" s="219"/>
      <c r="U91" s="1323"/>
      <c r="V91" s="1323"/>
    </row>
    <row r="92" spans="2:22" ht="24" customHeight="1" x14ac:dyDescent="0.2">
      <c r="B92" s="1353" t="s">
        <v>1449</v>
      </c>
      <c r="C92" s="1770">
        <f>COUNTIF('16'!$B$84:$B$170,"Champion's League")</f>
        <v>8</v>
      </c>
      <c r="D92" s="1354">
        <f>C158</f>
        <v>1700000</v>
      </c>
      <c r="E92" s="1354">
        <f>C92*D92</f>
        <v>13600000</v>
      </c>
      <c r="F92" s="1356" t="s">
        <v>1734</v>
      </c>
      <c r="G92"/>
      <c r="J92" s="2339"/>
      <c r="M92" s="1325"/>
      <c r="N92" s="365"/>
      <c r="O92" s="219"/>
      <c r="U92" s="1323"/>
      <c r="V92" s="1323"/>
    </row>
    <row r="93" spans="2:22" ht="24" customHeight="1" x14ac:dyDescent="0.2">
      <c r="B93" s="1364" t="s">
        <v>1450</v>
      </c>
      <c r="C93" s="1770">
        <f>COUNTIF('16'!$B$84:$B$170,"Women Champion's League")</f>
        <v>9</v>
      </c>
      <c r="D93" s="1355">
        <f>C163</f>
        <v>500000</v>
      </c>
      <c r="E93" s="1354">
        <f>C93*D93</f>
        <v>4500000</v>
      </c>
      <c r="F93" s="1356" t="s">
        <v>1735</v>
      </c>
      <c r="M93" s="1325"/>
      <c r="N93" s="365"/>
      <c r="O93" s="219"/>
      <c r="U93" s="1323"/>
      <c r="V93" s="1323"/>
    </row>
    <row r="94" spans="2:22" ht="24" customHeight="1" x14ac:dyDescent="0.2">
      <c r="B94" s="1364" t="s">
        <v>1451</v>
      </c>
      <c r="C94" s="1770">
        <f>COUNTIF('16'!$B$84:$B$170,"Ligue Europa")</f>
        <v>12</v>
      </c>
      <c r="D94" s="1355">
        <f>C173</f>
        <v>1300000</v>
      </c>
      <c r="E94" s="1354">
        <f t="shared" si="2"/>
        <v>15600000</v>
      </c>
      <c r="F94" s="1356" t="s">
        <v>1736</v>
      </c>
      <c r="M94" s="1325"/>
      <c r="N94" s="365"/>
      <c r="O94" s="219"/>
      <c r="U94" s="1323"/>
      <c r="V94" s="1323"/>
    </row>
    <row r="95" spans="2:22" ht="24" customHeight="1" x14ac:dyDescent="0.2">
      <c r="B95" s="1365" t="s">
        <v>1452</v>
      </c>
      <c r="C95" s="1770">
        <f>COUNTIF('16'!$B$84:$B$170,"Ligue Europa Conférence")</f>
        <v>5</v>
      </c>
      <c r="D95" s="1366">
        <f>D94</f>
        <v>1300000</v>
      </c>
      <c r="E95" s="1354">
        <f t="shared" si="2"/>
        <v>6500000</v>
      </c>
      <c r="F95" s="1356" t="s">
        <v>1736</v>
      </c>
      <c r="I95" s="2338"/>
      <c r="J95" s="2338"/>
      <c r="K95" s="1325"/>
      <c r="L95" s="1325"/>
      <c r="M95" s="1325"/>
      <c r="N95" s="365"/>
      <c r="O95" s="219"/>
      <c r="U95" s="1323"/>
      <c r="V95" s="1323"/>
    </row>
    <row r="96" spans="2:22" ht="24" customHeight="1" x14ac:dyDescent="0.2">
      <c r="B96" s="1365" t="s">
        <v>1698</v>
      </c>
      <c r="C96" s="1770">
        <f>COUNTIF('16'!$B$84:$B$170,"Champions Cup")</f>
        <v>21</v>
      </c>
      <c r="D96" s="1366">
        <f>C178</f>
        <v>1000000</v>
      </c>
      <c r="E96" s="1354">
        <f t="shared" si="2"/>
        <v>21000000</v>
      </c>
      <c r="F96" s="1356" t="s">
        <v>1737</v>
      </c>
      <c r="G96" s="1325"/>
      <c r="H96" s="1325"/>
      <c r="I96" s="1325"/>
      <c r="J96" s="1325"/>
      <c r="K96" s="1325"/>
      <c r="L96" s="1325"/>
      <c r="M96" s="1325"/>
      <c r="N96" s="365"/>
      <c r="O96" s="1323"/>
      <c r="P96" s="1323"/>
      <c r="Q96" s="1323"/>
      <c r="R96" s="1323"/>
      <c r="S96" s="1323"/>
      <c r="T96" s="1323"/>
      <c r="U96" s="1323"/>
      <c r="V96" s="1323"/>
    </row>
    <row r="97" spans="2:22" ht="24" customHeight="1" x14ac:dyDescent="0.2">
      <c r="B97" s="1365" t="s">
        <v>1454</v>
      </c>
      <c r="C97" s="1770">
        <f>COUNTIF('16'!$B$84:$B$170,"Challenge Cup")</f>
        <v>14</v>
      </c>
      <c r="D97" s="1366">
        <f>C183</f>
        <v>500000</v>
      </c>
      <c r="E97" s="1354">
        <f>C97*D97</f>
        <v>7000000</v>
      </c>
      <c r="F97" s="1356" t="s">
        <v>1738</v>
      </c>
      <c r="G97" s="1325"/>
      <c r="K97" s="1325"/>
      <c r="L97" s="1325"/>
      <c r="M97" s="1325"/>
      <c r="N97" s="365"/>
      <c r="O97" s="1325"/>
      <c r="P97" s="1325"/>
      <c r="Q97" s="1325"/>
      <c r="R97" s="1325"/>
      <c r="S97" s="365"/>
      <c r="T97" s="1323"/>
      <c r="U97" s="1323"/>
      <c r="V97" s="1323"/>
    </row>
    <row r="98" spans="2:22" ht="24" customHeight="1" x14ac:dyDescent="0.2">
      <c r="B98" s="11"/>
      <c r="C98" s="1360"/>
      <c r="D98" s="1362" t="s">
        <v>13</v>
      </c>
      <c r="E98" s="1363">
        <f>SUM(E88:E97)</f>
        <v>133400000</v>
      </c>
      <c r="K98" s="1325"/>
      <c r="L98" s="1325"/>
      <c r="M98" s="1325"/>
      <c r="N98" s="365"/>
      <c r="O98" s="1325"/>
      <c r="P98" s="1325"/>
      <c r="Q98" s="1325"/>
      <c r="R98" s="1325"/>
      <c r="S98" s="365"/>
      <c r="T98" s="1323"/>
      <c r="U98" s="1323"/>
      <c r="V98" s="1323"/>
    </row>
    <row r="99" spans="2:22" ht="24" customHeight="1" x14ac:dyDescent="0.2">
      <c r="B99" s="11"/>
      <c r="C99" s="1360"/>
      <c r="D99" s="2328" t="s">
        <v>2420</v>
      </c>
      <c r="E99" s="2329">
        <f>E98*D67/1000/SUM(C88:C96)</f>
        <v>43.036469462840316</v>
      </c>
      <c r="I99" s="2327"/>
      <c r="K99" s="1325"/>
      <c r="L99" s="1325"/>
      <c r="M99" s="1325"/>
      <c r="N99" s="365"/>
      <c r="O99" s="1325"/>
      <c r="P99" s="1325"/>
      <c r="Q99" s="1325"/>
      <c r="R99" s="1325"/>
      <c r="S99" s="365"/>
      <c r="T99" s="1323"/>
      <c r="U99" s="1323"/>
      <c r="V99" s="1323"/>
    </row>
    <row r="100" spans="2:22" ht="24" customHeight="1" x14ac:dyDescent="0.2">
      <c r="B100" s="11"/>
      <c r="C100" s="1360"/>
      <c r="D100" s="464"/>
      <c r="E100" s="1367"/>
      <c r="G100" s="1325"/>
      <c r="K100"/>
      <c r="L100"/>
      <c r="M100" s="1325"/>
      <c r="N100" s="365"/>
      <c r="O100" s="1331"/>
      <c r="P100" s="1323"/>
      <c r="Q100" s="1323"/>
      <c r="R100" s="1323"/>
      <c r="S100" s="1323"/>
      <c r="T100" s="1323"/>
      <c r="U100" s="1323"/>
      <c r="V100" s="1323"/>
    </row>
    <row r="101" spans="2:22" ht="24" customHeight="1" x14ac:dyDescent="0.2">
      <c r="B101" s="11"/>
      <c r="C101" s="1360"/>
      <c r="D101" s="464"/>
      <c r="E101" s="1367"/>
      <c r="G101" s="1325"/>
      <c r="K101" s="1325"/>
      <c r="L101" s="365"/>
      <c r="O101" s="1331"/>
      <c r="P101" s="1323"/>
      <c r="Q101" s="1323"/>
      <c r="R101" s="1323"/>
      <c r="S101" s="1323"/>
      <c r="T101" s="1323"/>
      <c r="U101" s="1323"/>
      <c r="V101" s="1323"/>
    </row>
    <row r="102" spans="2:22" ht="24" customHeight="1" x14ac:dyDescent="0.2">
      <c r="B102" s="325" t="s">
        <v>1740</v>
      </c>
      <c r="C102" s="1360"/>
      <c r="D102" s="464"/>
      <c r="E102" s="1367"/>
      <c r="G102" s="1325"/>
      <c r="K102" s="1325"/>
      <c r="L102" s="365"/>
      <c r="O102" s="1331"/>
      <c r="P102" s="1323"/>
      <c r="Q102" s="1323"/>
      <c r="R102" s="1323"/>
      <c r="S102" s="1323"/>
      <c r="T102" s="1323"/>
      <c r="U102" s="1323"/>
      <c r="V102" s="1323"/>
    </row>
    <row r="103" spans="2:22" ht="24" customHeight="1" thickBot="1" x14ac:dyDescent="0.25">
      <c r="B103" s="11"/>
      <c r="C103" s="1360"/>
      <c r="D103" s="464"/>
      <c r="E103" s="1367"/>
      <c r="G103" s="1325"/>
      <c r="H103"/>
      <c r="I103"/>
      <c r="J103"/>
      <c r="K103"/>
      <c r="L103"/>
      <c r="M103"/>
      <c r="N103"/>
      <c r="O103"/>
      <c r="P103"/>
      <c r="Q103"/>
      <c r="R103"/>
      <c r="S103" s="1323"/>
      <c r="T103" s="1323"/>
      <c r="U103" s="1323"/>
      <c r="V103" s="1323"/>
    </row>
    <row r="104" spans="2:22" ht="42" customHeight="1" thickBot="1" x14ac:dyDescent="0.25">
      <c r="C104" s="2102" t="s">
        <v>124</v>
      </c>
      <c r="D104" s="2103" t="s">
        <v>36</v>
      </c>
      <c r="E104" s="1367"/>
      <c r="G104" s="1325"/>
      <c r="H104"/>
      <c r="I104"/>
      <c r="J104"/>
      <c r="K104"/>
      <c r="L104"/>
      <c r="M104"/>
      <c r="N104"/>
      <c r="O104"/>
      <c r="P104"/>
      <c r="Q104"/>
      <c r="R104"/>
      <c r="S104" s="1323"/>
      <c r="T104" s="1323"/>
      <c r="U104" s="1323"/>
      <c r="V104" s="1323"/>
    </row>
    <row r="105" spans="2:22" ht="42" customHeight="1" thickBot="1" x14ac:dyDescent="0.25">
      <c r="B105" s="2104" t="s">
        <v>1955</v>
      </c>
      <c r="C105" s="2105" t="s">
        <v>2188</v>
      </c>
      <c r="D105" s="1066">
        <f>E82+E98</f>
        <v>445950000</v>
      </c>
      <c r="E105"/>
      <c r="F105"/>
      <c r="G105" s="1325"/>
      <c r="H105"/>
      <c r="I105"/>
      <c r="J105"/>
      <c r="K105"/>
      <c r="L105"/>
      <c r="M105"/>
      <c r="N105"/>
      <c r="O105"/>
      <c r="P105"/>
      <c r="Q105"/>
      <c r="R105"/>
      <c r="S105" s="1323"/>
      <c r="T105" s="1323"/>
      <c r="U105" s="1323"/>
      <c r="V105" s="1323"/>
    </row>
    <row r="106" spans="2:22" ht="42" customHeight="1" thickBot="1" x14ac:dyDescent="0.25">
      <c r="B106" s="2104" t="s">
        <v>60</v>
      </c>
      <c r="C106" s="2264" t="s">
        <v>2300</v>
      </c>
      <c r="D106" s="2265">
        <f>D67</f>
        <v>2.3228079470198674E-2</v>
      </c>
      <c r="E106"/>
      <c r="F106"/>
      <c r="G106" s="1325"/>
      <c r="H106"/>
      <c r="I106"/>
      <c r="J106"/>
      <c r="K106"/>
      <c r="L106"/>
      <c r="M106"/>
      <c r="N106"/>
      <c r="O106"/>
      <c r="P106"/>
      <c r="Q106"/>
      <c r="R106"/>
      <c r="S106" s="1323"/>
      <c r="T106" s="1323"/>
      <c r="U106" s="1323"/>
      <c r="V106" s="1323"/>
    </row>
    <row r="107" spans="2:22" ht="42" customHeight="1" thickBot="1" x14ac:dyDescent="0.25">
      <c r="B107" s="2261" t="s">
        <v>149</v>
      </c>
      <c r="C107" s="2262" t="s">
        <v>485</v>
      </c>
      <c r="D107" s="2263">
        <f>D105*D106/1000</f>
        <v>10358.562039735099</v>
      </c>
      <c r="E107" s="55"/>
      <c r="F107" s="55"/>
      <c r="H107"/>
      <c r="I107"/>
      <c r="J107"/>
      <c r="K107"/>
      <c r="L107"/>
      <c r="M107"/>
      <c r="N107"/>
      <c r="O107"/>
      <c r="P107"/>
      <c r="Q107"/>
      <c r="R107"/>
      <c r="S107" s="1323"/>
      <c r="T107" s="1323"/>
      <c r="U107" s="1323"/>
      <c r="V107" s="1323"/>
    </row>
    <row r="108" spans="2:22" ht="26" customHeight="1" x14ac:dyDescent="0.2">
      <c r="H108"/>
      <c r="I108"/>
      <c r="J108"/>
      <c r="K108"/>
      <c r="L108"/>
      <c r="M108"/>
      <c r="N108"/>
      <c r="O108"/>
      <c r="P108"/>
      <c r="Q108"/>
      <c r="R108"/>
      <c r="S108" s="1323"/>
      <c r="T108" s="1323"/>
      <c r="U108" s="1323"/>
      <c r="V108" s="1323"/>
    </row>
    <row r="109" spans="2:22" ht="26" customHeight="1" x14ac:dyDescent="0.2">
      <c r="H109"/>
      <c r="I109"/>
      <c r="J109"/>
      <c r="K109"/>
      <c r="L109"/>
      <c r="M109"/>
      <c r="N109"/>
      <c r="O109"/>
      <c r="P109"/>
      <c r="Q109"/>
      <c r="R109"/>
      <c r="T109" s="1323"/>
      <c r="U109" s="1323"/>
      <c r="V109" s="1323"/>
    </row>
    <row r="110" spans="2:22" ht="26" customHeight="1" x14ac:dyDescent="0.2">
      <c r="B110" s="433" t="s">
        <v>1352</v>
      </c>
      <c r="C110" s="1360"/>
      <c r="D110" s="464"/>
      <c r="E110" s="1367"/>
      <c r="H110"/>
      <c r="I110"/>
      <c r="J110"/>
      <c r="K110"/>
      <c r="L110"/>
      <c r="M110"/>
      <c r="N110"/>
      <c r="O110"/>
      <c r="P110"/>
      <c r="Q110"/>
      <c r="R110"/>
      <c r="T110" s="1323"/>
      <c r="U110" s="1323"/>
      <c r="V110" s="1323"/>
    </row>
    <row r="111" spans="2:22" ht="26" customHeight="1" outlineLevel="1" x14ac:dyDescent="0.2">
      <c r="B111" s="433"/>
      <c r="C111" s="1360"/>
      <c r="D111" s="464"/>
      <c r="E111" s="1367"/>
      <c r="H111"/>
      <c r="I111"/>
      <c r="J111"/>
      <c r="K111"/>
      <c r="L111"/>
      <c r="M111"/>
      <c r="N111"/>
      <c r="O111"/>
      <c r="P111"/>
      <c r="Q111"/>
      <c r="R111"/>
      <c r="T111" s="1323"/>
      <c r="U111" s="1323"/>
      <c r="V111" s="1323"/>
    </row>
    <row r="112" spans="2:22" ht="26" customHeight="1" outlineLevel="1" x14ac:dyDescent="0.2">
      <c r="B112" s="1779" t="s">
        <v>2298</v>
      </c>
      <c r="C112" s="1360"/>
      <c r="D112" s="464"/>
      <c r="E112" s="1367"/>
      <c r="K112" s="1325"/>
      <c r="L112" s="1325"/>
      <c r="M112" s="1325"/>
      <c r="N112" s="365"/>
      <c r="O112" s="219"/>
      <c r="T112" s="1323"/>
      <c r="U112" s="1323"/>
      <c r="V112" s="1323"/>
    </row>
    <row r="113" spans="1:22" ht="26" hidden="1" customHeight="1" outlineLevel="2" x14ac:dyDescent="0.2">
      <c r="B113" s="1771"/>
      <c r="C113" s="1772"/>
      <c r="D113" s="464"/>
      <c r="E113" s="1367"/>
      <c r="K113" s="1325"/>
      <c r="L113" s="1325"/>
      <c r="M113" s="1325"/>
      <c r="N113" s="365"/>
      <c r="O113" s="219"/>
      <c r="T113" s="1323"/>
      <c r="U113" s="1323"/>
      <c r="V113" s="1323"/>
    </row>
    <row r="114" spans="1:22" customFormat="1" ht="26" hidden="1" customHeight="1" outlineLevel="2" x14ac:dyDescent="0.2">
      <c r="B114" s="232" t="s">
        <v>1357</v>
      </c>
      <c r="O114" s="1317"/>
      <c r="P114" s="219"/>
      <c r="Q114" s="219"/>
      <c r="R114" s="219"/>
      <c r="S114" s="219"/>
    </row>
    <row r="115" spans="1:22" customFormat="1" ht="26" hidden="1" customHeight="1" outlineLevel="2" x14ac:dyDescent="0.2">
      <c r="B115" s="3091" t="s">
        <v>2173</v>
      </c>
      <c r="C115" s="3092"/>
      <c r="D115" s="3092"/>
      <c r="E115" s="3092"/>
      <c r="F115" s="3092"/>
      <c r="G115" s="3092"/>
      <c r="H115" s="3092"/>
      <c r="I115" s="3092"/>
      <c r="O115" s="1317"/>
      <c r="P115" s="219"/>
      <c r="Q115" s="219"/>
      <c r="R115" s="219"/>
      <c r="S115" s="219"/>
    </row>
    <row r="116" spans="1:22" customFormat="1" ht="34" hidden="1" customHeight="1" outlineLevel="2" x14ac:dyDescent="0.2">
      <c r="B116" s="3092"/>
      <c r="C116" s="3092"/>
      <c r="D116" s="3092"/>
      <c r="E116" s="3092"/>
      <c r="F116" s="3092"/>
      <c r="G116" s="3092"/>
      <c r="H116" s="3092"/>
      <c r="I116" s="3092"/>
      <c r="O116" s="1317"/>
      <c r="P116" s="219"/>
      <c r="Q116" s="219"/>
      <c r="R116" s="219"/>
      <c r="S116" s="219"/>
    </row>
    <row r="117" spans="1:22" ht="26" hidden="1" customHeight="1" outlineLevel="2" x14ac:dyDescent="0.2">
      <c r="B117" s="52"/>
      <c r="C117" s="2"/>
      <c r="D117" s="2"/>
      <c r="E117" s="2"/>
      <c r="G117" s="75"/>
      <c r="N117" s="1323"/>
      <c r="O117" s="219"/>
      <c r="T117" s="1323"/>
      <c r="U117" s="1323"/>
      <c r="V117" s="1323"/>
    </row>
    <row r="118" spans="1:22" ht="26" hidden="1" customHeight="1" outlineLevel="2" x14ac:dyDescent="0.2">
      <c r="B118" s="75" t="s">
        <v>1720</v>
      </c>
      <c r="C118" s="2"/>
      <c r="D118" s="2"/>
      <c r="E118" s="2"/>
      <c r="N118" s="1323"/>
      <c r="O118" s="219"/>
      <c r="T118" s="1323"/>
      <c r="U118" s="1323"/>
      <c r="V118" s="1323"/>
    </row>
    <row r="119" spans="1:22" ht="26" hidden="1" customHeight="1" outlineLevel="2" x14ac:dyDescent="0.2">
      <c r="B119" s="75"/>
      <c r="C119" s="2"/>
      <c r="D119" s="2"/>
      <c r="E119" s="2"/>
      <c r="N119" s="1323"/>
      <c r="O119" s="219"/>
      <c r="T119" s="1323"/>
      <c r="U119" s="1323"/>
      <c r="V119" s="1323"/>
    </row>
    <row r="120" spans="1:22" ht="26" hidden="1" customHeight="1" outlineLevel="2" x14ac:dyDescent="0.2">
      <c r="B120" s="60" t="s">
        <v>1656</v>
      </c>
      <c r="C120" s="60" t="s">
        <v>1657</v>
      </c>
      <c r="D120" s="74" t="s">
        <v>125</v>
      </c>
      <c r="E120" s="74" t="s">
        <v>645</v>
      </c>
      <c r="N120" s="1323"/>
      <c r="O120" s="219"/>
      <c r="T120" s="1323"/>
      <c r="U120" s="1323"/>
      <c r="V120" s="1323"/>
    </row>
    <row r="121" spans="1:22" ht="26" hidden="1" customHeight="1" outlineLevel="2" x14ac:dyDescent="0.2">
      <c r="A121"/>
      <c r="B121" s="81" t="s">
        <v>1658</v>
      </c>
      <c r="C121" s="91">
        <v>5881000</v>
      </c>
      <c r="D121" s="1338" t="s">
        <v>1659</v>
      </c>
      <c r="E121" s="6"/>
      <c r="F121"/>
      <c r="N121" s="1323"/>
      <c r="O121" s="219"/>
      <c r="T121" s="1323"/>
      <c r="U121" s="1323"/>
      <c r="V121" s="1323"/>
    </row>
    <row r="122" spans="1:22" ht="26" hidden="1" customHeight="1" outlineLevel="2" x14ac:dyDescent="0.2">
      <c r="B122" s="81" t="s">
        <v>1660</v>
      </c>
      <c r="C122" s="91">
        <v>5780000</v>
      </c>
      <c r="D122" s="1338" t="s">
        <v>1661</v>
      </c>
      <c r="E122" s="6"/>
      <c r="G122" s="1325"/>
      <c r="H122" s="1325"/>
      <c r="N122" s="1323"/>
      <c r="O122" s="219"/>
      <c r="T122" s="1323"/>
      <c r="U122" s="1323"/>
      <c r="V122" s="1323"/>
    </row>
    <row r="123" spans="1:22" ht="26" hidden="1" customHeight="1" outlineLevel="2" x14ac:dyDescent="0.2">
      <c r="B123" s="81" t="s">
        <v>1662</v>
      </c>
      <c r="C123" s="91">
        <v>6870000</v>
      </c>
      <c r="D123" s="1338" t="s">
        <v>1661</v>
      </c>
      <c r="E123" s="6"/>
      <c r="G123" s="1325"/>
      <c r="H123" s="1325"/>
      <c r="N123" s="1323"/>
      <c r="O123" s="1331"/>
      <c r="P123" s="1323"/>
      <c r="Q123" s="1323"/>
      <c r="R123" s="1323"/>
      <c r="S123" s="1323"/>
      <c r="T123" s="1323"/>
      <c r="U123" s="1323"/>
      <c r="V123" s="1323"/>
    </row>
    <row r="124" spans="1:22" ht="26" hidden="1" customHeight="1" outlineLevel="2" x14ac:dyDescent="0.2">
      <c r="B124" s="9" t="s">
        <v>90</v>
      </c>
      <c r="C124" s="10">
        <f>ROUND(AVERAGE(C121:C123),-5)</f>
        <v>6200000</v>
      </c>
      <c r="D124" s="1339"/>
      <c r="E124" s="5"/>
      <c r="G124" s="1325"/>
      <c r="H124" s="1325"/>
      <c r="N124" s="1323"/>
      <c r="O124" s="1331"/>
      <c r="P124" s="1323"/>
      <c r="Q124" s="1323"/>
      <c r="R124" s="1323"/>
      <c r="S124" s="1323"/>
      <c r="T124" s="1323"/>
      <c r="U124" s="1323"/>
      <c r="V124" s="1323"/>
    </row>
    <row r="125" spans="1:22" ht="26" hidden="1" customHeight="1" outlineLevel="2" x14ac:dyDescent="0.2">
      <c r="B125" s="11"/>
      <c r="C125" s="1360"/>
      <c r="D125" s="1361"/>
      <c r="E125" s="2"/>
      <c r="G125" s="1325"/>
      <c r="H125" s="1325"/>
      <c r="N125" s="1323"/>
      <c r="O125" s="1331"/>
      <c r="P125" s="1323"/>
      <c r="Q125" s="1323"/>
      <c r="R125" s="1323"/>
      <c r="S125" s="1323"/>
      <c r="T125" s="1323"/>
      <c r="U125" s="1323"/>
      <c r="V125" s="1323"/>
    </row>
    <row r="126" spans="1:22" ht="26" hidden="1" customHeight="1" outlineLevel="2" x14ac:dyDescent="0.2">
      <c r="B126" s="75" t="s">
        <v>1721</v>
      </c>
      <c r="C126" s="1360"/>
      <c r="D126" s="1361"/>
      <c r="E126" s="2"/>
      <c r="G126" s="1325"/>
      <c r="H126" s="1325"/>
      <c r="N126" s="1323"/>
      <c r="O126" s="1331"/>
      <c r="P126" s="1323"/>
      <c r="Q126" s="1323"/>
      <c r="R126" s="1323"/>
      <c r="S126" s="1323"/>
      <c r="T126" s="1323"/>
      <c r="U126" s="1323"/>
      <c r="V126" s="1323"/>
    </row>
    <row r="127" spans="1:22" ht="26" hidden="1" customHeight="1" outlineLevel="2" x14ac:dyDescent="0.2">
      <c r="B127"/>
      <c r="C127"/>
      <c r="D127"/>
      <c r="E127"/>
      <c r="F127"/>
      <c r="G127" s="1325"/>
      <c r="H127" s="1325"/>
      <c r="N127" s="1323"/>
      <c r="O127" s="1331"/>
      <c r="P127" s="1323"/>
      <c r="Q127" s="1323"/>
      <c r="R127" s="1323"/>
      <c r="S127" s="1323"/>
      <c r="T127" s="1323"/>
      <c r="U127" s="1323"/>
      <c r="V127" s="1323"/>
    </row>
    <row r="128" spans="1:22" ht="26" hidden="1" customHeight="1" outlineLevel="2" x14ac:dyDescent="0.2">
      <c r="B128" s="1335" t="s">
        <v>1710</v>
      </c>
      <c r="C128" s="1336"/>
      <c r="D128" s="1336"/>
      <c r="E128" s="1337"/>
      <c r="G128" s="1325"/>
      <c r="H128" s="1325"/>
      <c r="N128" s="1323"/>
      <c r="O128" s="1331"/>
      <c r="P128" s="1323"/>
      <c r="Q128" s="1323"/>
      <c r="R128" s="1323"/>
      <c r="S128" s="1323"/>
      <c r="T128" s="1323"/>
      <c r="U128" s="1323"/>
      <c r="V128" s="1323"/>
    </row>
    <row r="129" spans="2:22" ht="26" hidden="1" customHeight="1" outlineLevel="2" x14ac:dyDescent="0.2">
      <c r="B129" s="60" t="s">
        <v>1656</v>
      </c>
      <c r="C129" s="60" t="s">
        <v>1657</v>
      </c>
      <c r="D129" s="60" t="s">
        <v>125</v>
      </c>
      <c r="E129" s="74" t="s">
        <v>645</v>
      </c>
      <c r="G129" s="1325"/>
      <c r="H129" s="1325"/>
      <c r="N129" s="1323"/>
      <c r="O129" s="1331"/>
      <c r="P129" s="1323"/>
      <c r="Q129" s="1323"/>
      <c r="R129" s="1323"/>
      <c r="S129" s="1323"/>
      <c r="T129" s="1323"/>
      <c r="U129" s="1323"/>
      <c r="V129" s="1323"/>
    </row>
    <row r="130" spans="2:22" ht="26" hidden="1" customHeight="1" outlineLevel="2" x14ac:dyDescent="0.2">
      <c r="B130" s="81" t="s">
        <v>1663</v>
      </c>
      <c r="C130" s="91">
        <f>ROUND(C124/3,-5)</f>
        <v>2100000</v>
      </c>
      <c r="D130" s="1340" t="s">
        <v>1664</v>
      </c>
      <c r="E130" s="5"/>
      <c r="G130" s="1325"/>
      <c r="H130" s="1325"/>
      <c r="N130" s="1323"/>
      <c r="O130" s="1331"/>
      <c r="P130" s="1323"/>
      <c r="Q130" s="1323"/>
      <c r="R130" s="1323"/>
      <c r="S130" s="1323"/>
      <c r="T130" s="1323"/>
      <c r="U130" s="1323"/>
      <c r="V130" s="1323"/>
    </row>
    <row r="131" spans="2:22" ht="26" hidden="1" customHeight="1" outlineLevel="2" x14ac:dyDescent="0.2">
      <c r="B131" s="2"/>
      <c r="C131" s="2"/>
      <c r="D131" s="2"/>
      <c r="E131" s="2"/>
      <c r="G131" s="1325"/>
      <c r="H131" s="1325"/>
      <c r="N131" s="1323"/>
      <c r="O131" s="1331"/>
      <c r="P131" s="1323"/>
      <c r="Q131" s="1323"/>
      <c r="R131" s="1323"/>
      <c r="S131" s="1323"/>
      <c r="T131" s="1323"/>
      <c r="U131" s="1323"/>
      <c r="V131" s="1323"/>
    </row>
    <row r="132" spans="2:22" ht="26" hidden="1" customHeight="1" outlineLevel="2" x14ac:dyDescent="0.2">
      <c r="B132" s="75" t="s">
        <v>1722</v>
      </c>
      <c r="C132" s="2"/>
      <c r="D132" s="374"/>
      <c r="E132" s="2"/>
      <c r="G132" s="1325"/>
      <c r="H132" s="1325"/>
      <c r="N132" s="1323"/>
      <c r="O132" s="1331"/>
      <c r="P132" s="1323"/>
      <c r="Q132" s="1323"/>
      <c r="R132" s="1323"/>
      <c r="S132" s="1323"/>
      <c r="T132" s="1323"/>
      <c r="U132" s="1323"/>
      <c r="V132" s="1323"/>
    </row>
    <row r="133" spans="2:22" ht="26" hidden="1" customHeight="1" outlineLevel="2" x14ac:dyDescent="0.2">
      <c r="B133" s="232"/>
      <c r="C133" s="2"/>
      <c r="D133" s="374"/>
      <c r="E133" s="2"/>
      <c r="G133" s="1325"/>
      <c r="H133" s="1325"/>
      <c r="N133" s="1323"/>
      <c r="O133" s="1322"/>
      <c r="P133" s="1323"/>
      <c r="Q133" s="1323"/>
      <c r="R133" s="1323"/>
      <c r="S133" s="1323"/>
      <c r="T133" s="1323"/>
      <c r="U133" s="1323"/>
      <c r="V133" s="1323"/>
    </row>
    <row r="134" spans="2:22" ht="26" hidden="1" customHeight="1" outlineLevel="2" x14ac:dyDescent="0.2">
      <c r="B134" s="1335" t="s">
        <v>1655</v>
      </c>
      <c r="C134" s="1336"/>
      <c r="D134" s="1336"/>
      <c r="E134" s="1337"/>
      <c r="G134" s="1325"/>
      <c r="H134" s="1325"/>
      <c r="N134" s="1323"/>
      <c r="O134" s="1331"/>
      <c r="P134" s="1323"/>
      <c r="Q134" s="1323"/>
      <c r="R134" s="1323"/>
      <c r="S134" s="1323"/>
      <c r="T134" s="1323"/>
      <c r="U134" s="1323"/>
      <c r="V134" s="1323"/>
    </row>
    <row r="135" spans="2:22" ht="26" hidden="1" customHeight="1" outlineLevel="2" x14ac:dyDescent="0.2">
      <c r="B135" s="681" t="s">
        <v>1656</v>
      </c>
      <c r="C135" s="60" t="s">
        <v>1657</v>
      </c>
      <c r="D135" s="685" t="s">
        <v>125</v>
      </c>
      <c r="E135" s="74" t="s">
        <v>645</v>
      </c>
      <c r="G135" s="1325"/>
      <c r="H135" s="1325"/>
      <c r="N135" s="1323"/>
      <c r="P135" s="1323"/>
      <c r="Q135" s="1323"/>
      <c r="R135" s="1323"/>
      <c r="S135" s="1323"/>
      <c r="T135" s="1323"/>
      <c r="U135" s="1323"/>
      <c r="V135" s="1323"/>
    </row>
    <row r="136" spans="2:22" ht="26" hidden="1" customHeight="1" outlineLevel="2" x14ac:dyDescent="0.2">
      <c r="B136" s="81" t="s">
        <v>1665</v>
      </c>
      <c r="C136" s="91">
        <v>5100000</v>
      </c>
      <c r="D136" s="1338" t="s">
        <v>1666</v>
      </c>
      <c r="E136" s="47"/>
      <c r="G136" s="1325"/>
      <c r="H136" s="1325"/>
      <c r="N136" s="1323"/>
      <c r="O136" s="1331"/>
      <c r="P136" s="1323"/>
      <c r="Q136" s="1323"/>
      <c r="R136" s="1323"/>
      <c r="S136" s="1323"/>
      <c r="T136" s="1323"/>
      <c r="U136" s="1323"/>
      <c r="V136" s="1323"/>
    </row>
    <row r="137" spans="2:22" ht="26" hidden="1" customHeight="1" outlineLevel="2" x14ac:dyDescent="0.2">
      <c r="B137" s="81" t="s">
        <v>1667</v>
      </c>
      <c r="C137" s="91">
        <v>5500000</v>
      </c>
      <c r="D137" s="1338" t="s">
        <v>1666</v>
      </c>
      <c r="E137" s="47"/>
      <c r="G137" s="1325"/>
      <c r="H137" s="1325"/>
      <c r="N137" s="1323"/>
      <c r="O137" s="1331"/>
      <c r="P137" s="1323"/>
      <c r="Q137" s="1323"/>
      <c r="R137" s="1323"/>
      <c r="S137" s="1323"/>
      <c r="T137" s="1323"/>
      <c r="U137" s="1323"/>
      <c r="V137" s="1323"/>
    </row>
    <row r="138" spans="2:22" ht="26" hidden="1" customHeight="1" outlineLevel="2" x14ac:dyDescent="0.2">
      <c r="B138" s="81" t="s">
        <v>1668</v>
      </c>
      <c r="C138" s="91">
        <v>4280000</v>
      </c>
      <c r="D138" s="1338" t="s">
        <v>1669</v>
      </c>
      <c r="E138" s="47"/>
      <c r="G138" s="1325"/>
      <c r="H138" s="1325"/>
      <c r="N138" s="1323"/>
      <c r="O138" s="1331"/>
      <c r="P138" s="1323"/>
      <c r="Q138" s="1323"/>
      <c r="R138" s="1323"/>
      <c r="S138" s="1323"/>
      <c r="T138" s="1323"/>
      <c r="U138" s="1323"/>
      <c r="V138" s="1323"/>
    </row>
    <row r="139" spans="2:22" ht="26" hidden="1" customHeight="1" outlineLevel="2" x14ac:dyDescent="0.2">
      <c r="B139" s="81" t="s">
        <v>1670</v>
      </c>
      <c r="C139" s="91">
        <v>5050000</v>
      </c>
      <c r="D139" s="1338" t="s">
        <v>1671</v>
      </c>
      <c r="E139" s="392"/>
      <c r="G139" s="1325"/>
      <c r="H139" s="1325"/>
      <c r="N139" s="1323"/>
      <c r="O139" s="1331"/>
      <c r="P139" s="1323"/>
      <c r="Q139" s="1323"/>
      <c r="R139" s="1323"/>
      <c r="S139" s="1323"/>
      <c r="T139" s="1323"/>
      <c r="U139" s="1323"/>
      <c r="V139" s="1323"/>
    </row>
    <row r="140" spans="2:22" ht="26" hidden="1" customHeight="1" outlineLevel="2" x14ac:dyDescent="0.2">
      <c r="B140" s="81" t="s">
        <v>1672</v>
      </c>
      <c r="C140" s="91">
        <v>5750000</v>
      </c>
      <c r="D140" s="1338" t="s">
        <v>1673</v>
      </c>
      <c r="E140" s="392"/>
      <c r="G140" s="1325"/>
      <c r="H140" s="1325"/>
      <c r="N140" s="1323"/>
      <c r="O140" s="1331"/>
      <c r="P140" s="1323"/>
      <c r="Q140" s="1323"/>
      <c r="R140" s="1323"/>
      <c r="S140" s="1323"/>
      <c r="T140" s="1323"/>
      <c r="U140" s="1323"/>
      <c r="V140" s="1323"/>
    </row>
    <row r="141" spans="2:22" ht="26" hidden="1" customHeight="1" outlineLevel="2" x14ac:dyDescent="0.2">
      <c r="B141" s="1341" t="s">
        <v>1670</v>
      </c>
      <c r="C141" s="883">
        <v>4300000</v>
      </c>
      <c r="D141" s="1342" t="s">
        <v>1674</v>
      </c>
      <c r="E141" s="392"/>
      <c r="G141" s="1325"/>
      <c r="H141" s="1325"/>
      <c r="N141" s="1323"/>
      <c r="O141" s="1331"/>
      <c r="P141" s="1323"/>
      <c r="Q141" s="1323"/>
      <c r="R141" s="1323"/>
      <c r="S141" s="1323"/>
      <c r="T141" s="1323"/>
      <c r="U141" s="1323"/>
      <c r="V141" s="1323"/>
    </row>
    <row r="142" spans="2:22" ht="26" hidden="1" customHeight="1" outlineLevel="2" x14ac:dyDescent="0.2">
      <c r="B142" s="9" t="s">
        <v>90</v>
      </c>
      <c r="C142" s="10">
        <f>ROUND(AVERAGE(C136:C141),-5)</f>
        <v>5000000</v>
      </c>
      <c r="D142" s="1339"/>
      <c r="E142" s="392"/>
      <c r="G142" s="1325"/>
      <c r="H142" s="1325"/>
      <c r="N142" s="1323"/>
      <c r="O142" s="1331"/>
      <c r="P142" s="1323"/>
      <c r="Q142" s="1323"/>
      <c r="R142" s="1323"/>
      <c r="S142" s="1323"/>
      <c r="T142" s="1323"/>
      <c r="U142" s="1323"/>
      <c r="V142" s="1323"/>
    </row>
    <row r="143" spans="2:22" ht="26" hidden="1" customHeight="1" outlineLevel="2" x14ac:dyDescent="0.2">
      <c r="B143" s="11"/>
      <c r="C143" s="1360"/>
      <c r="D143" s="1361"/>
      <c r="E143" s="374"/>
      <c r="G143" s="1325"/>
      <c r="H143" s="1325"/>
      <c r="N143" s="1323"/>
      <c r="O143" s="1331"/>
      <c r="P143" s="1323"/>
      <c r="Q143" s="1323"/>
      <c r="R143" s="1323"/>
      <c r="S143" s="1323"/>
      <c r="T143" s="1323"/>
      <c r="U143" s="1323"/>
      <c r="V143" s="1323"/>
    </row>
    <row r="144" spans="2:22" ht="26" hidden="1" customHeight="1" outlineLevel="2" x14ac:dyDescent="0.2">
      <c r="B144" s="75" t="s">
        <v>1723</v>
      </c>
      <c r="C144" s="2"/>
      <c r="D144" s="2"/>
      <c r="E144" s="374"/>
      <c r="F144" s="1325"/>
      <c r="G144" s="1325"/>
      <c r="H144" s="1325"/>
      <c r="N144" s="1323"/>
      <c r="O144" s="1331"/>
      <c r="P144" s="1323"/>
      <c r="Q144" s="1323"/>
      <c r="R144" s="1323"/>
      <c r="S144" s="1323"/>
      <c r="T144" s="1323"/>
      <c r="U144" s="1323"/>
      <c r="V144" s="1323"/>
    </row>
    <row r="145" spans="2:22" ht="26" hidden="1" customHeight="1" outlineLevel="2" x14ac:dyDescent="0.2">
      <c r="B145"/>
      <c r="C145"/>
      <c r="D145"/>
      <c r="E145" s="48"/>
      <c r="F145" s="1325"/>
      <c r="G145" s="1325"/>
      <c r="H145" s="1325"/>
      <c r="N145" s="1323"/>
      <c r="O145" s="1331"/>
      <c r="P145" s="1323"/>
      <c r="Q145" s="1323"/>
      <c r="R145" s="1323"/>
      <c r="S145" s="1323"/>
      <c r="T145" s="1323"/>
      <c r="U145" s="1323"/>
      <c r="V145" s="1323"/>
    </row>
    <row r="146" spans="2:22" ht="26" hidden="1" customHeight="1" outlineLevel="2" x14ac:dyDescent="0.2">
      <c r="B146" s="60" t="s">
        <v>1656</v>
      </c>
      <c r="C146" s="60" t="s">
        <v>1657</v>
      </c>
      <c r="D146" s="60" t="s">
        <v>125</v>
      </c>
      <c r="E146" s="392"/>
      <c r="F146" s="1325"/>
      <c r="G146" s="1325"/>
      <c r="H146" s="1325"/>
      <c r="I146" s="1325"/>
      <c r="J146" s="1325"/>
      <c r="K146" s="1325"/>
      <c r="L146" s="1325"/>
      <c r="M146" s="1325"/>
      <c r="N146" s="365"/>
      <c r="O146" s="1331"/>
      <c r="P146" s="1323"/>
      <c r="Q146" s="1323"/>
      <c r="R146" s="1323"/>
      <c r="S146" s="1323"/>
      <c r="T146" s="1323"/>
      <c r="U146" s="1323"/>
      <c r="V146" s="1323"/>
    </row>
    <row r="147" spans="2:22" ht="26" hidden="1" customHeight="1" outlineLevel="2" x14ac:dyDescent="0.2">
      <c r="B147" s="81" t="s">
        <v>1663</v>
      </c>
      <c r="C147" s="91">
        <v>2000000</v>
      </c>
      <c r="D147" s="1343" t="s">
        <v>1675</v>
      </c>
      <c r="E147" s="392"/>
      <c r="F147" s="1325"/>
      <c r="G147" s="1325"/>
      <c r="H147" s="1325"/>
      <c r="I147" s="1325"/>
      <c r="J147" s="1325"/>
      <c r="K147" s="1325"/>
      <c r="L147" s="1325"/>
      <c r="M147" s="1325"/>
      <c r="N147" s="365"/>
      <c r="O147" s="1331"/>
      <c r="P147" s="1323"/>
      <c r="Q147" s="1323"/>
      <c r="R147" s="1323"/>
      <c r="S147" s="1323"/>
      <c r="T147" s="1323"/>
      <c r="U147" s="1323"/>
      <c r="V147" s="1323"/>
    </row>
    <row r="148" spans="2:22" ht="26" hidden="1" customHeight="1" outlineLevel="2" x14ac:dyDescent="0.2">
      <c r="B148" s="2"/>
      <c r="C148" s="2"/>
      <c r="D148" s="2"/>
      <c r="E148" s="374"/>
      <c r="F148" s="1325"/>
      <c r="G148" s="1325"/>
      <c r="H148" s="1325"/>
      <c r="I148" s="1325"/>
      <c r="J148" s="1325"/>
      <c r="K148" s="1325"/>
      <c r="L148" s="1325"/>
      <c r="M148" s="1325"/>
      <c r="N148" s="365"/>
      <c r="O148" s="1331"/>
      <c r="P148" s="1323"/>
      <c r="Q148" s="1323"/>
      <c r="R148" s="1323"/>
      <c r="S148" s="1323"/>
      <c r="T148" s="1323"/>
      <c r="U148" s="1323"/>
      <c r="V148" s="1323"/>
    </row>
    <row r="149" spans="2:22" ht="26" hidden="1" customHeight="1" outlineLevel="2" x14ac:dyDescent="0.2">
      <c r="B149" s="75" t="s">
        <v>1725</v>
      </c>
      <c r="C149" s="2"/>
      <c r="D149" s="2"/>
      <c r="E149" s="374"/>
      <c r="F149" s="1325"/>
      <c r="G149" s="1325"/>
      <c r="H149" s="1325"/>
      <c r="I149" s="1325"/>
      <c r="J149" s="1325"/>
      <c r="K149" s="1325"/>
      <c r="L149" s="1325"/>
      <c r="M149" s="1325"/>
      <c r="N149" s="365"/>
      <c r="O149" s="1331"/>
      <c r="P149" s="1323"/>
      <c r="Q149" s="1323"/>
      <c r="R149" s="1323"/>
      <c r="S149" s="1323"/>
      <c r="T149" s="1323"/>
      <c r="U149" s="1323"/>
      <c r="V149" s="1323"/>
    </row>
    <row r="150" spans="2:22" ht="26" hidden="1" customHeight="1" outlineLevel="2" x14ac:dyDescent="0.2">
      <c r="B150" s="2"/>
      <c r="C150" s="2"/>
      <c r="D150" s="2"/>
      <c r="E150" s="374"/>
      <c r="F150" s="1325"/>
      <c r="G150" s="1325"/>
      <c r="H150" s="1325"/>
      <c r="I150" s="1325"/>
      <c r="J150" s="1325"/>
      <c r="K150" s="1325"/>
      <c r="L150" s="1325"/>
      <c r="M150" s="1325"/>
      <c r="N150" s="365"/>
      <c r="O150" s="1331"/>
      <c r="P150" s="1323"/>
      <c r="Q150" s="1323"/>
      <c r="R150" s="1323"/>
      <c r="S150" s="1323"/>
      <c r="T150" s="1323"/>
      <c r="U150" s="1323"/>
      <c r="V150" s="1323"/>
    </row>
    <row r="151" spans="2:22" ht="26" hidden="1" customHeight="1" outlineLevel="2" x14ac:dyDescent="0.2">
      <c r="B151" s="1335" t="s">
        <v>1449</v>
      </c>
      <c r="C151" s="1336"/>
      <c r="D151" s="1336"/>
      <c r="E151" s="1774"/>
      <c r="F151" s="1325"/>
      <c r="G151" s="1325"/>
      <c r="H151" s="1325"/>
      <c r="I151" s="1325"/>
      <c r="J151" s="1325"/>
      <c r="K151" s="1325"/>
      <c r="L151" s="1325"/>
      <c r="M151" s="1325"/>
      <c r="N151" s="365"/>
      <c r="O151" s="1331"/>
      <c r="P151" s="1323"/>
      <c r="Q151" s="1323"/>
      <c r="R151" s="1323"/>
      <c r="S151" s="1323"/>
      <c r="T151" s="1323"/>
      <c r="U151" s="1323"/>
      <c r="V151" s="1323"/>
    </row>
    <row r="152" spans="2:22" ht="26" hidden="1" customHeight="1" outlineLevel="2" x14ac:dyDescent="0.2">
      <c r="B152" s="60" t="s">
        <v>1656</v>
      </c>
      <c r="C152" s="60" t="s">
        <v>1657</v>
      </c>
      <c r="D152" s="60" t="s">
        <v>125</v>
      </c>
      <c r="E152" s="74" t="s">
        <v>645</v>
      </c>
      <c r="F152" s="1325"/>
      <c r="G152" s="1325"/>
      <c r="H152" s="1325"/>
      <c r="I152" s="1325"/>
      <c r="J152" s="1325"/>
      <c r="K152" s="1325"/>
      <c r="L152" s="1325"/>
      <c r="M152" s="1325"/>
      <c r="N152" s="365"/>
      <c r="O152" s="1331"/>
      <c r="P152" s="1323"/>
      <c r="Q152" s="1323"/>
      <c r="R152" s="1323"/>
      <c r="S152" s="1323"/>
      <c r="T152" s="1323"/>
      <c r="U152" s="1323"/>
      <c r="V152" s="1323"/>
    </row>
    <row r="153" spans="2:22" ht="26" hidden="1" customHeight="1" outlineLevel="2" x14ac:dyDescent="0.2">
      <c r="B153" s="81" t="s">
        <v>1676</v>
      </c>
      <c r="C153" s="91">
        <v>2450000</v>
      </c>
      <c r="D153" s="1344" t="s">
        <v>1677</v>
      </c>
      <c r="E153" s="1775"/>
      <c r="F153" s="1325"/>
      <c r="G153" s="1325"/>
      <c r="H153" s="1325"/>
      <c r="I153" s="1325"/>
      <c r="J153" s="1325"/>
      <c r="K153" s="1325"/>
      <c r="L153" s="1325"/>
      <c r="M153" s="1325"/>
      <c r="N153" s="365"/>
      <c r="O153" s="1331"/>
      <c r="P153" s="1323"/>
      <c r="Q153" s="1323"/>
      <c r="R153" s="1323"/>
      <c r="S153" s="1323"/>
      <c r="T153" s="1323"/>
      <c r="U153" s="1323"/>
      <c r="V153" s="1323"/>
    </row>
    <row r="154" spans="2:22" ht="26" hidden="1" customHeight="1" outlineLevel="2" x14ac:dyDescent="0.2">
      <c r="B154" s="487" t="s">
        <v>1678</v>
      </c>
      <c r="C154" s="1346">
        <v>1400000</v>
      </c>
      <c r="D154" s="1347" t="s">
        <v>1679</v>
      </c>
      <c r="E154" s="1776"/>
      <c r="F154" s="1325"/>
      <c r="G154" s="1325"/>
      <c r="H154" s="1325"/>
      <c r="I154" s="1325"/>
      <c r="J154" s="1325"/>
      <c r="K154" s="1325"/>
      <c r="L154" s="1325"/>
      <c r="M154" s="1325"/>
      <c r="N154" s="365"/>
      <c r="O154" s="1331"/>
      <c r="P154" s="1323"/>
      <c r="Q154" s="1323"/>
      <c r="R154" s="1323"/>
      <c r="S154" s="1323"/>
      <c r="T154" s="1323"/>
      <c r="U154" s="1323"/>
      <c r="V154" s="1323"/>
    </row>
    <row r="155" spans="2:22" ht="26" hidden="1" customHeight="1" outlineLevel="2" x14ac:dyDescent="0.2">
      <c r="B155" s="81" t="s">
        <v>1680</v>
      </c>
      <c r="C155" s="91">
        <v>1700000</v>
      </c>
      <c r="D155" s="1338" t="s">
        <v>1681</v>
      </c>
      <c r="E155" s="1775"/>
      <c r="F155" s="1325"/>
      <c r="G155" s="1325"/>
      <c r="H155" s="1325"/>
      <c r="I155" s="1325"/>
      <c r="J155" s="1325"/>
      <c r="K155" s="1325"/>
      <c r="L155" s="1325"/>
      <c r="M155" s="1325"/>
      <c r="N155" s="365"/>
      <c r="O155" s="1331"/>
      <c r="P155" s="1323"/>
      <c r="Q155" s="1323"/>
      <c r="R155" s="1323"/>
      <c r="S155" s="1323"/>
      <c r="T155" s="1323"/>
      <c r="U155" s="1323"/>
      <c r="V155" s="1323"/>
    </row>
    <row r="156" spans="2:22" ht="26" hidden="1" customHeight="1" outlineLevel="2" x14ac:dyDescent="0.2">
      <c r="B156" s="81" t="s">
        <v>1682</v>
      </c>
      <c r="C156" s="91">
        <v>2090000</v>
      </c>
      <c r="D156" s="1338" t="s">
        <v>1683</v>
      </c>
      <c r="E156" s="392"/>
      <c r="F156" s="1325"/>
      <c r="G156" s="1325"/>
      <c r="H156" s="1325"/>
      <c r="I156" s="1325"/>
      <c r="J156" s="1325"/>
      <c r="K156" s="1325"/>
      <c r="L156" s="1325"/>
      <c r="M156" s="1325"/>
      <c r="N156" s="365"/>
      <c r="O156" s="1331"/>
      <c r="P156" s="1323"/>
      <c r="Q156" s="1323"/>
      <c r="R156" s="1323"/>
      <c r="S156" s="1323"/>
      <c r="T156" s="1323"/>
      <c r="U156" s="1323"/>
      <c r="V156" s="1323"/>
    </row>
    <row r="157" spans="2:22" ht="26" hidden="1" customHeight="1" outlineLevel="2" x14ac:dyDescent="0.2">
      <c r="B157" s="81" t="s">
        <v>1684</v>
      </c>
      <c r="C157" s="91">
        <v>1080000</v>
      </c>
      <c r="D157" s="1338" t="s">
        <v>1685</v>
      </c>
      <c r="E157" s="47"/>
      <c r="F157" s="1325"/>
      <c r="G157" s="1325"/>
      <c r="H157" s="1325"/>
      <c r="I157" s="1325"/>
      <c r="J157" s="1325"/>
      <c r="K157" s="1325"/>
      <c r="L157" s="1325"/>
      <c r="M157" s="1325"/>
      <c r="N157" s="365"/>
      <c r="O157" s="1331"/>
      <c r="P157" s="1323"/>
      <c r="Q157" s="1323"/>
      <c r="R157" s="1323"/>
      <c r="S157" s="1323"/>
      <c r="T157" s="1323"/>
      <c r="U157" s="1323"/>
      <c r="V157" s="1323"/>
    </row>
    <row r="158" spans="2:22" ht="26" hidden="1" customHeight="1" outlineLevel="2" x14ac:dyDescent="0.2">
      <c r="B158" s="1348" t="s">
        <v>90</v>
      </c>
      <c r="C158" s="1349">
        <f>ROUND(AVERAGE(C153:C157),-5)</f>
        <v>1700000</v>
      </c>
      <c r="D158" s="1350"/>
      <c r="E158" s="1777"/>
      <c r="F158" s="1325"/>
      <c r="G158" s="1325"/>
      <c r="H158" s="1325"/>
      <c r="I158" s="1325"/>
      <c r="J158" s="1325"/>
      <c r="K158" s="1325"/>
      <c r="L158" s="1325"/>
      <c r="M158" s="1325"/>
      <c r="N158" s="365"/>
      <c r="O158" s="1331"/>
      <c r="P158" s="1323"/>
      <c r="Q158" s="1323"/>
      <c r="R158" s="1323"/>
      <c r="S158" s="1323"/>
      <c r="T158" s="1323"/>
      <c r="U158" s="1323"/>
      <c r="V158" s="1323"/>
    </row>
    <row r="159" spans="2:22" ht="26" hidden="1" customHeight="1" outlineLevel="2" x14ac:dyDescent="0.2">
      <c r="B159" s="11"/>
      <c r="C159" s="1360"/>
      <c r="D159" s="1361"/>
      <c r="E159" s="374"/>
      <c r="F159" s="1325"/>
      <c r="G159" s="1325"/>
      <c r="H159" s="1325"/>
      <c r="I159" s="1325"/>
      <c r="J159" s="1325"/>
      <c r="K159" s="1325"/>
      <c r="L159" s="1325"/>
      <c r="M159" s="1325"/>
      <c r="N159" s="365"/>
      <c r="O159" s="1331"/>
      <c r="P159" s="1323"/>
      <c r="Q159" s="1323"/>
      <c r="R159" s="1323"/>
      <c r="S159" s="1323"/>
      <c r="T159" s="1323"/>
      <c r="U159" s="1323"/>
      <c r="V159" s="1323"/>
    </row>
    <row r="160" spans="2:22" ht="26" hidden="1" customHeight="1" outlineLevel="2" x14ac:dyDescent="0.2">
      <c r="B160" s="75" t="s">
        <v>1726</v>
      </c>
      <c r="C160" s="2"/>
      <c r="D160" s="2"/>
      <c r="E160" s="374"/>
      <c r="F160" s="1325"/>
      <c r="G160" s="1325"/>
      <c r="H160" s="1325"/>
      <c r="I160" s="1325"/>
      <c r="J160" s="1325"/>
      <c r="K160" s="1325"/>
      <c r="L160" s="1325"/>
      <c r="M160" s="1325"/>
      <c r="N160" s="365"/>
      <c r="O160" s="1331"/>
      <c r="P160" s="1323"/>
      <c r="Q160" s="1323"/>
      <c r="R160" s="1323"/>
      <c r="S160" s="1323"/>
      <c r="T160" s="1323"/>
      <c r="U160" s="1323"/>
      <c r="V160" s="1323"/>
    </row>
    <row r="161" spans="2:22" ht="26" hidden="1" customHeight="1" outlineLevel="2" x14ac:dyDescent="0.2">
      <c r="B161" s="2"/>
      <c r="C161" s="2"/>
      <c r="D161" s="2"/>
      <c r="E161" s="374"/>
      <c r="F161" s="1325"/>
      <c r="G161" s="1325"/>
      <c r="H161" s="1325"/>
      <c r="I161" s="1325"/>
      <c r="J161" s="1325"/>
      <c r="K161" s="1325"/>
      <c r="L161" s="1325"/>
      <c r="M161" s="1325"/>
      <c r="N161" s="365"/>
      <c r="O161" s="650"/>
      <c r="P161" s="650"/>
      <c r="Q161" s="650"/>
      <c r="R161" s="1323"/>
      <c r="S161" s="1323"/>
      <c r="T161" s="1323"/>
      <c r="U161" s="1323"/>
      <c r="V161" s="1323"/>
    </row>
    <row r="162" spans="2:22" ht="26" hidden="1" customHeight="1" outlineLevel="2" x14ac:dyDescent="0.2">
      <c r="B162" s="60" t="s">
        <v>1656</v>
      </c>
      <c r="C162" s="60" t="s">
        <v>1657</v>
      </c>
      <c r="D162" s="60" t="s">
        <v>125</v>
      </c>
      <c r="E162" s="74" t="s">
        <v>645</v>
      </c>
      <c r="F162" s="1325"/>
      <c r="G162" s="1325"/>
      <c r="M162" s="1325"/>
      <c r="N162" s="365"/>
      <c r="O162" s="219"/>
      <c r="R162" s="1323"/>
      <c r="S162" s="1323"/>
      <c r="T162" s="1323"/>
      <c r="U162" s="1323"/>
      <c r="V162" s="1323"/>
    </row>
    <row r="163" spans="2:22" ht="26" hidden="1" customHeight="1" outlineLevel="2" x14ac:dyDescent="0.2">
      <c r="B163" s="81" t="s">
        <v>1686</v>
      </c>
      <c r="C163" s="91">
        <v>500000</v>
      </c>
      <c r="D163" s="1345" t="s">
        <v>1687</v>
      </c>
      <c r="E163" s="1063" t="s">
        <v>1688</v>
      </c>
      <c r="F163" s="1325"/>
      <c r="G163" s="1325"/>
      <c r="M163" s="1325"/>
      <c r="N163" s="365"/>
      <c r="O163" s="219"/>
      <c r="P163" s="1333"/>
      <c r="R163" s="1323"/>
      <c r="S163" s="1323"/>
      <c r="T163" s="1323"/>
      <c r="U163" s="1323"/>
      <c r="V163" s="1323"/>
    </row>
    <row r="164" spans="2:22" ht="26" hidden="1" customHeight="1" outlineLevel="2" x14ac:dyDescent="0.2">
      <c r="B164" s="55"/>
      <c r="C164" s="1370"/>
      <c r="D164" s="1371"/>
      <c r="E164" s="1778"/>
      <c r="F164" s="1325"/>
      <c r="G164" s="1325"/>
      <c r="M164" s="1325"/>
      <c r="N164" s="365"/>
      <c r="O164" s="1331"/>
      <c r="P164" s="1323"/>
      <c r="Q164" s="1323"/>
      <c r="R164" s="1323"/>
      <c r="S164" s="1323"/>
      <c r="T164" s="1323"/>
      <c r="U164" s="1323"/>
      <c r="V164" s="1323"/>
    </row>
    <row r="165" spans="2:22" ht="26" hidden="1" customHeight="1" outlineLevel="2" x14ac:dyDescent="0.2">
      <c r="B165" s="75" t="s">
        <v>1727</v>
      </c>
      <c r="C165" s="2"/>
      <c r="D165" s="2"/>
      <c r="E165" s="374"/>
      <c r="F165" s="1325"/>
      <c r="G165" s="1325"/>
      <c r="M165" s="1325"/>
      <c r="N165" s="365"/>
      <c r="O165" s="1331"/>
      <c r="P165" s="1323"/>
      <c r="Q165" s="1323"/>
      <c r="R165" s="1323"/>
      <c r="S165" s="1323"/>
      <c r="T165" s="1323"/>
      <c r="U165" s="1323"/>
      <c r="V165" s="1323"/>
    </row>
    <row r="166" spans="2:22" ht="26" hidden="1" customHeight="1" outlineLevel="2" x14ac:dyDescent="0.2">
      <c r="B166" s="2"/>
      <c r="C166" s="2"/>
      <c r="D166" s="2"/>
      <c r="E166" s="374"/>
      <c r="F166" s="1325"/>
      <c r="G166" s="1325"/>
      <c r="M166" s="1325"/>
      <c r="N166"/>
      <c r="O166"/>
      <c r="P166"/>
      <c r="Q166"/>
      <c r="R166"/>
      <c r="S166"/>
      <c r="T166" s="1323"/>
      <c r="U166" s="1323"/>
      <c r="V166" s="1323"/>
    </row>
    <row r="167" spans="2:22" ht="26" hidden="1" customHeight="1" outlineLevel="2" x14ac:dyDescent="0.2">
      <c r="B167" s="60" t="s">
        <v>1656</v>
      </c>
      <c r="C167" s="60" t="s">
        <v>1657</v>
      </c>
      <c r="D167" s="60" t="s">
        <v>125</v>
      </c>
      <c r="E167" s="74" t="s">
        <v>645</v>
      </c>
      <c r="F167" s="1325"/>
      <c r="G167" s="1325"/>
      <c r="M167" s="1325"/>
      <c r="N167"/>
      <c r="O167"/>
      <c r="P167"/>
      <c r="Q167"/>
      <c r="R167"/>
      <c r="S167"/>
      <c r="T167" s="1323"/>
      <c r="U167" s="1323"/>
      <c r="V167" s="1323"/>
    </row>
    <row r="168" spans="2:22" ht="26" hidden="1" customHeight="1" outlineLevel="2" x14ac:dyDescent="0.2">
      <c r="B168" s="5" t="s">
        <v>1689</v>
      </c>
      <c r="C168" s="91">
        <v>1240000</v>
      </c>
      <c r="D168" s="1338" t="s">
        <v>1690</v>
      </c>
      <c r="E168" s="392"/>
      <c r="F168" s="1325"/>
      <c r="G168" s="1325"/>
      <c r="M168" s="1325"/>
      <c r="N168"/>
      <c r="O168"/>
      <c r="P168"/>
      <c r="Q168"/>
      <c r="R168"/>
      <c r="S168"/>
      <c r="T168" s="1323"/>
      <c r="U168" s="1323"/>
      <c r="V168" s="1323"/>
    </row>
    <row r="169" spans="2:22" ht="26" hidden="1" customHeight="1" outlineLevel="2" x14ac:dyDescent="0.2">
      <c r="B169" s="5" t="s">
        <v>1691</v>
      </c>
      <c r="C169" s="91">
        <v>1300000</v>
      </c>
      <c r="D169" s="1338" t="s">
        <v>1692</v>
      </c>
      <c r="E169" s="392"/>
      <c r="F169" s="1325"/>
      <c r="G169" s="1325"/>
      <c r="M169" s="1325"/>
      <c r="N169"/>
      <c r="O169"/>
      <c r="P169"/>
      <c r="Q169"/>
      <c r="R169"/>
      <c r="S169"/>
      <c r="T169" s="1323"/>
      <c r="U169" s="1323"/>
      <c r="V169" s="1323"/>
    </row>
    <row r="170" spans="2:22" ht="26" hidden="1" customHeight="1" outlineLevel="2" x14ac:dyDescent="0.2">
      <c r="B170" s="5" t="s">
        <v>1693</v>
      </c>
      <c r="C170" s="91">
        <v>1200000</v>
      </c>
      <c r="D170" s="1338" t="s">
        <v>1690</v>
      </c>
      <c r="E170" s="392"/>
      <c r="F170" s="1325"/>
      <c r="G170" s="1325"/>
      <c r="M170" s="1325"/>
      <c r="N170"/>
      <c r="O170"/>
      <c r="P170"/>
      <c r="Q170"/>
      <c r="R170"/>
      <c r="S170"/>
      <c r="T170" s="1323"/>
      <c r="U170" s="1323"/>
      <c r="V170" s="1323"/>
    </row>
    <row r="171" spans="2:22" ht="26" hidden="1" customHeight="1" outlineLevel="2" x14ac:dyDescent="0.2">
      <c r="B171" s="5" t="s">
        <v>1694</v>
      </c>
      <c r="C171" s="91">
        <v>1410000</v>
      </c>
      <c r="D171" s="1338" t="s">
        <v>1695</v>
      </c>
      <c r="E171" s="392"/>
      <c r="F171" s="1325"/>
      <c r="G171" s="1325"/>
      <c r="M171" s="1325"/>
      <c r="N171"/>
      <c r="O171"/>
      <c r="P171"/>
      <c r="Q171"/>
      <c r="R171"/>
      <c r="S171"/>
      <c r="T171" s="1323"/>
      <c r="U171" s="1323"/>
      <c r="V171" s="1323"/>
    </row>
    <row r="172" spans="2:22" ht="26" hidden="1" customHeight="1" outlineLevel="2" x14ac:dyDescent="0.2">
      <c r="B172" s="5" t="s">
        <v>1696</v>
      </c>
      <c r="C172" s="91">
        <v>1200000</v>
      </c>
      <c r="D172" s="1338" t="s">
        <v>1697</v>
      </c>
      <c r="E172" s="392"/>
      <c r="F172" s="1325"/>
      <c r="G172" s="1325"/>
      <c r="M172" s="1325"/>
      <c r="N172"/>
      <c r="O172"/>
      <c r="P172"/>
      <c r="Q172"/>
      <c r="R172"/>
      <c r="S172"/>
      <c r="T172" s="1323"/>
      <c r="U172" s="1323"/>
      <c r="V172" s="1323"/>
    </row>
    <row r="173" spans="2:22" ht="26" hidden="1" customHeight="1" outlineLevel="2" x14ac:dyDescent="0.2">
      <c r="B173" s="9" t="s">
        <v>90</v>
      </c>
      <c r="C173" s="10">
        <f>ROUND(AVERAGE(C168:C172),-5)</f>
        <v>1300000</v>
      </c>
      <c r="D173" s="1326"/>
      <c r="E173" s="392"/>
      <c r="F173" s="1325"/>
      <c r="G173" s="1325"/>
      <c r="M173" s="1325"/>
      <c r="N173"/>
      <c r="O173"/>
      <c r="P173"/>
      <c r="Q173"/>
      <c r="R173"/>
      <c r="S173"/>
      <c r="T173" s="1323"/>
      <c r="U173" s="1323"/>
      <c r="V173" s="1323"/>
    </row>
    <row r="174" spans="2:22" ht="26" hidden="1" customHeight="1" outlineLevel="2" x14ac:dyDescent="0.2">
      <c r="B174" s="11"/>
      <c r="C174" s="1360"/>
      <c r="D174" s="1254"/>
      <c r="E174" s="374"/>
      <c r="F174" s="1325"/>
      <c r="G174" s="1325"/>
      <c r="M174" s="1325"/>
      <c r="N174"/>
      <c r="O174"/>
      <c r="P174"/>
      <c r="Q174"/>
      <c r="R174"/>
      <c r="S174"/>
      <c r="T174" s="1323"/>
      <c r="U174" s="1323"/>
      <c r="V174" s="1323"/>
    </row>
    <row r="175" spans="2:22" ht="26" hidden="1" customHeight="1" outlineLevel="2" x14ac:dyDescent="0.2">
      <c r="B175" s="75" t="s">
        <v>1728</v>
      </c>
      <c r="C175"/>
      <c r="D175"/>
      <c r="E175" s="48"/>
      <c r="F175" s="1325"/>
      <c r="G175" s="1325"/>
      <c r="M175" s="1325"/>
      <c r="N175"/>
      <c r="O175"/>
      <c r="P175"/>
      <c r="Q175"/>
      <c r="R175"/>
      <c r="S175"/>
      <c r="T175" s="1323"/>
      <c r="U175" s="1323"/>
      <c r="V175" s="1323"/>
    </row>
    <row r="176" spans="2:22" ht="26" hidden="1" customHeight="1" outlineLevel="2" x14ac:dyDescent="0.2">
      <c r="B176"/>
      <c r="C176"/>
      <c r="D176"/>
      <c r="E176" s="48"/>
      <c r="F176" s="1325"/>
      <c r="G176" s="1325"/>
      <c r="M176" s="1325"/>
      <c r="N176"/>
      <c r="O176"/>
      <c r="P176"/>
      <c r="Q176"/>
      <c r="R176"/>
      <c r="S176"/>
      <c r="T176" s="1323"/>
      <c r="U176" s="1323"/>
      <c r="V176" s="1323"/>
    </row>
    <row r="177" spans="2:24" ht="26" hidden="1" customHeight="1" outlineLevel="2" x14ac:dyDescent="0.2">
      <c r="B177" s="60" t="s">
        <v>1656</v>
      </c>
      <c r="C177" s="60" t="s">
        <v>1657</v>
      </c>
      <c r="D177" s="60" t="s">
        <v>125</v>
      </c>
      <c r="E177" s="74" t="s">
        <v>645</v>
      </c>
      <c r="F177" s="1325"/>
      <c r="G177" s="1325"/>
      <c r="M177" s="1325"/>
      <c r="N177"/>
      <c r="O177"/>
      <c r="P177"/>
      <c r="Q177"/>
      <c r="R177"/>
      <c r="S177"/>
      <c r="T177" s="1323"/>
      <c r="U177" s="1323"/>
      <c r="V177" s="1323"/>
    </row>
    <row r="178" spans="2:24" ht="26" hidden="1" customHeight="1" outlineLevel="2" x14ac:dyDescent="0.2">
      <c r="B178" s="81" t="s">
        <v>1686</v>
      </c>
      <c r="C178" s="91">
        <v>1000000</v>
      </c>
      <c r="D178" s="1345" t="s">
        <v>1699</v>
      </c>
      <c r="E178" s="1063" t="s">
        <v>1700</v>
      </c>
      <c r="F178" s="1325"/>
      <c r="G178" s="1325"/>
      <c r="M178" s="1325"/>
      <c r="N178"/>
      <c r="O178"/>
      <c r="P178"/>
      <c r="Q178"/>
      <c r="R178"/>
      <c r="S178"/>
      <c r="T178" s="1323"/>
      <c r="U178" s="1323"/>
      <c r="V178" s="1323"/>
    </row>
    <row r="179" spans="2:24" ht="26" hidden="1" customHeight="1" outlineLevel="2" x14ac:dyDescent="0.2">
      <c r="B179" s="55"/>
      <c r="C179" s="1370"/>
      <c r="D179" s="1371"/>
      <c r="E179" s="1778"/>
      <c r="F179" s="1325"/>
      <c r="G179" s="1325"/>
      <c r="M179" s="1325"/>
      <c r="N179" s="365"/>
      <c r="O179" s="1331"/>
      <c r="P179" s="1323"/>
      <c r="Q179" s="1323"/>
      <c r="R179" s="1323"/>
      <c r="S179" s="1323"/>
      <c r="T179" s="1323"/>
      <c r="U179" s="1323"/>
      <c r="V179" s="1323"/>
    </row>
    <row r="180" spans="2:24" ht="26" hidden="1" customHeight="1" outlineLevel="2" x14ac:dyDescent="0.2">
      <c r="B180" s="75" t="s">
        <v>1729</v>
      </c>
      <c r="C180" s="2"/>
      <c r="D180" s="2"/>
      <c r="E180" s="374"/>
      <c r="F180" s="1325"/>
      <c r="G180" s="1325"/>
      <c r="M180" s="1325"/>
      <c r="N180" s="365"/>
      <c r="O180" s="1331"/>
      <c r="P180" s="1323"/>
      <c r="Q180" s="1323"/>
      <c r="R180" s="1323"/>
      <c r="S180" s="1323"/>
      <c r="T180" s="1323"/>
      <c r="U180" s="1323"/>
      <c r="V180" s="1323"/>
    </row>
    <row r="181" spans="2:24" ht="26" hidden="1" customHeight="1" outlineLevel="2" x14ac:dyDescent="0.2">
      <c r="B181"/>
      <c r="C181"/>
      <c r="D181"/>
      <c r="E181" s="48"/>
      <c r="F181" s="1325"/>
      <c r="G181" s="1325"/>
      <c r="M181" s="1325"/>
      <c r="N181" s="365"/>
      <c r="O181" s="219"/>
      <c r="T181" s="1323"/>
      <c r="U181" s="1323"/>
      <c r="V181" s="1323"/>
    </row>
    <row r="182" spans="2:24" ht="26" hidden="1" customHeight="1" outlineLevel="2" x14ac:dyDescent="0.2">
      <c r="B182" s="60" t="s">
        <v>1656</v>
      </c>
      <c r="C182" s="60" t="s">
        <v>1657</v>
      </c>
      <c r="D182" s="60" t="s">
        <v>125</v>
      </c>
      <c r="E182" s="74" t="s">
        <v>645</v>
      </c>
      <c r="F182" s="1325"/>
      <c r="G182" s="1325"/>
      <c r="M182" s="1325"/>
      <c r="N182" s="365"/>
      <c r="O182" s="219"/>
      <c r="T182" s="1323"/>
      <c r="U182" s="1323"/>
      <c r="V182" s="1323"/>
    </row>
    <row r="183" spans="2:24" ht="26" hidden="1" customHeight="1" outlineLevel="2" x14ac:dyDescent="0.2">
      <c r="B183" s="81" t="s">
        <v>1686</v>
      </c>
      <c r="C183" s="91">
        <v>500000</v>
      </c>
      <c r="D183" s="1345"/>
      <c r="E183" s="1063" t="s">
        <v>1700</v>
      </c>
      <c r="F183" s="1325"/>
      <c r="G183" s="1325"/>
      <c r="O183" s="219"/>
      <c r="T183" s="1323"/>
      <c r="U183" s="1323"/>
      <c r="V183" s="1323"/>
    </row>
    <row r="184" spans="2:24" ht="20" hidden="1" customHeight="1" outlineLevel="2" x14ac:dyDescent="0.2">
      <c r="B184" s="1323"/>
      <c r="C184" s="1323"/>
      <c r="D184" s="365"/>
      <c r="E184" s="365"/>
      <c r="F184" s="1325"/>
      <c r="G184" s="1325"/>
      <c r="O184" s="219"/>
      <c r="T184" s="1323"/>
      <c r="U184" s="1323"/>
      <c r="V184" s="1323"/>
    </row>
    <row r="185" spans="2:24" ht="20" hidden="1" customHeight="1" outlineLevel="2" x14ac:dyDescent="0.2">
      <c r="B185" s="75" t="s">
        <v>2006</v>
      </c>
      <c r="C185" s="1323"/>
      <c r="D185" s="365"/>
      <c r="E185" s="365"/>
      <c r="F185" s="1325"/>
      <c r="G185" s="1325"/>
      <c r="O185" s="219"/>
      <c r="T185" s="1325"/>
      <c r="U185" s="1325"/>
      <c r="V185" s="1325"/>
      <c r="W185" s="1325"/>
      <c r="X185" s="1325"/>
    </row>
    <row r="186" spans="2:24" ht="20" hidden="1" customHeight="1" outlineLevel="2" x14ac:dyDescent="0.2">
      <c r="B186" s="1323"/>
      <c r="C186" s="1323"/>
      <c r="D186" s="365"/>
      <c r="E186" s="365"/>
      <c r="F186" s="1325"/>
      <c r="G186" s="1325"/>
      <c r="O186" s="219"/>
      <c r="W186" s="1325"/>
      <c r="X186" s="1325"/>
    </row>
    <row r="187" spans="2:24" ht="20" hidden="1" customHeight="1" outlineLevel="2" x14ac:dyDescent="0.2">
      <c r="B187" s="60" t="s">
        <v>1656</v>
      </c>
      <c r="C187" s="60" t="s">
        <v>1657</v>
      </c>
      <c r="D187" s="2771" t="s">
        <v>125</v>
      </c>
      <c r="E187" s="2771"/>
      <c r="F187" s="1325"/>
      <c r="G187" s="1325"/>
      <c r="O187" s="219"/>
      <c r="W187" s="1325"/>
      <c r="X187" s="1325"/>
    </row>
    <row r="188" spans="2:24" ht="78" hidden="1" customHeight="1" outlineLevel="2" x14ac:dyDescent="0.2">
      <c r="B188" s="1773" t="s">
        <v>5</v>
      </c>
      <c r="C188" s="789">
        <v>400000</v>
      </c>
      <c r="D188" s="3077" t="s">
        <v>2180</v>
      </c>
      <c r="E188" s="3077"/>
      <c r="F188" s="1325"/>
      <c r="G188" s="1325"/>
      <c r="O188" s="219"/>
      <c r="W188" s="1325"/>
      <c r="X188" s="1325"/>
    </row>
    <row r="189" spans="2:24" ht="20" hidden="1" customHeight="1" outlineLevel="2" x14ac:dyDescent="0.2">
      <c r="B189" s="1323"/>
      <c r="C189" s="1323"/>
      <c r="D189" s="365"/>
      <c r="E189" s="365"/>
      <c r="F189" s="1325"/>
      <c r="G189" s="1325"/>
      <c r="O189" s="219"/>
      <c r="T189" s="1325"/>
      <c r="U189" s="1325"/>
      <c r="V189" s="1325"/>
      <c r="W189" s="1325"/>
      <c r="X189" s="1334"/>
    </row>
    <row r="190" spans="2:24" ht="20" hidden="1" customHeight="1" outlineLevel="2" x14ac:dyDescent="0.2">
      <c r="E190" s="365"/>
      <c r="F190" s="1325"/>
      <c r="G190" s="1325"/>
      <c r="O190" s="219"/>
      <c r="T190" s="1323"/>
      <c r="U190" s="1323"/>
      <c r="V190" s="1323"/>
      <c r="W190" s="1323"/>
      <c r="X190" s="1323"/>
    </row>
    <row r="191" spans="2:24" outlineLevel="1" collapsed="1" x14ac:dyDescent="0.2">
      <c r="E191" s="365"/>
      <c r="F191" s="1325"/>
      <c r="G191" s="1325"/>
      <c r="H191" s="1325"/>
      <c r="I191" s="1325"/>
      <c r="O191" s="219"/>
      <c r="T191" s="1331"/>
      <c r="U191" s="1323"/>
      <c r="V191" s="1323"/>
      <c r="W191" s="1323"/>
      <c r="X191" s="1323"/>
    </row>
    <row r="192" spans="2:24" ht="20" outlineLevel="1" x14ac:dyDescent="0.2">
      <c r="B192" s="2259" t="s">
        <v>2184</v>
      </c>
      <c r="C192" s="650"/>
      <c r="D192" s="650"/>
      <c r="E192" s="650"/>
      <c r="F192" s="650"/>
      <c r="G192" s="1325"/>
      <c r="H192" s="1325"/>
      <c r="I192" s="1325"/>
      <c r="O192" s="219"/>
      <c r="T192" s="1331"/>
      <c r="U192" s="1323"/>
      <c r="V192" s="1323"/>
      <c r="W192" s="1323"/>
      <c r="X192" s="1323"/>
    </row>
    <row r="193" spans="2:22" outlineLevel="1" x14ac:dyDescent="0.2">
      <c r="B193" s="650"/>
      <c r="C193" s="650"/>
      <c r="D193" s="650"/>
      <c r="E193" s="650"/>
      <c r="F193" s="650"/>
      <c r="G193" s="1325"/>
      <c r="H193" s="1325"/>
      <c r="I193" s="1325"/>
      <c r="J193" s="1325"/>
      <c r="K193" s="1325"/>
      <c r="L193" s="1325"/>
      <c r="M193" s="1325"/>
      <c r="N193" s="365"/>
      <c r="O193" s="219"/>
      <c r="T193" s="1323"/>
      <c r="U193" s="1323"/>
      <c r="V193" s="1323"/>
    </row>
    <row r="194" spans="2:22" outlineLevel="1" x14ac:dyDescent="0.2">
      <c r="B194" s="650"/>
      <c r="C194" s="650"/>
      <c r="D194" s="650"/>
      <c r="E194" s="650"/>
      <c r="F194" s="650"/>
      <c r="G194" s="1325"/>
      <c r="H194" s="1325"/>
      <c r="I194" s="1325"/>
      <c r="J194" s="1325"/>
      <c r="K194" s="1325"/>
      <c r="L194" s="1325"/>
      <c r="M194" s="1325"/>
      <c r="N194" s="365"/>
      <c r="O194" s="1331"/>
      <c r="P194" s="1323"/>
      <c r="Q194" s="1323"/>
      <c r="R194" s="1323"/>
      <c r="S194" s="1323"/>
      <c r="T194" s="1323"/>
      <c r="U194" s="1323"/>
      <c r="V194" s="1323"/>
    </row>
    <row r="195" spans="2:22" outlineLevel="1" x14ac:dyDescent="0.2">
      <c r="B195" s="653" t="s">
        <v>721</v>
      </c>
      <c r="C195" s="653" t="s">
        <v>1221</v>
      </c>
      <c r="D195" s="653" t="s">
        <v>922</v>
      </c>
      <c r="E195" s="650"/>
      <c r="F195" s="650"/>
      <c r="G195" s="1325"/>
      <c r="H195" s="1325"/>
      <c r="I195" s="1325"/>
      <c r="J195" s="1325"/>
      <c r="K195" s="1325"/>
      <c r="L195" s="1325"/>
      <c r="M195" s="1325"/>
      <c r="N195" s="365"/>
      <c r="O195" s="1331"/>
      <c r="P195" s="1323"/>
      <c r="Q195" s="1323"/>
      <c r="R195" s="1323"/>
      <c r="S195" s="1323"/>
      <c r="T195" s="1323"/>
      <c r="U195" s="1323"/>
      <c r="V195" s="1323"/>
    </row>
    <row r="196" spans="2:22" outlineLevel="1" x14ac:dyDescent="0.2">
      <c r="B196" s="651" t="s">
        <v>1222</v>
      </c>
      <c r="C196" s="651">
        <v>11000</v>
      </c>
      <c r="D196" s="1327">
        <f>C196/$C$200</f>
        <v>2.4282560706401765E-2</v>
      </c>
      <c r="E196" s="650"/>
      <c r="F196" s="650"/>
      <c r="G196" s="1325"/>
      <c r="H196" s="1325"/>
      <c r="I196" s="1325"/>
      <c r="J196" s="1325"/>
      <c r="K196" s="1325"/>
      <c r="L196" s="1325"/>
      <c r="M196" s="1325"/>
      <c r="N196" s="365"/>
      <c r="O196" s="1331"/>
      <c r="P196" s="1323"/>
      <c r="Q196" s="1323"/>
      <c r="R196" s="1323"/>
      <c r="S196" s="1323"/>
      <c r="T196" s="1323"/>
      <c r="U196" s="1323"/>
      <c r="V196" s="1323"/>
    </row>
    <row r="197" spans="2:22" outlineLevel="1" x14ac:dyDescent="0.2">
      <c r="B197" s="651" t="s">
        <v>1223</v>
      </c>
      <c r="C197" s="651">
        <v>6000</v>
      </c>
      <c r="D197" s="1327">
        <f>C197/$C$200</f>
        <v>1.3245033112582781E-2</v>
      </c>
      <c r="E197" s="650"/>
      <c r="F197" s="650"/>
      <c r="G197" s="1325"/>
      <c r="H197" s="1325"/>
      <c r="I197" s="1325"/>
      <c r="J197" s="1325"/>
      <c r="K197" s="1325"/>
      <c r="L197" s="1325"/>
      <c r="M197" s="1325"/>
      <c r="N197" s="365"/>
      <c r="O197" s="1331"/>
      <c r="P197" s="1323"/>
      <c r="Q197" s="1323"/>
      <c r="R197" s="1323"/>
      <c r="S197" s="1323"/>
      <c r="T197" s="1323"/>
      <c r="U197" s="1323"/>
      <c r="V197" s="1323"/>
    </row>
    <row r="198" spans="2:22" outlineLevel="1" x14ac:dyDescent="0.2">
      <c r="B198" s="651" t="s">
        <v>1224</v>
      </c>
      <c r="C198" s="651">
        <v>7000</v>
      </c>
      <c r="D198" s="1327">
        <f>C198/$C$200</f>
        <v>1.5452538631346579E-2</v>
      </c>
      <c r="E198" s="650"/>
      <c r="F198" s="650"/>
      <c r="G198" s="1325"/>
      <c r="H198" s="1325"/>
      <c r="I198" s="1325"/>
      <c r="J198" s="1325"/>
      <c r="K198" s="1325"/>
      <c r="L198" s="1325"/>
      <c r="M198" s="1325"/>
      <c r="N198" s="365"/>
      <c r="O198" s="1331"/>
      <c r="P198" s="1323"/>
      <c r="Q198" s="1323"/>
      <c r="R198" s="1323"/>
      <c r="S198" s="1323"/>
      <c r="T198" s="1323"/>
      <c r="U198" s="1323"/>
      <c r="V198" s="1323"/>
    </row>
    <row r="199" spans="2:22" outlineLevel="1" x14ac:dyDescent="0.2">
      <c r="B199" s="651" t="s">
        <v>1225</v>
      </c>
      <c r="C199" s="651">
        <v>429000</v>
      </c>
      <c r="D199" s="1327">
        <f>C199/$C$200</f>
        <v>0.94701986754966883</v>
      </c>
      <c r="E199" s="650"/>
      <c r="F199" s="650"/>
      <c r="G199" s="1325"/>
      <c r="H199" s="1325"/>
      <c r="I199" s="1325"/>
      <c r="J199" s="1325"/>
      <c r="K199" s="1325"/>
      <c r="L199" s="1325"/>
      <c r="M199" s="1325"/>
      <c r="N199" s="365"/>
      <c r="O199" s="1331"/>
      <c r="P199" s="1323"/>
      <c r="Q199" s="1323"/>
      <c r="R199" s="1323"/>
      <c r="S199" s="1323"/>
      <c r="T199" s="1323"/>
      <c r="U199" s="1323"/>
      <c r="V199" s="1323"/>
    </row>
    <row r="200" spans="2:22" outlineLevel="1" x14ac:dyDescent="0.2">
      <c r="B200" s="653" t="s">
        <v>198</v>
      </c>
      <c r="C200" s="653">
        <v>453000</v>
      </c>
      <c r="D200" s="1330">
        <f>C200/$C$200</f>
        <v>1</v>
      </c>
      <c r="E200" s="650"/>
      <c r="F200" s="650"/>
      <c r="G200" s="1325"/>
      <c r="H200" s="1325"/>
      <c r="I200" s="1325"/>
      <c r="J200" s="1325"/>
      <c r="K200" s="1325"/>
      <c r="L200" s="1325"/>
      <c r="M200" s="1325"/>
      <c r="N200" s="365"/>
      <c r="O200" s="1331"/>
      <c r="P200" s="1323"/>
      <c r="Q200" s="1323"/>
      <c r="R200" s="1323"/>
      <c r="S200" s="1323"/>
      <c r="T200" s="1323"/>
      <c r="U200" s="1323"/>
      <c r="V200" s="1323"/>
    </row>
    <row r="201" spans="2:22" outlineLevel="1" x14ac:dyDescent="0.2">
      <c r="B201" s="649"/>
      <c r="C201" s="649"/>
      <c r="D201" s="1765"/>
      <c r="E201" s="650"/>
      <c r="F201" s="650"/>
      <c r="G201" s="1325"/>
      <c r="H201" s="1325"/>
      <c r="I201" s="1325"/>
      <c r="J201" s="1325"/>
      <c r="K201" s="1325"/>
      <c r="L201" s="1325"/>
      <c r="M201" s="1325"/>
      <c r="N201" s="365"/>
      <c r="O201" s="1331"/>
      <c r="P201" s="1323"/>
      <c r="Q201" s="1323"/>
      <c r="R201" s="1323"/>
      <c r="S201" s="1323"/>
      <c r="T201" s="1323"/>
      <c r="U201" s="1323"/>
      <c r="V201" s="1323"/>
    </row>
    <row r="202" spans="2:22" outlineLevel="1" x14ac:dyDescent="0.2">
      <c r="B202" s="650" t="s">
        <v>904</v>
      </c>
      <c r="C202" s="650" t="s">
        <v>1220</v>
      </c>
      <c r="D202" s="1765"/>
      <c r="E202" s="650"/>
      <c r="F202" s="650"/>
      <c r="G202" s="1325"/>
      <c r="H202" s="1325"/>
      <c r="I202" s="1325"/>
      <c r="J202" s="1325"/>
      <c r="K202" s="1325"/>
      <c r="L202" s="1325"/>
      <c r="M202" s="1325"/>
      <c r="N202" s="365"/>
      <c r="O202" s="1331"/>
      <c r="P202" s="1323"/>
      <c r="Q202" s="1323"/>
      <c r="R202" s="1323"/>
      <c r="S202" s="1323"/>
      <c r="T202" s="1323"/>
      <c r="U202" s="1323"/>
      <c r="V202" s="1323"/>
    </row>
    <row r="203" spans="2:22" outlineLevel="1" x14ac:dyDescent="0.2">
      <c r="B203" s="650"/>
      <c r="C203" s="650"/>
      <c r="D203" s="650"/>
      <c r="E203" s="650"/>
      <c r="F203" s="650"/>
      <c r="G203" s="1325"/>
      <c r="H203" s="1325"/>
      <c r="I203" s="1325"/>
      <c r="J203" s="1325"/>
      <c r="K203" s="1325"/>
      <c r="L203" s="1325"/>
      <c r="M203" s="1325"/>
      <c r="N203" s="365"/>
      <c r="O203" s="1331"/>
      <c r="P203" s="1323"/>
      <c r="Q203" s="1323"/>
      <c r="R203" s="1323"/>
      <c r="S203" s="1323"/>
      <c r="T203" s="1323"/>
      <c r="U203" s="1323"/>
      <c r="V203" s="1323"/>
    </row>
    <row r="204" spans="2:22" ht="20" outlineLevel="1" x14ac:dyDescent="0.2">
      <c r="B204" s="2259" t="s">
        <v>2186</v>
      </c>
      <c r="C204" s="1323"/>
      <c r="D204" s="365"/>
      <c r="E204" s="365"/>
      <c r="F204" s="1325"/>
      <c r="G204" s="1325"/>
      <c r="H204" s="1325"/>
      <c r="I204" s="1325"/>
      <c r="J204" s="1325"/>
      <c r="K204" s="1325"/>
      <c r="L204" s="1325"/>
      <c r="M204" s="1325"/>
      <c r="N204" s="365"/>
      <c r="O204" s="1331"/>
      <c r="P204" s="1323"/>
      <c r="Q204" s="1323"/>
      <c r="R204" s="1323"/>
      <c r="S204" s="1323"/>
      <c r="T204" s="1323"/>
      <c r="U204" s="1323"/>
      <c r="V204" s="1323"/>
    </row>
    <row r="205" spans="2:22" outlineLevel="1" x14ac:dyDescent="0.2">
      <c r="B205" s="1323"/>
      <c r="C205" s="1323"/>
      <c r="D205" s="365"/>
      <c r="E205" s="365"/>
      <c r="F205" s="1325"/>
      <c r="G205" s="1325"/>
      <c r="H205" s="1325"/>
      <c r="I205" s="1325"/>
      <c r="J205" s="1325"/>
      <c r="K205" s="1325"/>
      <c r="L205" s="1325"/>
      <c r="M205" s="1325"/>
      <c r="N205" s="365"/>
      <c r="O205" s="1331"/>
      <c r="P205" s="1323"/>
      <c r="Q205" s="1323"/>
      <c r="R205" s="1323"/>
      <c r="S205" s="1323"/>
      <c r="T205" s="1323"/>
      <c r="U205" s="1323"/>
      <c r="V205" s="1323"/>
    </row>
    <row r="206" spans="2:22" outlineLevel="1" x14ac:dyDescent="0.2">
      <c r="B206" s="1323"/>
      <c r="C206" s="1323"/>
      <c r="D206" s="365"/>
      <c r="E206" s="365"/>
      <c r="F206" s="1325"/>
      <c r="G206" s="1325"/>
      <c r="H206" s="1325"/>
      <c r="I206" s="1325"/>
      <c r="J206" s="1325"/>
      <c r="K206" s="1325"/>
      <c r="L206" s="1325"/>
      <c r="M206" s="1325"/>
      <c r="N206" s="365"/>
      <c r="O206" s="1331"/>
      <c r="P206" s="1323"/>
      <c r="Q206" s="1323"/>
      <c r="R206" s="1323"/>
      <c r="S206" s="1323"/>
      <c r="T206" s="1323"/>
      <c r="U206" s="1323"/>
      <c r="V206" s="1323"/>
    </row>
    <row r="207" spans="2:22" outlineLevel="1" x14ac:dyDescent="0.2">
      <c r="B207" s="1323"/>
      <c r="C207" s="1323"/>
      <c r="D207" s="365"/>
      <c r="E207" s="365"/>
      <c r="F207" s="1325"/>
      <c r="G207" s="1325"/>
      <c r="H207" s="1325"/>
      <c r="I207" s="1325"/>
      <c r="J207" s="1325"/>
      <c r="K207" s="1325"/>
      <c r="L207" s="1325"/>
      <c r="M207" s="1325"/>
      <c r="N207" s="365"/>
      <c r="O207" s="1331"/>
      <c r="P207" s="1323"/>
      <c r="Q207" s="1323"/>
      <c r="R207" s="1323"/>
      <c r="S207" s="1323"/>
      <c r="T207" s="1323"/>
      <c r="U207" s="1323"/>
      <c r="V207" s="1323"/>
    </row>
    <row r="208" spans="2:22" outlineLevel="1" x14ac:dyDescent="0.2">
      <c r="B208" s="1323"/>
      <c r="C208" s="1323"/>
      <c r="D208" s="365"/>
      <c r="E208" s="365"/>
      <c r="F208" s="1325"/>
      <c r="G208" s="1325"/>
      <c r="H208" s="1325"/>
      <c r="I208" s="1325"/>
      <c r="J208" s="1325"/>
      <c r="K208" s="1325"/>
      <c r="L208" s="1325"/>
      <c r="M208" s="1325"/>
      <c r="N208" s="365"/>
      <c r="O208" s="1331"/>
      <c r="P208" s="1323"/>
      <c r="Q208" s="1323"/>
      <c r="R208" s="1323"/>
      <c r="S208" s="1323"/>
      <c r="T208" s="1323"/>
      <c r="U208" s="1323"/>
      <c r="V208" s="1323"/>
    </row>
    <row r="209" spans="2:22" outlineLevel="1" x14ac:dyDescent="0.2">
      <c r="B209" s="1323"/>
      <c r="C209" s="1323"/>
      <c r="D209" s="365"/>
      <c r="E209" s="365"/>
      <c r="F209" s="1325"/>
      <c r="G209" s="1325"/>
      <c r="H209" s="1325"/>
      <c r="I209" s="1325"/>
      <c r="J209" s="1325"/>
      <c r="K209" s="1325"/>
      <c r="L209" s="1325"/>
      <c r="M209" s="1325"/>
      <c r="N209" s="365"/>
      <c r="O209" s="1331"/>
      <c r="P209" s="1323"/>
      <c r="Q209" s="1323"/>
      <c r="R209" s="1323"/>
      <c r="S209" s="1323"/>
      <c r="T209" s="1323"/>
      <c r="U209" s="1323"/>
      <c r="V209" s="1323"/>
    </row>
    <row r="210" spans="2:22" outlineLevel="1" x14ac:dyDescent="0.2">
      <c r="B210" s="1323"/>
      <c r="C210" s="1323"/>
      <c r="D210" s="365"/>
      <c r="E210" s="365"/>
      <c r="F210" s="1325"/>
      <c r="G210" s="1325"/>
      <c r="H210" s="1325"/>
      <c r="I210" s="1325"/>
      <c r="J210" s="1325"/>
      <c r="K210" s="1325"/>
      <c r="L210" s="1325"/>
      <c r="M210" s="1325"/>
      <c r="N210" s="365"/>
      <c r="O210" s="1331"/>
      <c r="P210" s="1323"/>
      <c r="Q210" s="1323"/>
      <c r="R210" s="1323"/>
      <c r="S210" s="1323"/>
      <c r="T210" s="1323"/>
      <c r="U210" s="1323"/>
      <c r="V210" s="1323"/>
    </row>
    <row r="211" spans="2:22" outlineLevel="1" x14ac:dyDescent="0.2">
      <c r="B211" s="1323"/>
      <c r="C211" s="1323"/>
      <c r="D211" s="365"/>
      <c r="E211" s="365"/>
      <c r="F211" s="1325"/>
      <c r="G211" s="1325"/>
      <c r="H211" s="1325"/>
      <c r="I211" s="1325"/>
      <c r="J211" s="1325"/>
      <c r="K211" s="1325"/>
      <c r="L211" s="1325"/>
      <c r="M211" s="1325"/>
      <c r="N211" s="365"/>
      <c r="O211" s="1331"/>
      <c r="P211" s="1323"/>
      <c r="Q211" s="1323"/>
      <c r="R211" s="1323"/>
      <c r="S211" s="1323"/>
      <c r="T211" s="1323"/>
      <c r="U211" s="1323"/>
      <c r="V211" s="1323"/>
    </row>
    <row r="212" spans="2:22" outlineLevel="1" x14ac:dyDescent="0.2">
      <c r="B212" s="1323"/>
      <c r="C212" s="1323"/>
      <c r="D212" s="365"/>
      <c r="E212" s="365"/>
      <c r="F212" s="1325"/>
      <c r="G212" s="1325"/>
      <c r="H212" s="1325"/>
      <c r="I212" s="1325"/>
      <c r="J212" s="1325"/>
      <c r="K212" s="1325"/>
      <c r="L212" s="1325"/>
      <c r="M212" s="1325"/>
      <c r="N212" s="365"/>
      <c r="O212" s="1331"/>
      <c r="P212" s="1323"/>
      <c r="Q212" s="1323"/>
      <c r="R212" s="1323"/>
      <c r="S212" s="1323"/>
      <c r="T212" s="1323"/>
      <c r="U212" s="1323"/>
      <c r="V212" s="1323"/>
    </row>
    <row r="213" spans="2:22" outlineLevel="1" x14ac:dyDescent="0.2">
      <c r="B213" s="1323"/>
      <c r="C213" s="1323"/>
      <c r="D213" s="365"/>
      <c r="E213" s="365"/>
      <c r="F213" s="1325"/>
      <c r="G213" s="1325"/>
      <c r="H213" s="1325"/>
      <c r="I213" s="1325"/>
      <c r="J213" s="1325"/>
      <c r="K213" s="1325"/>
      <c r="L213" s="1325"/>
      <c r="M213" s="1325"/>
      <c r="N213" s="365"/>
      <c r="O213" s="1331"/>
      <c r="P213" s="1323"/>
      <c r="Q213" s="1323"/>
      <c r="R213" s="1323"/>
      <c r="S213" s="1323"/>
      <c r="T213" s="1323"/>
      <c r="U213" s="1323"/>
      <c r="V213" s="1323"/>
    </row>
    <row r="214" spans="2:22" outlineLevel="1" x14ac:dyDescent="0.2">
      <c r="B214" s="1323"/>
      <c r="C214" s="1323"/>
      <c r="D214" s="365"/>
      <c r="E214" s="365"/>
      <c r="F214" s="1325"/>
      <c r="G214" s="1325"/>
      <c r="H214" s="1325"/>
      <c r="I214" s="1325"/>
      <c r="J214" s="1325"/>
      <c r="K214" s="1325"/>
      <c r="L214" s="1325"/>
      <c r="M214" s="1325"/>
      <c r="N214" s="365"/>
      <c r="O214" s="1331"/>
      <c r="P214" s="1323"/>
      <c r="Q214" s="1323"/>
      <c r="R214" s="1323"/>
      <c r="S214" s="1323"/>
      <c r="T214" s="1323"/>
      <c r="U214" s="1323"/>
      <c r="V214" s="1323"/>
    </row>
    <row r="215" spans="2:22" outlineLevel="1" x14ac:dyDescent="0.2">
      <c r="B215" s="1323"/>
      <c r="C215" s="1323"/>
      <c r="D215" s="365"/>
      <c r="E215" s="365"/>
      <c r="F215" s="1325"/>
      <c r="G215" s="1325"/>
      <c r="H215" s="1325"/>
      <c r="I215" s="1325"/>
      <c r="J215" s="1325"/>
      <c r="K215" s="1325"/>
      <c r="L215" s="1325"/>
      <c r="M215" s="1325"/>
      <c r="N215" s="365"/>
      <c r="O215" s="1331"/>
      <c r="P215" s="1323"/>
      <c r="Q215" s="1323"/>
      <c r="R215" s="1323"/>
      <c r="S215" s="1323"/>
      <c r="T215" s="1323"/>
      <c r="U215" s="1323"/>
      <c r="V215" s="1323"/>
    </row>
    <row r="216" spans="2:22" outlineLevel="1" x14ac:dyDescent="0.2">
      <c r="B216" s="1323"/>
      <c r="C216" s="1323"/>
      <c r="D216" s="365"/>
      <c r="E216" s="365"/>
      <c r="F216" s="1325"/>
      <c r="G216" s="1325"/>
      <c r="H216" s="1325"/>
      <c r="I216" s="1325"/>
      <c r="J216" s="1325"/>
      <c r="K216" s="1325"/>
      <c r="L216" s="1325"/>
      <c r="M216" s="1325"/>
      <c r="N216" s="365"/>
      <c r="O216" s="1331"/>
      <c r="P216" s="1323"/>
      <c r="Q216" s="1323"/>
      <c r="R216" s="1323"/>
      <c r="S216" s="1323"/>
      <c r="T216" s="1323"/>
      <c r="U216" s="1323"/>
      <c r="V216" s="1323"/>
    </row>
    <row r="217" spans="2:22" outlineLevel="1" x14ac:dyDescent="0.2">
      <c r="B217" s="1323"/>
      <c r="C217" s="1323"/>
      <c r="D217" s="365"/>
      <c r="E217" s="365"/>
      <c r="F217" s="1325"/>
      <c r="G217" s="1325"/>
      <c r="H217" s="1325"/>
      <c r="I217" s="1325"/>
      <c r="J217" s="1325"/>
      <c r="K217" s="1325"/>
      <c r="L217" s="1325"/>
      <c r="M217" s="1325"/>
      <c r="N217" s="365"/>
      <c r="O217" s="1331"/>
      <c r="P217" s="1323"/>
      <c r="Q217" s="1323"/>
      <c r="R217" s="1323"/>
      <c r="S217" s="1323"/>
      <c r="T217" s="1323"/>
      <c r="U217" s="1323"/>
      <c r="V217" s="1323"/>
    </row>
    <row r="218" spans="2:22" outlineLevel="1" x14ac:dyDescent="0.2">
      <c r="B218" s="1323"/>
      <c r="C218" s="1323"/>
      <c r="D218" s="365"/>
      <c r="E218" s="365"/>
      <c r="F218" s="1325"/>
      <c r="G218" s="1325"/>
      <c r="H218" s="1325"/>
      <c r="I218" s="1325"/>
      <c r="J218" s="1325"/>
      <c r="K218" s="1325"/>
      <c r="L218" s="1325"/>
      <c r="M218" s="1325"/>
      <c r="N218" s="365"/>
      <c r="O218" s="1331"/>
      <c r="P218" s="1323"/>
      <c r="Q218" s="1323"/>
      <c r="R218" s="1323"/>
      <c r="S218" s="1323"/>
      <c r="T218" s="1323"/>
      <c r="U218" s="1323"/>
      <c r="V218" s="1323"/>
    </row>
    <row r="219" spans="2:22" outlineLevel="1" x14ac:dyDescent="0.2">
      <c r="B219" s="1323"/>
      <c r="C219" s="1323"/>
      <c r="D219" s="365"/>
      <c r="E219" s="365"/>
      <c r="F219" s="1325"/>
      <c r="G219" s="1325"/>
      <c r="H219" s="1325"/>
      <c r="I219" s="1325"/>
      <c r="J219" s="1325"/>
      <c r="K219" s="1325"/>
      <c r="L219" s="1325"/>
      <c r="M219" s="1325"/>
      <c r="N219" s="365"/>
      <c r="O219" s="1331"/>
      <c r="P219" s="1323"/>
      <c r="Q219" s="1323"/>
      <c r="R219" s="1323"/>
      <c r="S219" s="1323"/>
      <c r="T219" s="1323"/>
      <c r="U219" s="1323"/>
      <c r="V219" s="1323"/>
    </row>
    <row r="220" spans="2:22" outlineLevel="1" x14ac:dyDescent="0.2">
      <c r="B220" s="1323"/>
      <c r="C220" s="1323"/>
      <c r="D220" s="365"/>
      <c r="E220" s="365"/>
      <c r="F220" s="1325"/>
      <c r="G220" s="1325"/>
      <c r="H220" s="1325"/>
      <c r="I220" s="1325"/>
      <c r="J220" s="1325"/>
      <c r="K220" s="1325"/>
      <c r="L220" s="1325"/>
      <c r="M220" s="1325"/>
      <c r="N220" s="365"/>
      <c r="O220" s="1331"/>
      <c r="P220" s="1323"/>
      <c r="Q220" s="1323"/>
      <c r="R220" s="1323"/>
      <c r="S220" s="1323"/>
      <c r="T220" s="1323"/>
      <c r="U220" s="1323"/>
      <c r="V220" s="1323"/>
    </row>
    <row r="221" spans="2:22" outlineLevel="1" x14ac:dyDescent="0.2">
      <c r="B221" s="1323"/>
      <c r="C221" s="1323"/>
      <c r="D221" s="365"/>
      <c r="E221" s="365"/>
      <c r="F221" s="1325"/>
      <c r="G221" s="1325"/>
      <c r="H221" s="1325"/>
      <c r="I221" s="1325"/>
      <c r="J221" s="1325"/>
      <c r="K221" s="1325"/>
      <c r="L221" s="1325"/>
      <c r="M221" s="1325"/>
      <c r="N221" s="365"/>
      <c r="O221" s="1331"/>
      <c r="P221" s="1323"/>
      <c r="Q221" s="1323"/>
      <c r="R221" s="1323"/>
      <c r="S221" s="1323"/>
      <c r="T221" s="1323"/>
      <c r="U221" s="1323"/>
      <c r="V221" s="1323"/>
    </row>
    <row r="222" spans="2:22" outlineLevel="1" x14ac:dyDescent="0.2">
      <c r="B222" s="1323"/>
      <c r="C222" s="1323"/>
      <c r="D222" s="365"/>
      <c r="E222" s="365"/>
      <c r="F222" s="1325"/>
      <c r="G222" s="1325"/>
      <c r="H222" s="1325"/>
      <c r="I222" s="1325"/>
      <c r="J222" s="1325"/>
      <c r="K222" s="1325"/>
      <c r="L222" s="1325"/>
      <c r="M222" s="1325"/>
      <c r="N222" s="365"/>
      <c r="O222" s="1331"/>
      <c r="P222" s="1323"/>
      <c r="Q222" s="1323"/>
      <c r="R222" s="1323"/>
      <c r="S222" s="1323"/>
      <c r="T222" s="1323"/>
      <c r="U222" s="1323"/>
      <c r="V222" s="1323"/>
    </row>
    <row r="223" spans="2:22" outlineLevel="1" x14ac:dyDescent="0.2">
      <c r="B223" s="1323"/>
      <c r="C223" s="1323"/>
      <c r="D223" s="365"/>
      <c r="E223" s="365"/>
      <c r="F223" s="1325"/>
      <c r="G223" s="1325"/>
      <c r="H223" s="1325"/>
      <c r="I223" s="1325"/>
      <c r="J223" s="1325"/>
      <c r="K223" s="1325"/>
      <c r="L223" s="1325"/>
      <c r="M223" s="1325"/>
      <c r="N223" s="365"/>
      <c r="O223" s="1331"/>
      <c r="P223" s="1323"/>
      <c r="Q223" s="1323"/>
      <c r="R223" s="1323"/>
      <c r="S223" s="1323"/>
      <c r="T223" s="1323"/>
      <c r="U223" s="1323"/>
      <c r="V223" s="1323"/>
    </row>
    <row r="224" spans="2:22" outlineLevel="1" x14ac:dyDescent="0.2">
      <c r="B224" s="1323"/>
      <c r="C224" s="1323"/>
      <c r="D224" s="365"/>
      <c r="E224" s="365"/>
      <c r="F224" s="1325"/>
      <c r="G224" s="1325"/>
      <c r="H224" s="1325"/>
      <c r="I224" s="1325"/>
      <c r="J224" s="1325"/>
      <c r="K224" s="1325"/>
      <c r="L224" s="1325"/>
      <c r="M224" s="1325"/>
      <c r="N224" s="365"/>
      <c r="O224" s="1331"/>
      <c r="P224" s="1323"/>
      <c r="Q224" s="1323"/>
      <c r="R224" s="1323"/>
      <c r="S224" s="1323"/>
      <c r="T224" s="1323"/>
      <c r="U224" s="1323"/>
      <c r="V224" s="1323"/>
    </row>
    <row r="225" spans="2:22" outlineLevel="1" x14ac:dyDescent="0.2">
      <c r="B225" s="1323"/>
      <c r="C225" s="1323"/>
      <c r="D225" s="365"/>
      <c r="E225" s="365"/>
      <c r="F225" s="1325"/>
      <c r="G225" s="1325"/>
      <c r="H225" s="1325"/>
      <c r="I225" s="1325"/>
      <c r="J225" s="1325"/>
      <c r="K225" s="1325"/>
      <c r="L225" s="1325"/>
      <c r="M225" s="1325"/>
      <c r="N225" s="365"/>
      <c r="O225" s="1331"/>
      <c r="P225" s="1323"/>
      <c r="Q225" s="1323"/>
      <c r="R225" s="1323"/>
      <c r="S225" s="1323"/>
      <c r="T225" s="1323"/>
      <c r="U225" s="1323"/>
      <c r="V225" s="1323"/>
    </row>
    <row r="226" spans="2:22" outlineLevel="1" x14ac:dyDescent="0.2">
      <c r="B226" s="1323"/>
      <c r="C226" s="1323"/>
      <c r="D226" s="365"/>
      <c r="E226" s="365"/>
      <c r="F226" s="1325"/>
      <c r="G226" s="1325"/>
      <c r="H226" s="1325"/>
      <c r="I226" s="1325"/>
      <c r="J226" s="1325"/>
      <c r="K226" s="1325"/>
      <c r="L226" s="1325"/>
      <c r="M226" s="1325"/>
      <c r="N226" s="365"/>
      <c r="O226" s="1331"/>
      <c r="P226" s="1323"/>
      <c r="Q226" s="1323"/>
      <c r="R226" s="1323"/>
      <c r="S226" s="1323"/>
      <c r="T226" s="1323"/>
      <c r="U226" s="1323"/>
      <c r="V226" s="1323"/>
    </row>
    <row r="227" spans="2:22" outlineLevel="1" x14ac:dyDescent="0.2">
      <c r="B227" s="1323"/>
      <c r="C227" s="1323"/>
      <c r="D227" s="365"/>
      <c r="E227" s="365"/>
      <c r="F227" s="1325"/>
      <c r="G227" s="1325"/>
      <c r="H227" s="1325"/>
      <c r="I227" s="1325"/>
      <c r="J227" s="1325"/>
      <c r="K227" s="1325"/>
      <c r="L227" s="1325"/>
      <c r="M227" s="1325"/>
      <c r="N227" s="365"/>
      <c r="O227" s="1331"/>
      <c r="P227" s="1323"/>
      <c r="Q227" s="1323"/>
      <c r="R227" s="1323"/>
      <c r="S227" s="1323"/>
      <c r="T227" s="1323"/>
      <c r="U227" s="1323"/>
      <c r="V227" s="1323"/>
    </row>
    <row r="228" spans="2:22" outlineLevel="1" x14ac:dyDescent="0.2">
      <c r="B228" s="1323"/>
      <c r="C228" s="1323"/>
      <c r="D228" s="365"/>
      <c r="E228" s="365"/>
      <c r="F228" s="1325"/>
      <c r="G228" s="1325"/>
      <c r="H228" s="1325"/>
      <c r="I228" s="1325"/>
      <c r="J228" s="1325"/>
      <c r="K228" s="1325"/>
      <c r="L228" s="1325"/>
      <c r="M228" s="1325"/>
      <c r="N228" s="365"/>
      <c r="O228" s="1331"/>
      <c r="P228" s="1323"/>
      <c r="Q228" s="1323"/>
      <c r="R228" s="1323"/>
      <c r="S228" s="1323"/>
      <c r="T228" s="1323"/>
      <c r="U228" s="1323"/>
      <c r="V228" s="1323"/>
    </row>
    <row r="229" spans="2:22" outlineLevel="1" x14ac:dyDescent="0.2">
      <c r="B229" s="1323"/>
      <c r="C229" s="1323"/>
      <c r="D229" s="365"/>
      <c r="E229" s="365"/>
      <c r="F229" s="1325"/>
      <c r="G229" s="1325"/>
      <c r="H229" s="1325"/>
      <c r="I229" s="1325"/>
      <c r="J229" s="1325"/>
      <c r="K229" s="1325"/>
      <c r="L229" s="1325"/>
      <c r="M229" s="1325"/>
      <c r="N229" s="365"/>
      <c r="O229" s="1331"/>
      <c r="P229" s="1323"/>
      <c r="Q229" s="1323"/>
      <c r="R229" s="1323"/>
      <c r="S229" s="1323"/>
      <c r="T229" s="1323"/>
      <c r="U229" s="1323"/>
      <c r="V229" s="1323"/>
    </row>
    <row r="230" spans="2:22" outlineLevel="1" x14ac:dyDescent="0.2">
      <c r="B230" s="1323"/>
      <c r="C230" s="1323"/>
      <c r="D230" s="365"/>
      <c r="E230" s="365"/>
      <c r="F230" s="1325"/>
      <c r="G230" s="1325"/>
      <c r="H230" s="1325"/>
      <c r="I230" s="1325"/>
      <c r="J230" s="1325"/>
      <c r="K230" s="1325"/>
      <c r="L230" s="1325"/>
      <c r="M230" s="1325"/>
      <c r="N230" s="365"/>
      <c r="O230" s="1331"/>
      <c r="P230" s="1323"/>
      <c r="Q230" s="1323"/>
      <c r="R230" s="1323"/>
      <c r="S230" s="1323"/>
      <c r="T230" s="1323"/>
      <c r="U230" s="1323"/>
      <c r="V230" s="1323"/>
    </row>
    <row r="231" spans="2:22" outlineLevel="1" x14ac:dyDescent="0.2">
      <c r="B231" s="1323"/>
      <c r="C231" s="1323"/>
      <c r="D231" s="365"/>
      <c r="E231" s="365"/>
      <c r="F231" s="1325"/>
      <c r="G231" s="1325"/>
      <c r="H231" s="1325"/>
      <c r="I231" s="1325"/>
      <c r="J231" s="1325"/>
      <c r="K231" s="1325"/>
      <c r="L231" s="1325"/>
      <c r="M231" s="1325"/>
      <c r="N231" s="365"/>
      <c r="O231" s="1331"/>
      <c r="P231" s="1323"/>
      <c r="Q231" s="1323"/>
      <c r="R231" s="1323"/>
      <c r="S231" s="1323"/>
      <c r="T231" s="1323"/>
      <c r="U231" s="1323"/>
      <c r="V231" s="1323"/>
    </row>
    <row r="232" spans="2:22" outlineLevel="1" x14ac:dyDescent="0.2">
      <c r="B232" s="1323"/>
      <c r="C232" s="1323"/>
      <c r="D232" s="365"/>
      <c r="E232" s="365"/>
      <c r="F232" s="1325"/>
      <c r="G232" s="1325"/>
      <c r="H232" s="1325"/>
      <c r="I232" s="1325"/>
      <c r="J232" s="1325"/>
      <c r="K232" s="1325"/>
      <c r="L232" s="1325"/>
      <c r="M232" s="1325"/>
      <c r="N232" s="365"/>
      <c r="O232" s="1331"/>
      <c r="P232" s="1323"/>
      <c r="Q232" s="1323"/>
      <c r="R232" s="1323"/>
      <c r="S232" s="1323"/>
      <c r="T232" s="1323"/>
      <c r="U232" s="1323"/>
      <c r="V232" s="1323"/>
    </row>
    <row r="233" spans="2:22" outlineLevel="1" x14ac:dyDescent="0.2">
      <c r="B233" s="1323"/>
      <c r="C233" s="1323"/>
      <c r="D233" s="365"/>
      <c r="E233" s="365"/>
      <c r="F233" s="1325"/>
      <c r="G233" s="1325"/>
      <c r="H233" s="1325"/>
      <c r="I233" s="1325"/>
      <c r="J233" s="1325"/>
      <c r="K233" s="1325"/>
      <c r="L233" s="1325"/>
      <c r="M233" s="1325"/>
      <c r="N233" s="365"/>
      <c r="O233" s="1331"/>
      <c r="P233" s="1323"/>
      <c r="Q233" s="1323"/>
      <c r="R233" s="1323"/>
      <c r="S233" s="1323"/>
      <c r="T233" s="1323"/>
      <c r="U233" s="1323"/>
      <c r="V233" s="1323"/>
    </row>
    <row r="234" spans="2:22" outlineLevel="1" x14ac:dyDescent="0.2">
      <c r="B234" s="1323"/>
      <c r="C234" s="1323"/>
      <c r="D234" s="365"/>
      <c r="E234" s="365"/>
      <c r="F234" s="1325"/>
      <c r="G234" s="1325"/>
      <c r="H234" s="1325"/>
      <c r="I234" s="1325"/>
      <c r="J234" s="1325"/>
      <c r="K234" s="1325"/>
      <c r="L234" s="1325"/>
      <c r="M234" s="1325"/>
      <c r="N234" s="365"/>
      <c r="O234" s="1331"/>
      <c r="P234" s="1323"/>
      <c r="Q234" s="1323"/>
      <c r="R234" s="1323"/>
      <c r="S234" s="1323"/>
      <c r="T234" s="1323"/>
      <c r="U234" s="1323"/>
      <c r="V234" s="1323"/>
    </row>
    <row r="235" spans="2:22" outlineLevel="1" x14ac:dyDescent="0.2">
      <c r="B235" s="1323"/>
      <c r="C235" s="1323"/>
      <c r="D235" s="365"/>
      <c r="E235" s="365"/>
      <c r="F235" s="1325"/>
      <c r="G235" s="1325"/>
      <c r="H235" s="1325"/>
      <c r="I235" s="1325"/>
      <c r="J235" s="1325"/>
      <c r="K235" s="1325"/>
      <c r="L235" s="1325"/>
      <c r="M235" s="1325"/>
      <c r="N235" s="365"/>
      <c r="O235" s="1331"/>
      <c r="P235" s="1323"/>
      <c r="Q235" s="1323"/>
      <c r="R235" s="1323"/>
      <c r="S235" s="1323"/>
      <c r="T235" s="1323"/>
      <c r="U235" s="1323"/>
      <c r="V235" s="1323"/>
    </row>
    <row r="236" spans="2:22" outlineLevel="1" x14ac:dyDescent="0.2">
      <c r="B236" s="1323"/>
      <c r="C236" s="1323"/>
      <c r="D236" s="365"/>
      <c r="E236" s="365"/>
      <c r="F236" s="1325"/>
      <c r="G236" s="1325"/>
      <c r="H236" s="1325"/>
      <c r="I236" s="1325"/>
      <c r="J236" s="1325"/>
      <c r="K236" s="1325"/>
      <c r="L236" s="1325"/>
      <c r="M236" s="1325"/>
      <c r="N236" s="365"/>
      <c r="O236" s="1331"/>
      <c r="P236" s="1323"/>
      <c r="Q236" s="1323"/>
      <c r="R236" s="1323"/>
      <c r="S236" s="1323"/>
      <c r="T236" s="1323"/>
      <c r="U236" s="1323"/>
      <c r="V236" s="1323"/>
    </row>
    <row r="237" spans="2:22" outlineLevel="1" x14ac:dyDescent="0.2">
      <c r="B237" s="1323"/>
      <c r="C237" s="1323"/>
      <c r="D237" s="365"/>
      <c r="E237" s="365"/>
      <c r="F237" s="1325"/>
      <c r="G237" s="1325"/>
      <c r="H237" s="1325"/>
      <c r="I237" s="1325"/>
      <c r="J237" s="1325"/>
      <c r="K237" s="1325"/>
      <c r="L237" s="1325"/>
      <c r="M237" s="1325"/>
      <c r="N237" s="365"/>
      <c r="O237" s="1331"/>
      <c r="P237" s="1323"/>
      <c r="Q237" s="1323"/>
      <c r="R237" s="1323"/>
      <c r="S237" s="1323"/>
      <c r="T237" s="1323"/>
      <c r="U237" s="1323"/>
      <c r="V237" s="1323"/>
    </row>
    <row r="238" spans="2:22" outlineLevel="1" x14ac:dyDescent="0.2">
      <c r="B238" s="1323"/>
      <c r="C238" s="1323"/>
      <c r="D238" s="365"/>
      <c r="E238" s="365"/>
      <c r="F238" s="1325"/>
      <c r="G238" s="1325"/>
      <c r="H238" s="1325"/>
      <c r="I238" s="1325"/>
      <c r="J238" s="1325"/>
      <c r="K238" s="1325"/>
      <c r="L238" s="1325"/>
      <c r="M238" s="1325"/>
      <c r="N238" s="365"/>
      <c r="O238" s="1331"/>
      <c r="P238" s="1323"/>
      <c r="Q238" s="1323"/>
      <c r="R238" s="1323"/>
      <c r="S238" s="1323"/>
      <c r="T238" s="1323"/>
      <c r="U238" s="1323"/>
      <c r="V238" s="1323"/>
    </row>
    <row r="239" spans="2:22" outlineLevel="1" x14ac:dyDescent="0.2">
      <c r="B239" s="1323"/>
      <c r="C239" s="1323"/>
      <c r="D239" s="365"/>
      <c r="E239" s="365"/>
      <c r="F239" s="1325"/>
      <c r="G239" s="1325"/>
      <c r="H239" s="1325"/>
      <c r="I239" s="1325"/>
      <c r="J239" s="1325"/>
      <c r="K239" s="1325"/>
      <c r="L239" s="1325"/>
      <c r="M239" s="1325"/>
      <c r="N239" s="365"/>
      <c r="O239" s="1331"/>
      <c r="P239" s="1323"/>
      <c r="Q239" s="1323"/>
      <c r="R239" s="1323"/>
      <c r="S239" s="1323"/>
      <c r="T239" s="1323"/>
      <c r="U239" s="1323"/>
      <c r="V239" s="1323"/>
    </row>
    <row r="240" spans="2:22" outlineLevel="1" x14ac:dyDescent="0.2">
      <c r="B240" s="1323"/>
      <c r="C240" s="1323"/>
      <c r="D240" s="365"/>
      <c r="E240" s="365"/>
      <c r="F240" s="1325"/>
      <c r="G240" s="1325"/>
      <c r="H240" s="1325"/>
      <c r="I240" s="1325"/>
      <c r="J240" s="1325"/>
      <c r="K240" s="1325"/>
      <c r="L240" s="1325"/>
      <c r="M240" s="1325"/>
      <c r="N240" s="365"/>
      <c r="O240" s="1331"/>
      <c r="P240" s="1323"/>
      <c r="Q240" s="1323"/>
      <c r="R240" s="1323"/>
      <c r="S240" s="1323"/>
      <c r="T240" s="1323"/>
      <c r="U240" s="1323"/>
      <c r="V240" s="1323"/>
    </row>
    <row r="241" spans="2:22" outlineLevel="1" x14ac:dyDescent="0.2">
      <c r="B241" s="219" t="s">
        <v>2187</v>
      </c>
      <c r="C241" s="1323"/>
      <c r="D241" s="365"/>
      <c r="E241" s="365"/>
      <c r="F241" s="1325"/>
      <c r="G241" s="1325"/>
      <c r="H241" s="1325"/>
      <c r="I241" s="1325"/>
      <c r="J241" s="1325"/>
      <c r="K241" s="1325"/>
      <c r="L241" s="1325"/>
      <c r="M241" s="1325"/>
      <c r="N241" s="365"/>
      <c r="O241" s="1331"/>
      <c r="P241" s="1323"/>
      <c r="Q241" s="1323"/>
      <c r="R241" s="1323"/>
      <c r="S241" s="1323"/>
      <c r="T241" s="1323"/>
      <c r="U241" s="1323"/>
      <c r="V241" s="1323"/>
    </row>
    <row r="242" spans="2:22" outlineLevel="1" x14ac:dyDescent="0.2">
      <c r="B242" s="1323"/>
      <c r="C242" s="1323"/>
      <c r="D242" s="365"/>
      <c r="E242" s="365"/>
      <c r="F242" s="1325"/>
      <c r="G242" s="1325"/>
      <c r="H242" s="1325"/>
      <c r="I242" s="1325"/>
      <c r="J242" s="1325"/>
      <c r="K242" s="1325"/>
      <c r="L242" s="1325"/>
      <c r="M242" s="1325"/>
      <c r="N242" s="365"/>
      <c r="O242" s="1331"/>
      <c r="P242" s="1323"/>
      <c r="Q242" s="1323"/>
      <c r="R242" s="1323"/>
      <c r="S242" s="1323"/>
      <c r="T242" s="1323"/>
      <c r="U242" s="1323"/>
      <c r="V242" s="1323"/>
    </row>
    <row r="243" spans="2:22" outlineLevel="1" x14ac:dyDescent="0.2">
      <c r="B243" s="1323"/>
      <c r="C243" s="1323"/>
      <c r="D243" s="365"/>
      <c r="E243" s="365"/>
      <c r="F243" s="1325"/>
      <c r="G243" s="1325"/>
      <c r="H243" s="1325"/>
      <c r="I243" s="1325"/>
      <c r="J243" s="1325"/>
      <c r="K243" s="1325"/>
      <c r="L243" s="1325"/>
      <c r="M243" s="1325"/>
      <c r="N243" s="365"/>
      <c r="O243" s="1331"/>
      <c r="P243" s="1323"/>
      <c r="Q243" s="1323"/>
      <c r="R243" s="1323"/>
      <c r="S243" s="1323"/>
      <c r="T243" s="1323"/>
      <c r="U243" s="1323"/>
      <c r="V243" s="1323"/>
    </row>
    <row r="244" spans="2:22" ht="20" outlineLevel="1" x14ac:dyDescent="0.2">
      <c r="B244" s="2259" t="s">
        <v>2297</v>
      </c>
      <c r="G244" s="1325"/>
      <c r="H244" s="1325"/>
      <c r="I244" s="1325"/>
      <c r="J244" s="1325"/>
      <c r="K244" s="1325"/>
      <c r="L244" s="1325"/>
      <c r="M244" s="1325"/>
      <c r="N244" s="365"/>
      <c r="O244" s="1331"/>
      <c r="P244" s="1323"/>
      <c r="Q244" s="1323"/>
      <c r="R244" s="1323"/>
      <c r="S244" s="1323"/>
      <c r="T244" s="1323"/>
      <c r="U244" s="1323"/>
      <c r="V244" s="1323"/>
    </row>
    <row r="245" spans="2:22" outlineLevel="1" x14ac:dyDescent="0.2">
      <c r="B245" s="1317"/>
      <c r="G245" s="1325"/>
      <c r="H245" s="1325"/>
      <c r="I245" s="1325"/>
      <c r="J245" s="1325"/>
      <c r="K245" s="1325"/>
      <c r="L245" s="1325"/>
      <c r="M245" s="1325"/>
      <c r="N245" s="365"/>
      <c r="O245" s="1331"/>
      <c r="P245" s="1323"/>
      <c r="Q245" s="1323"/>
      <c r="R245" s="1323"/>
      <c r="S245" s="1323"/>
      <c r="T245" s="1323"/>
      <c r="U245" s="1323"/>
      <c r="V245" s="1323"/>
    </row>
    <row r="246" spans="2:22" ht="27" customHeight="1" outlineLevel="1" x14ac:dyDescent="0.2">
      <c r="B246" s="50" t="s">
        <v>124</v>
      </c>
      <c r="C246" s="50" t="s">
        <v>635</v>
      </c>
      <c r="D246" s="50" t="s">
        <v>1109</v>
      </c>
      <c r="E246" s="50" t="s">
        <v>59</v>
      </c>
      <c r="F246" s="50" t="s">
        <v>125</v>
      </c>
      <c r="G246" s="1325"/>
      <c r="H246" s="1325"/>
      <c r="I246" s="1325"/>
      <c r="J246" s="1325"/>
      <c r="K246" s="1325"/>
      <c r="L246" s="1325"/>
      <c r="M246" s="1325"/>
      <c r="N246" s="365"/>
      <c r="O246" s="1331"/>
      <c r="P246" s="1323"/>
      <c r="Q246" s="1323"/>
      <c r="R246" s="1323"/>
      <c r="S246" s="1323"/>
      <c r="T246" s="1323"/>
      <c r="U246" s="1323"/>
      <c r="V246" s="1323"/>
    </row>
    <row r="247" spans="2:22" ht="27" customHeight="1" outlineLevel="1" x14ac:dyDescent="0.2">
      <c r="B247" s="87" t="s">
        <v>2290</v>
      </c>
      <c r="C247" s="76" t="s">
        <v>2291</v>
      </c>
      <c r="D247" s="81">
        <f>0.0983</f>
        <v>9.8299999999999998E-2</v>
      </c>
      <c r="E247" s="2258" t="s">
        <v>1213</v>
      </c>
      <c r="F247" s="87" t="s">
        <v>2292</v>
      </c>
      <c r="G247" s="1325"/>
      <c r="H247" s="1325"/>
      <c r="I247" s="1325"/>
      <c r="J247" s="1325"/>
      <c r="K247" s="1325"/>
      <c r="L247" s="1325"/>
      <c r="M247" s="1325"/>
      <c r="N247" s="365"/>
      <c r="O247" s="1331"/>
      <c r="P247" s="1323"/>
      <c r="Q247" s="1323"/>
      <c r="R247" s="1323"/>
      <c r="S247" s="1323"/>
      <c r="T247" s="1323"/>
      <c r="U247" s="1323"/>
      <c r="V247" s="1323"/>
    </row>
    <row r="248" spans="2:22" ht="27" customHeight="1" outlineLevel="1" x14ac:dyDescent="0.2">
      <c r="B248" s="87" t="s">
        <v>2293</v>
      </c>
      <c r="C248" s="76" t="s">
        <v>2294</v>
      </c>
      <c r="D248" s="81">
        <f>0.0622</f>
        <v>6.2199999999999998E-2</v>
      </c>
      <c r="E248" s="89" t="s">
        <v>1213</v>
      </c>
      <c r="F248" s="87" t="s">
        <v>2292</v>
      </c>
      <c r="G248" s="1325"/>
      <c r="H248" s="1325"/>
      <c r="I248" s="1325"/>
      <c r="J248" s="1325"/>
      <c r="K248" s="1325"/>
      <c r="L248" s="1325"/>
      <c r="M248" s="1325"/>
      <c r="N248" s="365"/>
      <c r="O248" s="1331"/>
      <c r="P248" s="1323"/>
      <c r="Q248" s="1323"/>
      <c r="R248" s="1323"/>
      <c r="S248" s="1323"/>
      <c r="T248" s="1323"/>
      <c r="U248" s="1323"/>
      <c r="V248" s="1323"/>
    </row>
    <row r="249" spans="2:22" ht="27" customHeight="1" outlineLevel="1" x14ac:dyDescent="0.2">
      <c r="B249" s="87" t="s">
        <v>2295</v>
      </c>
      <c r="C249" s="76" t="s">
        <v>2296</v>
      </c>
      <c r="D249" s="81">
        <f>0.0414</f>
        <v>4.1399999999999999E-2</v>
      </c>
      <c r="E249" s="2258" t="s">
        <v>1213</v>
      </c>
      <c r="F249" s="87" t="s">
        <v>2292</v>
      </c>
      <c r="G249" s="1325"/>
      <c r="H249" s="1325"/>
      <c r="I249" s="1325"/>
      <c r="J249" s="1325"/>
      <c r="K249" s="1325"/>
      <c r="L249" s="1325"/>
      <c r="M249" s="1325"/>
      <c r="N249" s="365"/>
      <c r="O249" s="1331"/>
      <c r="P249" s="1323"/>
      <c r="Q249" s="1323"/>
      <c r="R249" s="1323"/>
      <c r="S249" s="1323"/>
      <c r="T249" s="1323"/>
      <c r="U249" s="1323"/>
      <c r="V249" s="1323"/>
    </row>
    <row r="250" spans="2:22" ht="27" customHeight="1" outlineLevel="1" x14ac:dyDescent="0.2">
      <c r="B250" s="87" t="s">
        <v>130</v>
      </c>
      <c r="C250" s="76" t="s">
        <v>250</v>
      </c>
      <c r="D250" s="81">
        <f>0.052</f>
        <v>5.1999999999999998E-2</v>
      </c>
      <c r="E250" s="2258" t="s">
        <v>131</v>
      </c>
      <c r="F250" s="87" t="s">
        <v>132</v>
      </c>
      <c r="G250" s="1325"/>
      <c r="H250" s="1325"/>
      <c r="I250" s="1325"/>
      <c r="J250" s="1325"/>
      <c r="K250" s="1325"/>
      <c r="L250" s="1325"/>
      <c r="M250" s="1325"/>
      <c r="N250" s="365"/>
      <c r="O250" s="1331"/>
      <c r="P250" s="1323"/>
      <c r="Q250" s="1323"/>
      <c r="R250" s="1323"/>
      <c r="S250" s="1323"/>
      <c r="T250" s="1323"/>
      <c r="U250" s="1323"/>
      <c r="V250" s="1323"/>
    </row>
    <row r="251" spans="2:22" outlineLevel="1" x14ac:dyDescent="0.2">
      <c r="B251" s="1323"/>
      <c r="C251" s="1323"/>
      <c r="D251" s="365"/>
      <c r="E251" s="365"/>
      <c r="F251" s="1325"/>
      <c r="G251" s="1325"/>
      <c r="H251" s="1325"/>
      <c r="I251" s="1325"/>
      <c r="J251" s="1325"/>
      <c r="K251" s="1325"/>
      <c r="L251" s="1325"/>
      <c r="M251" s="1325"/>
      <c r="N251" s="365"/>
      <c r="O251" s="1331"/>
      <c r="P251" s="1323"/>
      <c r="Q251" s="1323"/>
      <c r="R251" s="1323"/>
      <c r="S251" s="1323"/>
      <c r="T251" s="1323"/>
      <c r="U251" s="1323"/>
      <c r="V251" s="1323"/>
    </row>
    <row r="252" spans="2:22" outlineLevel="1" x14ac:dyDescent="0.2">
      <c r="B252" s="1323"/>
      <c r="C252" s="1323"/>
      <c r="D252" s="365"/>
      <c r="E252" s="365"/>
      <c r="F252" s="1325"/>
      <c r="G252" s="1325"/>
      <c r="H252" s="1325"/>
      <c r="I252" s="1325"/>
      <c r="J252" s="1325"/>
      <c r="K252" s="1325"/>
      <c r="L252" s="1325"/>
      <c r="M252" s="1325"/>
      <c r="N252" s="365"/>
      <c r="O252" s="1331"/>
      <c r="P252" s="1323"/>
      <c r="Q252" s="1323"/>
      <c r="R252" s="1323"/>
      <c r="S252" s="1323"/>
      <c r="T252" s="1323"/>
      <c r="U252" s="1323"/>
      <c r="V252" s="1323"/>
    </row>
    <row r="253" spans="2:22" x14ac:dyDescent="0.2">
      <c r="B253" s="1323"/>
      <c r="C253" s="1323"/>
      <c r="D253" s="365"/>
      <c r="E253" s="365"/>
      <c r="F253" s="1325"/>
      <c r="G253" s="1325"/>
      <c r="H253" s="1325"/>
      <c r="I253" s="1325"/>
      <c r="J253" s="1325"/>
      <c r="K253" s="1325"/>
      <c r="L253" s="1325"/>
      <c r="M253" s="1325"/>
      <c r="N253" s="365"/>
      <c r="O253" s="1331"/>
      <c r="P253" s="1323"/>
      <c r="Q253" s="1323"/>
      <c r="R253" s="1323"/>
      <c r="S253" s="1323"/>
      <c r="T253" s="1323"/>
      <c r="U253" s="1323"/>
      <c r="V253" s="1323"/>
    </row>
    <row r="254" spans="2:22" x14ac:dyDescent="0.2">
      <c r="B254" s="1323"/>
      <c r="C254" s="1323"/>
      <c r="D254" s="365"/>
      <c r="E254" s="365"/>
      <c r="F254" s="1325"/>
      <c r="G254" s="1325"/>
      <c r="H254" s="1325"/>
      <c r="I254" s="1325"/>
      <c r="J254" s="1325"/>
      <c r="K254" s="1325"/>
      <c r="L254" s="1325"/>
      <c r="M254" s="1325"/>
      <c r="N254" s="365"/>
      <c r="O254" s="1331"/>
      <c r="P254" s="1323"/>
      <c r="Q254" s="1323"/>
      <c r="R254" s="1323"/>
      <c r="S254" s="1323"/>
      <c r="T254" s="1323"/>
      <c r="U254" s="1323"/>
      <c r="V254" s="1323"/>
    </row>
    <row r="255" spans="2:22" x14ac:dyDescent="0.2">
      <c r="B255" s="1323"/>
      <c r="C255" s="1323"/>
      <c r="D255" s="365"/>
      <c r="E255" s="365"/>
      <c r="F255" s="1325"/>
      <c r="G255" s="1325"/>
      <c r="H255" s="1325"/>
      <c r="I255" s="1325"/>
      <c r="J255" s="1325"/>
      <c r="K255" s="1325"/>
      <c r="L255" s="1325"/>
      <c r="M255" s="1325"/>
      <c r="N255" s="365"/>
      <c r="O255" s="1331"/>
      <c r="P255" s="1323"/>
      <c r="Q255" s="1323"/>
      <c r="R255" s="1323"/>
      <c r="S255" s="1323"/>
      <c r="T255" s="1323"/>
      <c r="U255" s="1323"/>
      <c r="V255" s="1323"/>
    </row>
    <row r="256" spans="2:22" x14ac:dyDescent="0.2">
      <c r="B256" s="1323"/>
      <c r="C256" s="1323"/>
      <c r="D256" s="365"/>
      <c r="E256" s="365"/>
      <c r="F256" s="1325"/>
      <c r="G256" s="1325"/>
      <c r="H256" s="1325"/>
      <c r="I256" s="1325"/>
      <c r="J256" s="1325"/>
      <c r="K256" s="1325"/>
      <c r="L256" s="1325"/>
      <c r="M256" s="1325"/>
      <c r="N256" s="365"/>
      <c r="O256" s="1331"/>
      <c r="P256" s="1323"/>
      <c r="Q256" s="1323"/>
      <c r="R256" s="1323"/>
      <c r="S256" s="1323"/>
      <c r="T256" s="1323"/>
      <c r="U256" s="1323"/>
      <c r="V256" s="1323"/>
    </row>
    <row r="257" spans="2:22" x14ac:dyDescent="0.2">
      <c r="B257" s="1323"/>
      <c r="C257" s="1323"/>
      <c r="D257" s="365"/>
      <c r="E257" s="365"/>
      <c r="F257" s="1325"/>
      <c r="G257" s="1325"/>
      <c r="H257" s="1325"/>
      <c r="I257" s="1325"/>
      <c r="J257" s="1325"/>
      <c r="K257" s="1325"/>
      <c r="L257" s="1325"/>
      <c r="M257" s="1325"/>
      <c r="N257" s="365"/>
      <c r="O257" s="1331"/>
      <c r="P257" s="1323"/>
      <c r="Q257" s="1323"/>
      <c r="R257" s="1323"/>
      <c r="S257" s="1323"/>
      <c r="T257" s="1323"/>
      <c r="U257" s="1323"/>
      <c r="V257" s="1323"/>
    </row>
    <row r="258" spans="2:22" x14ac:dyDescent="0.2">
      <c r="B258" s="1323"/>
      <c r="C258" s="1323"/>
      <c r="D258" s="365"/>
      <c r="E258" s="365"/>
      <c r="F258" s="1325"/>
      <c r="G258" s="1325"/>
      <c r="H258" s="1325"/>
      <c r="I258" s="1325"/>
      <c r="J258" s="1325"/>
      <c r="K258" s="1325"/>
      <c r="L258" s="1325"/>
      <c r="M258" s="1325"/>
      <c r="N258" s="365"/>
      <c r="O258" s="1331"/>
      <c r="P258" s="1323"/>
      <c r="Q258" s="1323"/>
      <c r="R258" s="1323"/>
      <c r="S258" s="1323"/>
      <c r="T258" s="1323"/>
      <c r="U258" s="1323"/>
      <c r="V258" s="1323"/>
    </row>
    <row r="259" spans="2:22" x14ac:dyDescent="0.2">
      <c r="B259" s="1323"/>
      <c r="C259" s="1323"/>
      <c r="D259" s="365"/>
      <c r="E259" s="365"/>
      <c r="F259" s="1325"/>
      <c r="G259" s="1325"/>
      <c r="H259" s="1325"/>
      <c r="I259" s="1325"/>
      <c r="J259" s="1325"/>
      <c r="K259" s="1325"/>
      <c r="L259" s="1325"/>
      <c r="M259" s="1325"/>
      <c r="N259" s="365"/>
      <c r="O259" s="1331"/>
      <c r="P259" s="1323"/>
      <c r="Q259" s="1323"/>
      <c r="R259" s="1323"/>
      <c r="S259" s="1323"/>
      <c r="T259" s="1323"/>
      <c r="U259" s="1323"/>
      <c r="V259" s="1323"/>
    </row>
    <row r="260" spans="2:22" x14ac:dyDescent="0.2">
      <c r="B260" s="1323"/>
      <c r="C260" s="1323"/>
      <c r="D260" s="365"/>
      <c r="E260" s="365"/>
      <c r="F260" s="1325"/>
      <c r="G260" s="1325"/>
      <c r="H260" s="1325"/>
      <c r="I260" s="1325"/>
      <c r="J260" s="1325"/>
      <c r="K260" s="1325"/>
      <c r="L260" s="1325"/>
      <c r="M260" s="1325"/>
      <c r="N260" s="365"/>
      <c r="O260" s="1331"/>
      <c r="P260" s="1323"/>
      <c r="Q260" s="1323"/>
      <c r="R260" s="1323"/>
      <c r="S260" s="1323"/>
      <c r="T260" s="1323"/>
      <c r="U260" s="1323"/>
      <c r="V260" s="1323"/>
    </row>
    <row r="261" spans="2:22" x14ac:dyDescent="0.2">
      <c r="B261" s="1323"/>
      <c r="C261" s="1323"/>
      <c r="D261" s="365"/>
      <c r="E261" s="365"/>
      <c r="F261" s="1325"/>
      <c r="G261" s="1325"/>
      <c r="H261" s="1325"/>
      <c r="I261" s="1325"/>
      <c r="J261" s="1325"/>
      <c r="K261" s="1325"/>
      <c r="L261" s="1325"/>
      <c r="M261" s="1325"/>
      <c r="N261" s="365"/>
      <c r="O261" s="1331"/>
      <c r="P261" s="1323"/>
      <c r="Q261" s="1323"/>
      <c r="R261" s="1323"/>
      <c r="S261" s="1323"/>
      <c r="T261" s="1323"/>
      <c r="U261" s="1323"/>
      <c r="V261" s="1323"/>
    </row>
    <row r="262" spans="2:22" x14ac:dyDescent="0.2">
      <c r="B262" s="1323"/>
      <c r="C262" s="1323"/>
      <c r="D262" s="365"/>
      <c r="E262" s="365"/>
      <c r="F262" s="1325"/>
      <c r="G262" s="1325"/>
      <c r="H262" s="1325"/>
      <c r="I262" s="1325"/>
      <c r="J262" s="1325"/>
      <c r="K262" s="1325"/>
      <c r="L262" s="1325"/>
      <c r="M262" s="1325"/>
      <c r="N262" s="365"/>
      <c r="O262" s="1331"/>
      <c r="P262" s="1323"/>
      <c r="Q262" s="1323"/>
      <c r="R262" s="1323"/>
      <c r="S262" s="1323"/>
      <c r="T262" s="1323"/>
      <c r="U262" s="1323"/>
      <c r="V262" s="1323"/>
    </row>
    <row r="263" spans="2:22" x14ac:dyDescent="0.2">
      <c r="B263" s="1323"/>
      <c r="C263" s="1323"/>
      <c r="D263" s="365"/>
      <c r="E263" s="365"/>
      <c r="F263" s="1325"/>
      <c r="G263" s="1325"/>
      <c r="H263" s="1325"/>
      <c r="I263" s="1325"/>
      <c r="J263" s="1325"/>
      <c r="K263" s="1325"/>
      <c r="L263" s="1325"/>
      <c r="M263" s="1325"/>
      <c r="N263" s="365"/>
      <c r="O263" s="1331"/>
      <c r="P263" s="1323"/>
      <c r="Q263" s="1323"/>
      <c r="R263" s="1323"/>
      <c r="S263" s="1323"/>
      <c r="T263" s="1323"/>
      <c r="U263" s="1323"/>
      <c r="V263" s="1323"/>
    </row>
    <row r="264" spans="2:22" x14ac:dyDescent="0.2">
      <c r="B264" s="1323"/>
      <c r="C264" s="1323"/>
      <c r="D264" s="365"/>
      <c r="E264" s="365"/>
      <c r="F264" s="1325"/>
      <c r="G264" s="1325"/>
      <c r="H264" s="1325"/>
      <c r="I264" s="1325"/>
      <c r="J264" s="1325"/>
      <c r="K264" s="1325"/>
      <c r="L264" s="1325"/>
      <c r="M264" s="1325"/>
      <c r="N264" s="365"/>
      <c r="O264" s="1331"/>
      <c r="P264" s="1323"/>
      <c r="Q264" s="1323"/>
      <c r="R264" s="1323"/>
      <c r="S264" s="1323"/>
      <c r="T264" s="1323"/>
      <c r="U264" s="1323"/>
      <c r="V264" s="1323"/>
    </row>
    <row r="265" spans="2:22" x14ac:dyDescent="0.2">
      <c r="B265" s="1323"/>
      <c r="C265" s="1323"/>
      <c r="D265" s="365"/>
      <c r="E265" s="365"/>
      <c r="F265" s="1325"/>
      <c r="G265" s="1325"/>
      <c r="H265" s="1325"/>
      <c r="I265" s="1325"/>
      <c r="J265" s="1325"/>
      <c r="K265" s="1325"/>
      <c r="L265" s="1325"/>
      <c r="M265" s="1325"/>
      <c r="N265" s="365"/>
      <c r="O265" s="1331"/>
      <c r="P265" s="1323"/>
      <c r="Q265" s="1323"/>
      <c r="R265" s="1323"/>
      <c r="S265" s="1323"/>
      <c r="T265" s="1323"/>
      <c r="U265" s="1323"/>
      <c r="V265" s="1323"/>
    </row>
    <row r="266" spans="2:22" x14ac:dyDescent="0.2">
      <c r="B266" s="1323"/>
      <c r="C266" s="1323"/>
      <c r="D266" s="365"/>
      <c r="E266" s="365"/>
      <c r="F266" s="1325"/>
      <c r="G266" s="1325"/>
      <c r="H266" s="1325"/>
      <c r="I266" s="1325"/>
      <c r="J266" s="1325"/>
      <c r="K266" s="1325"/>
      <c r="L266" s="1325"/>
      <c r="M266" s="1325"/>
      <c r="N266" s="365"/>
      <c r="O266" s="1331"/>
      <c r="P266" s="1323"/>
      <c r="Q266" s="1323"/>
      <c r="R266" s="1323"/>
      <c r="S266" s="1323"/>
      <c r="T266" s="1323"/>
      <c r="U266" s="1323"/>
      <c r="V266" s="1323"/>
    </row>
    <row r="267" spans="2:22" x14ac:dyDescent="0.2">
      <c r="B267" s="1323"/>
      <c r="C267" s="1323"/>
      <c r="D267" s="365"/>
      <c r="E267" s="365"/>
      <c r="F267" s="1325"/>
      <c r="G267" s="1325"/>
      <c r="H267" s="1325"/>
      <c r="I267" s="1325"/>
      <c r="J267" s="1325"/>
      <c r="K267" s="1325"/>
      <c r="L267" s="1325"/>
      <c r="M267" s="1325"/>
      <c r="N267" s="365"/>
      <c r="O267" s="1331"/>
      <c r="P267" s="1323"/>
      <c r="Q267" s="1323"/>
      <c r="R267" s="1323"/>
      <c r="S267" s="1323"/>
      <c r="T267" s="1323"/>
      <c r="U267" s="1323"/>
      <c r="V267" s="1323"/>
    </row>
    <row r="268" spans="2:22" x14ac:dyDescent="0.2">
      <c r="B268" s="1323"/>
      <c r="C268" s="1323"/>
      <c r="D268" s="365"/>
      <c r="E268" s="365"/>
      <c r="F268" s="1325"/>
      <c r="G268" s="1325"/>
      <c r="H268" s="1325"/>
      <c r="I268" s="1325"/>
      <c r="J268" s="1325"/>
      <c r="K268" s="1325"/>
      <c r="L268" s="1325"/>
      <c r="M268" s="1325"/>
      <c r="N268" s="365"/>
      <c r="O268" s="1331"/>
      <c r="P268" s="1323"/>
      <c r="Q268" s="1323"/>
      <c r="R268" s="1323"/>
      <c r="S268" s="1323"/>
      <c r="T268" s="1323"/>
      <c r="U268" s="1323"/>
      <c r="V268" s="1323"/>
    </row>
    <row r="269" spans="2:22" x14ac:dyDescent="0.2">
      <c r="B269" s="1323"/>
      <c r="C269" s="1323"/>
      <c r="D269" s="365"/>
      <c r="E269" s="365"/>
      <c r="F269" s="1325"/>
      <c r="G269" s="1325"/>
      <c r="H269" s="1325"/>
      <c r="I269" s="1325"/>
      <c r="J269" s="1325"/>
      <c r="K269" s="1325"/>
      <c r="L269" s="1325"/>
      <c r="M269" s="1325"/>
      <c r="N269" s="365"/>
      <c r="O269" s="1331"/>
      <c r="P269" s="1323"/>
      <c r="Q269" s="1323"/>
      <c r="R269" s="1323"/>
      <c r="S269" s="1323"/>
      <c r="T269" s="1323"/>
      <c r="U269" s="1323"/>
      <c r="V269" s="1323"/>
    </row>
    <row r="270" spans="2:22" x14ac:dyDescent="0.2">
      <c r="B270" s="1323"/>
      <c r="C270" s="1323"/>
      <c r="D270" s="365"/>
      <c r="E270" s="365"/>
      <c r="F270" s="1325"/>
      <c r="G270" s="1325"/>
      <c r="H270" s="1325"/>
      <c r="I270" s="1325"/>
      <c r="J270" s="1325"/>
      <c r="K270" s="1325"/>
      <c r="L270" s="1325"/>
      <c r="M270" s="1325"/>
      <c r="N270" s="365"/>
      <c r="O270" s="1331"/>
      <c r="P270" s="1323"/>
      <c r="Q270" s="1323"/>
      <c r="R270" s="1323"/>
      <c r="S270" s="1323"/>
      <c r="T270" s="1323"/>
      <c r="U270" s="1323"/>
      <c r="V270" s="1323"/>
    </row>
    <row r="271" spans="2:22" x14ac:dyDescent="0.2">
      <c r="B271" s="1323"/>
      <c r="C271" s="1323"/>
      <c r="D271" s="365"/>
      <c r="E271" s="365"/>
      <c r="F271" s="1325"/>
      <c r="G271" s="1325"/>
      <c r="H271" s="1325"/>
      <c r="I271" s="1325"/>
      <c r="J271" s="1325"/>
      <c r="K271" s="1325"/>
      <c r="L271" s="1325"/>
      <c r="M271" s="1325"/>
      <c r="N271" s="365"/>
      <c r="O271" s="1331"/>
      <c r="P271" s="1323"/>
      <c r="Q271" s="1323"/>
      <c r="R271" s="1323"/>
      <c r="S271" s="1323"/>
      <c r="T271" s="1323"/>
      <c r="U271" s="1323"/>
      <c r="V271" s="1323"/>
    </row>
    <row r="272" spans="2:22" x14ac:dyDescent="0.2">
      <c r="B272" s="1323"/>
      <c r="C272" s="1323"/>
      <c r="D272" s="365"/>
      <c r="E272" s="365"/>
      <c r="F272" s="1325"/>
      <c r="G272" s="1325"/>
      <c r="H272" s="1325"/>
      <c r="I272" s="1325"/>
      <c r="J272" s="1325"/>
      <c r="K272" s="1325"/>
      <c r="L272" s="1325"/>
      <c r="M272" s="1325"/>
      <c r="N272" s="365"/>
      <c r="O272" s="1331"/>
      <c r="P272" s="1323"/>
      <c r="Q272" s="1323"/>
      <c r="R272" s="1323"/>
      <c r="S272" s="1323"/>
      <c r="T272" s="1323"/>
      <c r="U272" s="1323"/>
      <c r="V272" s="1323"/>
    </row>
    <row r="273" spans="2:22" x14ac:dyDescent="0.2">
      <c r="B273" s="1323"/>
      <c r="C273" s="1323"/>
      <c r="D273" s="365"/>
      <c r="E273" s="365"/>
      <c r="F273" s="1325"/>
      <c r="G273" s="1325"/>
      <c r="H273" s="1325"/>
      <c r="I273" s="1325"/>
      <c r="J273" s="1325"/>
      <c r="K273" s="1325"/>
      <c r="L273" s="1325"/>
      <c r="M273" s="1325"/>
      <c r="N273" s="365"/>
      <c r="O273" s="1331"/>
      <c r="P273" s="1323"/>
      <c r="Q273" s="1323"/>
      <c r="R273" s="1323"/>
      <c r="S273" s="1323"/>
      <c r="T273" s="1323"/>
      <c r="U273" s="1323"/>
      <c r="V273" s="1323"/>
    </row>
    <row r="274" spans="2:22" x14ac:dyDescent="0.2">
      <c r="B274" s="1323"/>
      <c r="C274" s="1323"/>
      <c r="D274" s="365"/>
      <c r="E274" s="365"/>
      <c r="F274" s="1325"/>
      <c r="G274" s="1325"/>
      <c r="H274" s="1325"/>
      <c r="I274" s="1325"/>
      <c r="J274" s="1325"/>
      <c r="K274" s="1325"/>
      <c r="L274" s="1325"/>
      <c r="M274" s="1325"/>
      <c r="N274" s="365"/>
      <c r="O274" s="1331"/>
      <c r="P274" s="1323"/>
      <c r="Q274" s="1323"/>
      <c r="R274" s="1323"/>
      <c r="S274" s="1323"/>
      <c r="T274" s="1323"/>
      <c r="U274" s="1323"/>
      <c r="V274" s="1323"/>
    </row>
    <row r="275" spans="2:22" x14ac:dyDescent="0.2">
      <c r="B275" s="1323"/>
      <c r="C275" s="1323"/>
      <c r="D275" s="365"/>
      <c r="E275" s="365"/>
      <c r="F275" s="1325"/>
      <c r="G275" s="1325"/>
      <c r="H275" s="1325"/>
      <c r="I275" s="1325"/>
      <c r="J275" s="1325"/>
      <c r="K275" s="1325"/>
      <c r="L275" s="1325"/>
      <c r="M275" s="1325"/>
      <c r="N275" s="365"/>
      <c r="O275" s="1331"/>
      <c r="P275" s="1323"/>
      <c r="Q275" s="1323"/>
      <c r="R275" s="1323"/>
      <c r="S275" s="1323"/>
      <c r="T275" s="1323"/>
      <c r="U275" s="1323"/>
      <c r="V275" s="1323"/>
    </row>
    <row r="276" spans="2:22" x14ac:dyDescent="0.2">
      <c r="B276" s="1323"/>
      <c r="C276" s="1323"/>
      <c r="D276" s="365"/>
      <c r="E276" s="365"/>
      <c r="F276" s="1325"/>
      <c r="G276" s="1325"/>
      <c r="H276" s="1325"/>
      <c r="I276" s="1325"/>
      <c r="J276" s="1325"/>
      <c r="K276" s="1325"/>
      <c r="L276" s="1325"/>
      <c r="M276" s="1325"/>
      <c r="N276" s="365"/>
      <c r="O276" s="1331"/>
      <c r="P276" s="1323"/>
      <c r="Q276" s="1323"/>
      <c r="R276" s="1323"/>
      <c r="S276" s="1323"/>
      <c r="T276" s="1323"/>
      <c r="U276" s="1323"/>
      <c r="V276" s="1323"/>
    </row>
    <row r="277" spans="2:22" x14ac:dyDescent="0.2">
      <c r="B277" s="1323"/>
      <c r="C277" s="1323"/>
      <c r="D277" s="365"/>
      <c r="E277" s="365"/>
      <c r="F277" s="1325"/>
      <c r="G277" s="1325"/>
      <c r="H277" s="1325"/>
      <c r="I277" s="1325"/>
      <c r="J277" s="1325"/>
      <c r="K277" s="1325"/>
      <c r="L277" s="1325"/>
      <c r="M277" s="1325"/>
      <c r="N277" s="365"/>
      <c r="O277" s="1331"/>
      <c r="P277" s="1323"/>
      <c r="Q277" s="1323"/>
      <c r="R277" s="1323"/>
      <c r="S277" s="1323"/>
      <c r="T277" s="1323"/>
      <c r="U277" s="1323"/>
      <c r="V277" s="1323"/>
    </row>
    <row r="278" spans="2:22" x14ac:dyDescent="0.2">
      <c r="B278" s="1323"/>
      <c r="C278" s="1323"/>
      <c r="D278" s="365"/>
      <c r="E278" s="365"/>
      <c r="F278" s="1325"/>
      <c r="G278" s="1325"/>
      <c r="H278" s="1325"/>
      <c r="I278" s="1325"/>
      <c r="J278" s="1325"/>
      <c r="K278" s="1325"/>
      <c r="L278" s="1325"/>
      <c r="M278" s="1325"/>
      <c r="N278" s="365"/>
      <c r="O278" s="1331"/>
      <c r="P278" s="1323"/>
      <c r="Q278" s="1323"/>
      <c r="R278" s="1323"/>
      <c r="S278" s="1323"/>
      <c r="T278" s="1323"/>
      <c r="U278" s="1323"/>
      <c r="V278" s="1323"/>
    </row>
    <row r="279" spans="2:22" x14ac:dyDescent="0.2">
      <c r="B279" s="1323"/>
      <c r="C279" s="1323"/>
      <c r="D279" s="365"/>
      <c r="E279" s="365"/>
      <c r="F279" s="1325"/>
      <c r="G279" s="1325"/>
      <c r="H279" s="1325"/>
      <c r="I279" s="1325"/>
      <c r="J279" s="1325"/>
      <c r="K279" s="1325"/>
      <c r="L279" s="1325"/>
      <c r="M279" s="1325"/>
      <c r="N279" s="365"/>
      <c r="O279" s="1331"/>
      <c r="P279" s="1323"/>
      <c r="Q279" s="1323"/>
      <c r="R279" s="1323"/>
      <c r="S279" s="1323"/>
      <c r="T279" s="1323"/>
      <c r="U279" s="1323"/>
      <c r="V279" s="1323"/>
    </row>
    <row r="280" spans="2:22" x14ac:dyDescent="0.2">
      <c r="B280" s="1323"/>
      <c r="C280" s="1323"/>
      <c r="D280" s="365"/>
      <c r="E280" s="365"/>
      <c r="F280" s="1325"/>
      <c r="G280" s="1325"/>
      <c r="H280" s="1325"/>
      <c r="I280" s="1325"/>
      <c r="J280" s="1325"/>
      <c r="K280" s="1325"/>
      <c r="L280" s="1325"/>
      <c r="M280" s="1325"/>
      <c r="N280" s="365"/>
      <c r="O280" s="1331"/>
      <c r="P280" s="1323"/>
      <c r="Q280" s="1323"/>
      <c r="R280" s="1323"/>
      <c r="S280" s="1323"/>
      <c r="T280" s="1323"/>
      <c r="U280" s="1323"/>
      <c r="V280" s="1323"/>
    </row>
    <row r="281" spans="2:22" x14ac:dyDescent="0.2">
      <c r="B281" s="1323"/>
      <c r="C281" s="1323"/>
      <c r="D281" s="365"/>
      <c r="E281" s="365"/>
      <c r="F281" s="1325"/>
      <c r="G281" s="1325"/>
      <c r="H281" s="1325"/>
      <c r="I281" s="1325"/>
      <c r="J281" s="1325"/>
      <c r="K281" s="1325"/>
      <c r="L281" s="1325"/>
      <c r="M281" s="1325"/>
      <c r="N281" s="365"/>
      <c r="O281" s="1331"/>
      <c r="P281" s="1323"/>
      <c r="Q281" s="1323"/>
      <c r="R281" s="1323"/>
      <c r="S281" s="1323"/>
      <c r="T281" s="1323"/>
      <c r="U281" s="1323"/>
      <c r="V281" s="1323"/>
    </row>
    <row r="282" spans="2:22" x14ac:dyDescent="0.2">
      <c r="B282" s="1323"/>
      <c r="C282" s="1323"/>
      <c r="D282" s="365"/>
      <c r="E282" s="365"/>
      <c r="F282" s="1325"/>
      <c r="G282" s="1325"/>
      <c r="H282" s="1325"/>
      <c r="I282" s="1325"/>
      <c r="J282" s="1325"/>
      <c r="K282" s="1325"/>
      <c r="L282" s="1325"/>
      <c r="M282" s="1325"/>
      <c r="N282" s="365"/>
      <c r="O282" s="1331"/>
      <c r="P282" s="1323"/>
      <c r="Q282" s="1323"/>
      <c r="R282" s="1323"/>
      <c r="S282" s="1323"/>
      <c r="T282" s="1323"/>
      <c r="U282" s="1323"/>
      <c r="V282" s="1323"/>
    </row>
    <row r="283" spans="2:22" x14ac:dyDescent="0.2">
      <c r="B283" s="1323"/>
      <c r="C283" s="1323"/>
      <c r="D283" s="365"/>
      <c r="E283" s="365"/>
      <c r="F283" s="1325"/>
      <c r="G283" s="1325"/>
      <c r="H283" s="1325"/>
      <c r="I283" s="1325"/>
      <c r="J283" s="1325"/>
      <c r="K283" s="1325"/>
      <c r="L283" s="1325"/>
      <c r="M283" s="1325"/>
      <c r="N283" s="365"/>
      <c r="O283" s="1331"/>
      <c r="P283" s="1323"/>
      <c r="Q283" s="1323"/>
      <c r="R283" s="1323"/>
      <c r="S283" s="1323"/>
      <c r="T283" s="1323"/>
      <c r="U283" s="1323"/>
      <c r="V283" s="1323"/>
    </row>
    <row r="284" spans="2:22" x14ac:dyDescent="0.2">
      <c r="B284" s="1323"/>
      <c r="C284" s="1323"/>
      <c r="D284" s="365"/>
      <c r="E284" s="365"/>
      <c r="F284" s="1325"/>
      <c r="G284" s="1325"/>
      <c r="H284" s="1325"/>
      <c r="I284" s="1325"/>
      <c r="J284" s="1325"/>
      <c r="K284" s="1325"/>
      <c r="L284" s="1325"/>
      <c r="M284" s="1325"/>
      <c r="N284" s="365"/>
      <c r="O284" s="1331"/>
      <c r="P284" s="1323"/>
      <c r="Q284" s="1323"/>
      <c r="R284" s="1323"/>
      <c r="S284" s="1323"/>
      <c r="T284" s="1323"/>
      <c r="U284" s="1323"/>
      <c r="V284" s="1323"/>
    </row>
    <row r="285" spans="2:22" x14ac:dyDescent="0.2">
      <c r="B285" s="1323"/>
      <c r="C285" s="1323"/>
      <c r="D285" s="365"/>
      <c r="E285" s="365"/>
      <c r="F285" s="1325"/>
      <c r="G285" s="1325"/>
      <c r="H285" s="1325"/>
      <c r="I285" s="1325"/>
      <c r="J285" s="1325"/>
      <c r="K285" s="1325"/>
      <c r="L285" s="1325"/>
      <c r="M285" s="1325"/>
      <c r="N285" s="365"/>
      <c r="O285" s="1331"/>
      <c r="P285" s="1323"/>
      <c r="Q285" s="1323"/>
      <c r="R285" s="1323"/>
      <c r="S285" s="1323"/>
      <c r="T285" s="1323"/>
      <c r="U285" s="1323"/>
      <c r="V285" s="1323"/>
    </row>
    <row r="286" spans="2:22" x14ac:dyDescent="0.2">
      <c r="B286" s="1323"/>
      <c r="C286" s="1323"/>
      <c r="D286" s="365"/>
      <c r="E286" s="365"/>
      <c r="F286" s="1325"/>
      <c r="G286" s="1325"/>
      <c r="H286" s="1325"/>
      <c r="I286" s="1325"/>
      <c r="J286" s="1325"/>
      <c r="K286" s="1325"/>
      <c r="L286" s="1325"/>
      <c r="M286" s="1325"/>
      <c r="N286" s="365"/>
      <c r="O286" s="1331"/>
      <c r="P286" s="1323"/>
      <c r="Q286" s="1323"/>
      <c r="R286" s="1323"/>
      <c r="S286" s="1323"/>
      <c r="T286" s="1323"/>
      <c r="U286" s="1323"/>
      <c r="V286" s="1323"/>
    </row>
    <row r="287" spans="2:22" x14ac:dyDescent="0.2">
      <c r="B287" s="1323"/>
      <c r="C287" s="1323"/>
      <c r="D287" s="365"/>
      <c r="E287" s="365"/>
      <c r="F287" s="1325"/>
      <c r="G287" s="1325"/>
      <c r="H287" s="1325"/>
      <c r="I287" s="1325"/>
      <c r="J287" s="1325"/>
      <c r="K287" s="1325"/>
      <c r="L287" s="1325"/>
      <c r="M287" s="1325"/>
      <c r="N287" s="365"/>
      <c r="O287" s="1331"/>
      <c r="P287" s="1323"/>
      <c r="Q287" s="1323"/>
      <c r="R287" s="1323"/>
      <c r="S287" s="1323"/>
      <c r="T287" s="1323"/>
      <c r="U287" s="1323"/>
      <c r="V287" s="1323"/>
    </row>
    <row r="288" spans="2:22" x14ac:dyDescent="0.2">
      <c r="B288" s="1323"/>
      <c r="C288" s="1323"/>
      <c r="D288" s="365"/>
      <c r="E288" s="365"/>
      <c r="F288" s="1325"/>
      <c r="G288" s="1325"/>
      <c r="H288" s="1325"/>
      <c r="I288" s="1325"/>
      <c r="J288" s="1325"/>
      <c r="K288" s="1325"/>
      <c r="L288" s="1325"/>
      <c r="M288" s="1325"/>
      <c r="N288" s="365"/>
      <c r="O288" s="1331"/>
      <c r="P288" s="1323"/>
      <c r="Q288" s="1323"/>
      <c r="R288" s="1323"/>
      <c r="S288" s="1323"/>
      <c r="T288" s="1323"/>
      <c r="U288" s="1323"/>
      <c r="V288" s="1323"/>
    </row>
    <row r="289" spans="2:22" x14ac:dyDescent="0.2">
      <c r="B289" s="1323"/>
      <c r="C289" s="1323"/>
      <c r="D289" s="365"/>
      <c r="E289" s="365"/>
      <c r="F289" s="1325"/>
      <c r="G289" s="1325"/>
      <c r="H289" s="1325"/>
      <c r="I289" s="1325"/>
      <c r="J289" s="1325"/>
      <c r="K289" s="1325"/>
      <c r="L289" s="1325"/>
      <c r="M289" s="1325"/>
      <c r="N289" s="365"/>
      <c r="O289" s="1331"/>
      <c r="P289" s="1323"/>
      <c r="Q289" s="1323"/>
      <c r="R289" s="1323"/>
      <c r="S289" s="1323"/>
      <c r="T289" s="1323"/>
      <c r="U289" s="1323"/>
      <c r="V289" s="1323"/>
    </row>
    <row r="290" spans="2:22" x14ac:dyDescent="0.2">
      <c r="B290" s="1323"/>
      <c r="C290" s="1323"/>
      <c r="D290" s="365"/>
      <c r="E290" s="365"/>
      <c r="F290" s="1325"/>
      <c r="G290" s="1325"/>
      <c r="H290" s="1325"/>
      <c r="I290" s="1325"/>
      <c r="J290" s="1325"/>
      <c r="K290" s="1325"/>
      <c r="L290" s="1325"/>
      <c r="M290" s="1325"/>
      <c r="N290" s="365"/>
      <c r="O290" s="1331"/>
      <c r="P290" s="1323"/>
      <c r="Q290" s="1323"/>
      <c r="R290" s="1323"/>
      <c r="S290" s="1323"/>
      <c r="T290" s="1323"/>
      <c r="U290" s="1323"/>
      <c r="V290" s="1323"/>
    </row>
    <row r="291" spans="2:22" x14ac:dyDescent="0.2">
      <c r="B291" s="1323"/>
      <c r="C291" s="1323"/>
      <c r="D291" s="365"/>
      <c r="E291" s="365"/>
      <c r="F291" s="1325"/>
      <c r="G291" s="1325"/>
      <c r="H291" s="1325"/>
      <c r="I291" s="1325"/>
      <c r="J291" s="1325"/>
      <c r="K291" s="1325"/>
      <c r="L291" s="1325"/>
      <c r="M291" s="1325"/>
      <c r="N291" s="365"/>
      <c r="O291" s="1331"/>
      <c r="P291" s="1323"/>
      <c r="Q291" s="1323"/>
      <c r="R291" s="1323"/>
      <c r="S291" s="1323"/>
      <c r="T291" s="1323"/>
      <c r="U291" s="1323"/>
      <c r="V291" s="1323"/>
    </row>
    <row r="292" spans="2:22" x14ac:dyDescent="0.2">
      <c r="B292" s="1323"/>
      <c r="C292" s="1323"/>
      <c r="D292" s="365"/>
      <c r="E292" s="365"/>
      <c r="F292" s="1325"/>
      <c r="G292" s="1325"/>
      <c r="H292" s="1325"/>
      <c r="I292" s="1325"/>
      <c r="J292" s="1325"/>
      <c r="K292" s="1325"/>
      <c r="L292" s="1325"/>
      <c r="M292" s="1325"/>
      <c r="N292" s="365"/>
      <c r="O292" s="1331"/>
      <c r="P292" s="1323"/>
      <c r="Q292" s="1323"/>
      <c r="R292" s="1323"/>
      <c r="S292" s="1323"/>
      <c r="T292" s="1323"/>
      <c r="U292" s="1323"/>
      <c r="V292" s="1323"/>
    </row>
    <row r="293" spans="2:22" x14ac:dyDescent="0.2">
      <c r="B293" s="1323"/>
      <c r="C293" s="1323"/>
      <c r="D293" s="365"/>
      <c r="E293" s="365"/>
      <c r="F293" s="1325"/>
      <c r="G293" s="1325"/>
      <c r="H293" s="1325"/>
      <c r="I293" s="1325"/>
      <c r="J293" s="1325"/>
      <c r="K293" s="1325"/>
      <c r="L293" s="1325"/>
      <c r="M293" s="1325"/>
      <c r="N293" s="365"/>
      <c r="O293" s="1331"/>
      <c r="P293" s="1323"/>
      <c r="Q293" s="1323"/>
      <c r="R293" s="1323"/>
      <c r="S293" s="1323"/>
      <c r="T293" s="1323"/>
      <c r="U293" s="1323"/>
      <c r="V293" s="1323"/>
    </row>
    <row r="294" spans="2:22" x14ac:dyDescent="0.2">
      <c r="B294" s="1323"/>
      <c r="C294" s="1323"/>
      <c r="D294" s="365"/>
      <c r="E294" s="365"/>
      <c r="F294" s="1325"/>
      <c r="G294" s="1325"/>
      <c r="H294" s="1325"/>
      <c r="I294" s="1325"/>
      <c r="J294" s="1325"/>
      <c r="K294" s="1325"/>
      <c r="L294" s="1325"/>
      <c r="M294" s="1325"/>
      <c r="N294" s="365"/>
      <c r="O294" s="1331"/>
      <c r="P294" s="1323"/>
      <c r="Q294" s="1323"/>
      <c r="R294" s="1323"/>
      <c r="S294" s="1323"/>
      <c r="T294" s="1323"/>
      <c r="U294" s="1323"/>
      <c r="V294" s="1323"/>
    </row>
    <row r="295" spans="2:22" x14ac:dyDescent="0.2">
      <c r="B295" s="1323"/>
      <c r="C295" s="1323"/>
      <c r="D295" s="365"/>
      <c r="E295" s="365"/>
      <c r="F295" s="1325"/>
      <c r="G295" s="1325"/>
      <c r="H295" s="1325"/>
      <c r="I295" s="1325"/>
      <c r="J295" s="1325"/>
      <c r="K295" s="1325"/>
      <c r="L295" s="1325"/>
      <c r="M295" s="1325"/>
      <c r="N295" s="365"/>
      <c r="O295" s="1331"/>
      <c r="P295" s="1323"/>
      <c r="Q295" s="1323"/>
      <c r="R295" s="1323"/>
      <c r="S295" s="1323"/>
      <c r="T295" s="1323"/>
      <c r="U295" s="1323"/>
      <c r="V295" s="1323"/>
    </row>
    <row r="296" spans="2:22" x14ac:dyDescent="0.2">
      <c r="B296" s="1323"/>
      <c r="C296" s="1323"/>
      <c r="D296" s="365"/>
      <c r="E296" s="365"/>
      <c r="F296" s="1325"/>
      <c r="G296" s="1325"/>
      <c r="H296" s="1325"/>
      <c r="I296" s="1325"/>
      <c r="J296" s="1325"/>
      <c r="K296" s="1325"/>
      <c r="L296" s="1325"/>
      <c r="M296" s="1325"/>
      <c r="N296" s="365"/>
      <c r="O296" s="1331"/>
      <c r="P296" s="1323"/>
      <c r="Q296" s="1323"/>
      <c r="R296" s="1323"/>
      <c r="S296" s="1323"/>
      <c r="T296" s="1323"/>
      <c r="U296" s="1323"/>
      <c r="V296" s="1323"/>
    </row>
    <row r="297" spans="2:22" x14ac:dyDescent="0.2">
      <c r="B297" s="1323"/>
      <c r="C297" s="1323"/>
      <c r="D297" s="365"/>
      <c r="E297" s="365"/>
      <c r="F297" s="1325"/>
      <c r="G297" s="1325"/>
      <c r="H297" s="1325"/>
      <c r="I297" s="1325"/>
      <c r="J297" s="1325"/>
      <c r="K297" s="1325"/>
      <c r="L297" s="1325"/>
      <c r="M297" s="1325"/>
      <c r="N297" s="365"/>
      <c r="O297" s="1331"/>
      <c r="P297" s="1323"/>
      <c r="Q297" s="1323"/>
      <c r="R297" s="1323"/>
      <c r="S297" s="1323"/>
      <c r="T297" s="1323"/>
      <c r="U297" s="1323"/>
      <c r="V297" s="1323"/>
    </row>
    <row r="298" spans="2:22" x14ac:dyDescent="0.2">
      <c r="B298" s="1323"/>
      <c r="C298" s="1323"/>
      <c r="D298" s="365"/>
      <c r="E298" s="365"/>
      <c r="F298" s="1325"/>
      <c r="G298" s="1325"/>
      <c r="H298" s="1325"/>
      <c r="I298" s="1325"/>
      <c r="J298" s="1325"/>
      <c r="K298" s="1325"/>
      <c r="L298" s="1325"/>
      <c r="M298" s="1325"/>
      <c r="N298" s="365"/>
      <c r="O298" s="1331"/>
      <c r="P298" s="1323"/>
      <c r="Q298" s="1323"/>
      <c r="R298" s="1323"/>
      <c r="S298" s="1323"/>
      <c r="T298" s="1323"/>
      <c r="U298" s="1323"/>
      <c r="V298" s="1323"/>
    </row>
    <row r="299" spans="2:22" x14ac:dyDescent="0.2">
      <c r="B299" s="1323"/>
      <c r="C299" s="1323"/>
      <c r="D299" s="365"/>
      <c r="E299" s="365"/>
      <c r="F299" s="1325"/>
      <c r="G299" s="1325"/>
      <c r="H299" s="1325"/>
      <c r="I299" s="1325"/>
      <c r="J299" s="1325"/>
      <c r="K299" s="1325"/>
      <c r="L299" s="1325"/>
      <c r="M299" s="1325"/>
      <c r="N299" s="365"/>
      <c r="O299" s="1331"/>
      <c r="P299" s="1323"/>
      <c r="Q299" s="1323"/>
      <c r="R299" s="1323"/>
      <c r="S299" s="1323"/>
      <c r="T299" s="1323"/>
      <c r="U299" s="1323"/>
      <c r="V299" s="1323"/>
    </row>
    <row r="300" spans="2:22" x14ac:dyDescent="0.2">
      <c r="B300" s="1323"/>
      <c r="C300" s="1323"/>
      <c r="D300" s="365"/>
      <c r="E300" s="365"/>
      <c r="F300" s="1325"/>
      <c r="G300" s="1325"/>
      <c r="H300" s="1325"/>
      <c r="I300" s="1325"/>
      <c r="J300" s="1325"/>
      <c r="K300" s="1325"/>
      <c r="L300" s="1325"/>
      <c r="M300" s="1325"/>
      <c r="N300" s="365"/>
      <c r="O300" s="1331"/>
      <c r="P300" s="1323"/>
      <c r="Q300" s="1323"/>
      <c r="R300" s="1323"/>
      <c r="S300" s="1323"/>
      <c r="T300" s="1323"/>
      <c r="U300" s="1323"/>
      <c r="V300" s="1323"/>
    </row>
    <row r="301" spans="2:22" x14ac:dyDescent="0.2">
      <c r="B301" s="1323"/>
      <c r="C301" s="1323"/>
      <c r="D301" s="365"/>
      <c r="E301" s="365"/>
      <c r="F301" s="1325"/>
      <c r="G301" s="1325"/>
      <c r="H301" s="1325"/>
      <c r="I301" s="1325"/>
      <c r="J301" s="1325"/>
      <c r="K301" s="1325"/>
      <c r="L301" s="1325"/>
      <c r="M301" s="1325"/>
      <c r="N301" s="365"/>
      <c r="O301" s="1331"/>
      <c r="P301" s="1323"/>
      <c r="Q301" s="1323"/>
      <c r="R301" s="1323"/>
      <c r="S301" s="1323"/>
      <c r="T301" s="1323"/>
      <c r="U301" s="1323"/>
      <c r="V301" s="1323"/>
    </row>
    <row r="302" spans="2:22" x14ac:dyDescent="0.2">
      <c r="B302" s="1323"/>
      <c r="C302" s="1323"/>
      <c r="D302" s="365"/>
      <c r="E302" s="365"/>
      <c r="F302" s="1325"/>
      <c r="G302" s="1325"/>
      <c r="H302" s="1325"/>
      <c r="I302" s="1325"/>
      <c r="J302" s="1325"/>
      <c r="K302" s="1325"/>
      <c r="L302" s="1325"/>
      <c r="M302" s="1325"/>
      <c r="N302" s="365"/>
      <c r="O302" s="1331"/>
      <c r="P302" s="1323"/>
      <c r="Q302" s="1323"/>
      <c r="R302" s="1323"/>
      <c r="S302" s="1323"/>
      <c r="T302" s="1323"/>
      <c r="U302" s="1323"/>
      <c r="V302" s="1323"/>
    </row>
    <row r="303" spans="2:22" x14ac:dyDescent="0.2">
      <c r="B303" s="1323"/>
      <c r="C303" s="1323"/>
      <c r="D303" s="365"/>
      <c r="E303" s="365"/>
      <c r="F303" s="1325"/>
      <c r="G303" s="1325"/>
      <c r="H303" s="1325"/>
      <c r="I303" s="1325"/>
      <c r="J303" s="1325"/>
      <c r="K303" s="1325"/>
      <c r="L303" s="1325"/>
      <c r="M303" s="1325"/>
      <c r="N303" s="365"/>
      <c r="O303" s="1331"/>
      <c r="P303" s="1323"/>
      <c r="Q303" s="1323"/>
      <c r="R303" s="1323"/>
      <c r="S303" s="1323"/>
      <c r="T303" s="1323"/>
      <c r="U303" s="1323"/>
      <c r="V303" s="1323"/>
    </row>
    <row r="304" spans="2:22" x14ac:dyDescent="0.2">
      <c r="B304" s="1323"/>
      <c r="C304" s="1323"/>
      <c r="D304" s="365"/>
      <c r="E304" s="365"/>
      <c r="F304" s="1325"/>
      <c r="G304" s="1325"/>
      <c r="H304" s="1325"/>
      <c r="I304" s="1325"/>
      <c r="J304" s="1325"/>
      <c r="K304" s="1325"/>
      <c r="L304" s="1325"/>
      <c r="M304" s="1325"/>
      <c r="N304" s="365"/>
      <c r="O304" s="1331"/>
      <c r="P304" s="1323"/>
      <c r="Q304" s="1323"/>
      <c r="R304" s="1323"/>
      <c r="S304" s="1323"/>
      <c r="T304" s="1323"/>
      <c r="U304" s="1323"/>
      <c r="V304" s="1323"/>
    </row>
    <row r="305" spans="2:22" x14ac:dyDescent="0.2">
      <c r="B305" s="1323"/>
      <c r="C305" s="1323"/>
      <c r="D305" s="365"/>
      <c r="E305" s="365"/>
      <c r="F305" s="1325"/>
      <c r="G305" s="1325"/>
      <c r="H305" s="1325"/>
      <c r="I305" s="1325"/>
      <c r="J305" s="1325"/>
      <c r="K305" s="1325"/>
      <c r="L305" s="1325"/>
      <c r="M305" s="1325"/>
      <c r="N305" s="365"/>
      <c r="O305" s="1331"/>
      <c r="P305" s="1323"/>
      <c r="Q305" s="1323"/>
      <c r="R305" s="1323"/>
      <c r="S305" s="1323"/>
      <c r="T305" s="1323"/>
      <c r="U305" s="1323"/>
      <c r="V305" s="1323"/>
    </row>
    <row r="306" spans="2:22" x14ac:dyDescent="0.2">
      <c r="B306" s="1323"/>
      <c r="C306" s="1323"/>
      <c r="D306" s="365"/>
      <c r="E306" s="365"/>
      <c r="F306" s="1325"/>
      <c r="G306" s="1325"/>
      <c r="H306" s="1325"/>
      <c r="I306" s="1325"/>
      <c r="J306" s="1325"/>
      <c r="K306" s="1325"/>
      <c r="L306" s="1325"/>
      <c r="M306" s="1325"/>
      <c r="N306" s="365"/>
      <c r="O306" s="1331"/>
      <c r="P306" s="1323"/>
      <c r="Q306" s="1323"/>
      <c r="R306" s="1323"/>
      <c r="S306" s="1323"/>
      <c r="T306" s="1323"/>
      <c r="U306" s="1323"/>
      <c r="V306" s="1323"/>
    </row>
    <row r="307" spans="2:22" x14ac:dyDescent="0.2">
      <c r="B307" s="1323"/>
      <c r="C307" s="1323"/>
      <c r="D307" s="365"/>
      <c r="E307" s="365"/>
      <c r="F307" s="1325"/>
      <c r="G307" s="1325"/>
      <c r="H307" s="1325"/>
      <c r="I307" s="1325"/>
      <c r="J307" s="1325"/>
      <c r="K307" s="1325"/>
      <c r="L307" s="1325"/>
      <c r="M307" s="1325"/>
      <c r="N307" s="365"/>
      <c r="O307" s="1331"/>
      <c r="P307" s="1323"/>
      <c r="Q307" s="1323"/>
      <c r="R307" s="1323"/>
      <c r="S307" s="1323"/>
      <c r="T307" s="1323"/>
      <c r="U307" s="1323"/>
      <c r="V307" s="1323"/>
    </row>
    <row r="308" spans="2:22" x14ac:dyDescent="0.2">
      <c r="B308" s="1323"/>
      <c r="C308" s="1323"/>
      <c r="D308" s="365"/>
      <c r="E308" s="365"/>
      <c r="F308" s="1325"/>
      <c r="G308" s="1325"/>
      <c r="H308" s="1325"/>
      <c r="I308" s="1325"/>
      <c r="J308" s="1325"/>
      <c r="K308" s="1325"/>
      <c r="L308" s="1325"/>
      <c r="M308" s="1325"/>
      <c r="N308" s="365"/>
      <c r="O308" s="1331"/>
      <c r="P308" s="1323"/>
      <c r="Q308" s="1323"/>
      <c r="R308" s="1323"/>
      <c r="S308" s="1323"/>
      <c r="T308" s="1323"/>
      <c r="U308" s="1323"/>
      <c r="V308" s="1323"/>
    </row>
    <row r="309" spans="2:22" x14ac:dyDescent="0.2">
      <c r="B309" s="1323"/>
      <c r="C309" s="1323"/>
      <c r="D309" s="365"/>
      <c r="E309" s="365"/>
      <c r="F309" s="1325"/>
      <c r="G309" s="1325"/>
      <c r="H309" s="1325"/>
      <c r="I309" s="1325"/>
      <c r="J309" s="1325"/>
      <c r="K309" s="1325"/>
      <c r="L309" s="1325"/>
      <c r="M309" s="1325"/>
      <c r="N309" s="365"/>
      <c r="O309" s="1331"/>
      <c r="P309" s="1323"/>
      <c r="Q309" s="1323"/>
      <c r="R309" s="1323"/>
      <c r="S309" s="1323"/>
      <c r="T309" s="1323"/>
      <c r="U309" s="1323"/>
      <c r="V309" s="1323"/>
    </row>
    <row r="310" spans="2:22" x14ac:dyDescent="0.2">
      <c r="B310" s="1323"/>
      <c r="C310" s="1323"/>
      <c r="D310" s="365"/>
      <c r="E310" s="365"/>
      <c r="F310" s="1325"/>
      <c r="G310" s="1325"/>
      <c r="H310" s="1325"/>
      <c r="I310" s="1325"/>
      <c r="J310" s="1325"/>
      <c r="K310" s="1325"/>
      <c r="L310" s="1325"/>
      <c r="M310" s="1325"/>
      <c r="N310" s="365"/>
      <c r="O310" s="1331"/>
      <c r="P310" s="1323"/>
      <c r="Q310" s="1323"/>
      <c r="R310" s="1323"/>
      <c r="S310" s="1323"/>
      <c r="T310" s="1323"/>
      <c r="U310" s="1323"/>
      <c r="V310" s="1323"/>
    </row>
    <row r="311" spans="2:22" x14ac:dyDescent="0.2">
      <c r="B311" s="1323"/>
      <c r="C311" s="1323"/>
      <c r="D311" s="365"/>
      <c r="E311" s="365"/>
      <c r="F311" s="1325"/>
      <c r="G311" s="1325"/>
      <c r="H311" s="1325"/>
      <c r="I311" s="1325"/>
      <c r="J311" s="1325"/>
      <c r="K311" s="1325"/>
      <c r="L311" s="1325"/>
      <c r="M311" s="1325"/>
      <c r="N311" s="365"/>
      <c r="O311" s="1331"/>
      <c r="P311" s="1323"/>
      <c r="Q311" s="1323"/>
      <c r="R311" s="1323"/>
      <c r="S311" s="1323"/>
      <c r="T311" s="1323"/>
      <c r="U311" s="1323"/>
      <c r="V311" s="1323"/>
    </row>
    <row r="312" spans="2:22" x14ac:dyDescent="0.2">
      <c r="B312" s="1323"/>
      <c r="C312" s="1323"/>
      <c r="D312" s="365"/>
      <c r="E312" s="365"/>
      <c r="F312" s="1325"/>
      <c r="G312" s="1325"/>
      <c r="H312" s="1325"/>
      <c r="I312" s="1325"/>
      <c r="J312" s="1325"/>
      <c r="K312" s="1325"/>
      <c r="L312" s="1325"/>
      <c r="M312" s="1325"/>
      <c r="N312" s="365"/>
      <c r="O312" s="1331"/>
      <c r="P312" s="1323"/>
      <c r="Q312" s="1323"/>
      <c r="R312" s="1323"/>
      <c r="S312" s="1323"/>
      <c r="T312" s="1323"/>
      <c r="U312" s="1323"/>
      <c r="V312" s="1323"/>
    </row>
    <row r="313" spans="2:22" x14ac:dyDescent="0.2">
      <c r="B313" s="1323"/>
      <c r="C313" s="1323"/>
      <c r="D313" s="365"/>
      <c r="E313" s="365"/>
      <c r="F313" s="1325"/>
      <c r="G313" s="1325"/>
      <c r="H313" s="1325"/>
      <c r="I313" s="1325"/>
      <c r="J313" s="1325"/>
      <c r="K313" s="1325"/>
      <c r="L313" s="1325"/>
      <c r="M313" s="1325"/>
      <c r="N313" s="365"/>
      <c r="O313" s="1331"/>
      <c r="P313" s="1323"/>
      <c r="Q313" s="1323"/>
      <c r="R313" s="1323"/>
      <c r="S313" s="1323"/>
      <c r="T313" s="1323"/>
      <c r="U313" s="1323"/>
      <c r="V313" s="1323"/>
    </row>
    <row r="314" spans="2:22" x14ac:dyDescent="0.2">
      <c r="B314" s="1323"/>
      <c r="C314" s="1323"/>
      <c r="D314" s="365"/>
      <c r="E314" s="365"/>
      <c r="F314" s="1325"/>
      <c r="G314" s="1325"/>
      <c r="H314" s="1325"/>
      <c r="I314" s="1325"/>
      <c r="J314" s="1325"/>
      <c r="K314" s="1325"/>
      <c r="L314" s="1325"/>
      <c r="M314" s="1325"/>
      <c r="N314" s="365"/>
      <c r="O314" s="1331"/>
      <c r="P314" s="1323"/>
      <c r="Q314" s="1323"/>
      <c r="R314" s="1323"/>
      <c r="S314" s="1323"/>
      <c r="T314" s="1323"/>
      <c r="U314" s="1323"/>
      <c r="V314" s="1323"/>
    </row>
    <row r="315" spans="2:22" x14ac:dyDescent="0.2">
      <c r="B315" s="1323"/>
      <c r="C315" s="1323"/>
      <c r="D315" s="365"/>
      <c r="E315" s="365"/>
      <c r="F315" s="1325"/>
      <c r="G315" s="1325"/>
      <c r="H315" s="1325"/>
      <c r="I315" s="1325"/>
      <c r="J315" s="1325"/>
      <c r="K315" s="1325"/>
      <c r="L315" s="1325"/>
      <c r="M315" s="1325"/>
      <c r="N315" s="365"/>
      <c r="O315" s="1331"/>
      <c r="P315" s="1323"/>
      <c r="Q315" s="1323"/>
      <c r="R315" s="1323"/>
      <c r="S315" s="1323"/>
      <c r="T315" s="1323"/>
      <c r="U315" s="1323"/>
      <c r="V315" s="1323"/>
    </row>
    <row r="316" spans="2:22" x14ac:dyDescent="0.2">
      <c r="B316" s="1323"/>
      <c r="C316" s="1323"/>
      <c r="D316" s="365"/>
      <c r="E316" s="365"/>
      <c r="F316" s="1325"/>
      <c r="G316" s="1325"/>
      <c r="H316" s="1325"/>
      <c r="I316" s="1325"/>
      <c r="J316" s="1325"/>
      <c r="K316" s="1325"/>
      <c r="L316" s="1325"/>
      <c r="M316" s="1325"/>
      <c r="N316" s="365"/>
      <c r="O316" s="1331"/>
      <c r="P316" s="1323"/>
      <c r="Q316" s="1323"/>
      <c r="R316" s="1323"/>
      <c r="S316" s="1323"/>
      <c r="T316" s="1323"/>
      <c r="U316" s="1323"/>
      <c r="V316" s="1323"/>
    </row>
    <row r="317" spans="2:22" x14ac:dyDescent="0.2">
      <c r="B317" s="1323"/>
      <c r="C317" s="1323"/>
      <c r="D317" s="365"/>
      <c r="E317" s="365"/>
      <c r="F317" s="1325"/>
      <c r="G317" s="1325"/>
      <c r="H317" s="1325"/>
      <c r="I317" s="1325"/>
      <c r="J317" s="1325"/>
      <c r="K317" s="1325"/>
      <c r="L317" s="1325"/>
      <c r="M317" s="1325"/>
      <c r="N317" s="365"/>
      <c r="O317" s="1331"/>
      <c r="P317" s="1323"/>
      <c r="Q317" s="1323"/>
      <c r="R317" s="1323"/>
      <c r="S317" s="1323"/>
      <c r="T317" s="1323"/>
      <c r="U317" s="1323"/>
      <c r="V317" s="1323"/>
    </row>
    <row r="318" spans="2:22" x14ac:dyDescent="0.2">
      <c r="B318" s="1323"/>
      <c r="C318" s="1323"/>
      <c r="D318" s="365"/>
      <c r="E318" s="365"/>
      <c r="F318" s="1325"/>
      <c r="G318" s="1325"/>
      <c r="H318" s="1325"/>
      <c r="I318" s="1325"/>
      <c r="J318" s="1325"/>
      <c r="K318" s="1325"/>
      <c r="L318" s="1325"/>
      <c r="M318" s="1325"/>
      <c r="N318" s="365"/>
      <c r="O318" s="1331"/>
      <c r="P318" s="1323"/>
      <c r="Q318" s="1323"/>
      <c r="R318" s="1323"/>
      <c r="S318" s="1323"/>
      <c r="T318" s="1323"/>
      <c r="U318" s="1323"/>
      <c r="V318" s="1323"/>
    </row>
    <row r="319" spans="2:22" x14ac:dyDescent="0.2">
      <c r="B319" s="1323"/>
      <c r="C319" s="1323"/>
      <c r="D319" s="365"/>
      <c r="E319" s="365"/>
      <c r="F319" s="1325"/>
      <c r="G319" s="1325"/>
      <c r="H319" s="1325"/>
      <c r="I319" s="1325"/>
      <c r="J319" s="1325"/>
      <c r="K319" s="1325"/>
      <c r="L319" s="1325"/>
      <c r="M319" s="1325"/>
      <c r="N319" s="365"/>
      <c r="O319" s="1331"/>
      <c r="P319" s="1323"/>
      <c r="Q319" s="1323"/>
      <c r="R319" s="1323"/>
      <c r="S319" s="1323"/>
      <c r="T319" s="1323"/>
      <c r="U319" s="1323"/>
      <c r="V319" s="1323"/>
    </row>
    <row r="320" spans="2:22" x14ac:dyDescent="0.2">
      <c r="B320" s="1323"/>
      <c r="C320" s="1323"/>
      <c r="D320" s="365"/>
      <c r="E320" s="365"/>
      <c r="F320" s="1325"/>
      <c r="G320" s="1325"/>
      <c r="H320" s="1325"/>
      <c r="I320" s="1325"/>
      <c r="J320" s="1325"/>
      <c r="K320" s="1325"/>
      <c r="L320" s="1325"/>
      <c r="M320" s="1325"/>
      <c r="N320" s="365"/>
      <c r="O320" s="1331"/>
      <c r="P320" s="1323"/>
      <c r="Q320" s="1323"/>
      <c r="R320" s="1323"/>
      <c r="S320" s="1323"/>
      <c r="T320" s="1323"/>
      <c r="U320" s="1323"/>
      <c r="V320" s="1323"/>
    </row>
    <row r="321" spans="2:22" x14ac:dyDescent="0.2">
      <c r="B321" s="1323"/>
      <c r="C321" s="1323"/>
      <c r="D321" s="365"/>
      <c r="E321" s="365"/>
      <c r="F321" s="1325"/>
      <c r="G321" s="1325"/>
      <c r="H321" s="1325"/>
      <c r="I321" s="1325"/>
      <c r="J321" s="1325"/>
      <c r="K321" s="1325"/>
      <c r="L321" s="1325"/>
      <c r="M321" s="1325"/>
      <c r="N321" s="365"/>
      <c r="O321" s="1331"/>
      <c r="P321" s="1323"/>
      <c r="Q321" s="1323"/>
      <c r="R321" s="1323"/>
      <c r="S321" s="1323"/>
      <c r="T321" s="1323"/>
      <c r="U321" s="1323"/>
      <c r="V321" s="1323"/>
    </row>
    <row r="322" spans="2:22" x14ac:dyDescent="0.2">
      <c r="B322" s="1323"/>
      <c r="C322" s="1323"/>
      <c r="D322" s="365"/>
      <c r="E322" s="365"/>
      <c r="F322" s="1325"/>
      <c r="G322" s="1325"/>
      <c r="H322" s="1325"/>
      <c r="I322" s="1325"/>
      <c r="J322" s="1325"/>
      <c r="K322" s="1325"/>
      <c r="L322" s="1325"/>
      <c r="M322" s="1325"/>
      <c r="N322" s="365"/>
      <c r="O322" s="1331"/>
      <c r="P322" s="1323"/>
      <c r="Q322" s="1323"/>
      <c r="R322" s="1323"/>
      <c r="S322" s="1323"/>
      <c r="T322" s="1323"/>
      <c r="U322" s="1323"/>
      <c r="V322" s="1323"/>
    </row>
    <row r="323" spans="2:22" x14ac:dyDescent="0.2">
      <c r="B323" s="1323"/>
      <c r="C323" s="1323"/>
      <c r="D323" s="365"/>
      <c r="E323" s="365"/>
      <c r="F323" s="1325"/>
      <c r="G323" s="1325"/>
      <c r="H323" s="1325"/>
      <c r="I323" s="1325"/>
      <c r="J323" s="1325"/>
      <c r="K323" s="1325"/>
      <c r="L323" s="1325"/>
      <c r="M323" s="1325"/>
      <c r="N323" s="365"/>
      <c r="O323" s="1331"/>
      <c r="P323" s="1323"/>
      <c r="Q323" s="1323"/>
      <c r="R323" s="1323"/>
      <c r="S323" s="1323"/>
      <c r="T323" s="1323"/>
      <c r="U323" s="1323"/>
      <c r="V323" s="1323"/>
    </row>
    <row r="324" spans="2:22" x14ac:dyDescent="0.2">
      <c r="B324" s="1323"/>
      <c r="C324" s="1323"/>
      <c r="D324" s="365"/>
      <c r="E324" s="365"/>
      <c r="F324" s="1325"/>
      <c r="G324" s="1325"/>
      <c r="H324" s="1325"/>
      <c r="I324" s="1325"/>
      <c r="J324" s="1325"/>
      <c r="K324" s="1325"/>
      <c r="L324" s="1325"/>
      <c r="M324" s="1325"/>
      <c r="N324" s="365"/>
      <c r="O324" s="1331"/>
      <c r="P324" s="1323"/>
      <c r="Q324" s="1323"/>
      <c r="R324" s="1323"/>
      <c r="S324" s="1323"/>
      <c r="T324" s="1323"/>
      <c r="U324" s="1323"/>
      <c r="V324" s="1323"/>
    </row>
    <row r="325" spans="2:22" x14ac:dyDescent="0.2">
      <c r="B325" s="1323"/>
      <c r="C325" s="1323"/>
      <c r="D325" s="365"/>
      <c r="E325" s="365"/>
      <c r="F325" s="1325"/>
      <c r="G325" s="1325"/>
      <c r="H325" s="1325"/>
      <c r="I325" s="1325"/>
      <c r="J325" s="1325"/>
      <c r="K325" s="1325"/>
      <c r="L325" s="1325"/>
      <c r="M325" s="1325"/>
      <c r="N325" s="365"/>
      <c r="O325" s="1331"/>
      <c r="P325" s="1323"/>
      <c r="Q325" s="1323"/>
      <c r="R325" s="1323"/>
      <c r="S325" s="1323"/>
      <c r="T325" s="1323"/>
      <c r="U325" s="1323"/>
      <c r="V325" s="1323"/>
    </row>
    <row r="326" spans="2:22" x14ac:dyDescent="0.2">
      <c r="B326" s="1323"/>
      <c r="C326" s="1323"/>
      <c r="D326" s="365"/>
      <c r="E326" s="365"/>
      <c r="F326" s="1325"/>
      <c r="G326" s="1325"/>
      <c r="H326" s="1325"/>
      <c r="I326" s="1325"/>
      <c r="J326" s="1325"/>
      <c r="K326" s="1325"/>
      <c r="L326" s="1325"/>
      <c r="M326" s="1325"/>
      <c r="N326" s="365"/>
      <c r="O326" s="1331"/>
      <c r="P326" s="1323"/>
      <c r="Q326" s="1323"/>
      <c r="R326" s="1323"/>
      <c r="S326" s="1323"/>
      <c r="T326" s="1323"/>
      <c r="U326" s="1323"/>
      <c r="V326" s="1323"/>
    </row>
    <row r="327" spans="2:22" x14ac:dyDescent="0.2">
      <c r="B327" s="1323"/>
      <c r="C327" s="1323"/>
      <c r="D327" s="365"/>
      <c r="E327" s="365"/>
      <c r="F327" s="1325"/>
      <c r="G327" s="1325"/>
      <c r="H327" s="1325"/>
      <c r="I327" s="1325"/>
      <c r="J327" s="1325"/>
      <c r="K327" s="1325"/>
      <c r="L327" s="1325"/>
      <c r="M327" s="1325"/>
      <c r="N327" s="365"/>
      <c r="O327" s="1331"/>
      <c r="P327" s="1323"/>
      <c r="Q327" s="1323"/>
      <c r="R327" s="1323"/>
      <c r="S327" s="1323"/>
      <c r="T327" s="1323"/>
      <c r="U327" s="1323"/>
      <c r="V327" s="1323"/>
    </row>
    <row r="328" spans="2:22" x14ac:dyDescent="0.2">
      <c r="B328" s="1323"/>
      <c r="C328" s="1323"/>
      <c r="D328" s="365"/>
      <c r="E328" s="365"/>
      <c r="F328" s="1325"/>
      <c r="G328" s="1325"/>
      <c r="H328" s="1325"/>
      <c r="I328" s="1325"/>
      <c r="J328" s="1325"/>
      <c r="K328" s="1325"/>
      <c r="L328" s="1325"/>
      <c r="M328" s="1325"/>
      <c r="N328" s="365"/>
      <c r="O328" s="1331"/>
      <c r="P328" s="1323"/>
      <c r="Q328" s="1323"/>
      <c r="R328" s="1323"/>
      <c r="S328" s="1323"/>
      <c r="T328" s="1323"/>
      <c r="U328" s="1323"/>
      <c r="V328" s="1323"/>
    </row>
    <row r="329" spans="2:22" x14ac:dyDescent="0.2">
      <c r="B329" s="1323"/>
      <c r="C329" s="1323"/>
      <c r="D329" s="365"/>
      <c r="E329" s="365"/>
      <c r="F329" s="1325"/>
      <c r="G329" s="1325"/>
      <c r="H329" s="1325"/>
      <c r="I329" s="1325"/>
      <c r="J329" s="1325"/>
      <c r="K329" s="1325"/>
      <c r="L329" s="1325"/>
      <c r="M329" s="1325"/>
      <c r="N329" s="365"/>
      <c r="O329" s="1331"/>
      <c r="P329" s="1323"/>
      <c r="Q329" s="1323"/>
      <c r="R329" s="1323"/>
      <c r="S329" s="1323"/>
      <c r="T329" s="1323"/>
      <c r="U329" s="1323"/>
      <c r="V329" s="1323"/>
    </row>
    <row r="330" spans="2:22" x14ac:dyDescent="0.2">
      <c r="B330" s="1323"/>
      <c r="C330" s="1323"/>
      <c r="D330" s="365"/>
      <c r="E330" s="365"/>
      <c r="F330" s="1325"/>
      <c r="G330" s="1325"/>
      <c r="H330" s="1325"/>
      <c r="I330" s="1325"/>
      <c r="J330" s="1325"/>
      <c r="K330" s="1325"/>
      <c r="L330" s="1325"/>
      <c r="M330" s="1325"/>
      <c r="N330" s="365"/>
      <c r="O330" s="1331"/>
      <c r="P330" s="1323"/>
      <c r="Q330" s="1323"/>
      <c r="R330" s="1323"/>
      <c r="S330" s="1323"/>
      <c r="T330" s="1323"/>
      <c r="U330" s="1323"/>
      <c r="V330" s="1323"/>
    </row>
    <row r="331" spans="2:22" x14ac:dyDescent="0.2">
      <c r="B331" s="1323"/>
      <c r="C331" s="1323"/>
      <c r="D331" s="365"/>
      <c r="E331" s="365"/>
      <c r="F331" s="1325"/>
      <c r="G331" s="1325"/>
      <c r="H331" s="1325"/>
      <c r="I331" s="1325"/>
      <c r="J331" s="1325"/>
      <c r="K331" s="1325"/>
      <c r="L331" s="1325"/>
      <c r="M331" s="1325"/>
      <c r="N331" s="365"/>
      <c r="O331" s="1331"/>
      <c r="P331" s="1323"/>
      <c r="Q331" s="1323"/>
      <c r="R331" s="1323"/>
      <c r="S331" s="1323"/>
      <c r="T331" s="1323"/>
      <c r="U331" s="1323"/>
      <c r="V331" s="1323"/>
    </row>
    <row r="332" spans="2:22" x14ac:dyDescent="0.2">
      <c r="B332" s="1323"/>
      <c r="C332" s="1323"/>
      <c r="D332" s="365"/>
      <c r="E332" s="365"/>
      <c r="F332" s="1325"/>
      <c r="G332" s="1325"/>
      <c r="H332" s="1325"/>
      <c r="I332" s="1325"/>
      <c r="J332" s="1325"/>
      <c r="K332" s="1325"/>
      <c r="L332" s="1325"/>
      <c r="M332" s="1325"/>
      <c r="N332" s="365"/>
      <c r="O332" s="1331"/>
      <c r="P332" s="1323"/>
      <c r="Q332" s="1323"/>
      <c r="R332" s="1323"/>
      <c r="S332" s="1323"/>
      <c r="T332" s="1323"/>
      <c r="U332" s="1323"/>
      <c r="V332" s="1323"/>
    </row>
    <row r="333" spans="2:22" x14ac:dyDescent="0.2">
      <c r="B333" s="1323"/>
      <c r="C333" s="1323"/>
      <c r="D333" s="365"/>
      <c r="E333" s="365"/>
      <c r="F333" s="1325"/>
      <c r="G333" s="1325"/>
      <c r="H333" s="1325"/>
      <c r="I333" s="1325"/>
      <c r="J333" s="1325"/>
      <c r="K333" s="1325"/>
      <c r="L333" s="1325"/>
      <c r="M333" s="1325"/>
      <c r="N333" s="365"/>
      <c r="O333" s="1331"/>
      <c r="P333" s="1323"/>
      <c r="Q333" s="1323"/>
      <c r="R333" s="1323"/>
      <c r="S333" s="1323"/>
      <c r="T333" s="1323"/>
      <c r="U333" s="1323"/>
      <c r="V333" s="1323"/>
    </row>
    <row r="334" spans="2:22" x14ac:dyDescent="0.2">
      <c r="B334" s="1323"/>
      <c r="C334" s="1323"/>
      <c r="D334" s="365"/>
      <c r="E334" s="365"/>
      <c r="F334" s="1325"/>
      <c r="G334" s="1325"/>
      <c r="H334" s="1325"/>
      <c r="I334" s="1325"/>
      <c r="J334" s="1325"/>
      <c r="K334" s="1325"/>
      <c r="L334" s="1325"/>
      <c r="M334" s="1325"/>
      <c r="N334" s="365"/>
      <c r="O334" s="1331"/>
      <c r="P334" s="1323"/>
      <c r="Q334" s="1323"/>
      <c r="R334" s="1323"/>
      <c r="S334" s="1323"/>
      <c r="T334" s="1323"/>
      <c r="U334" s="1323"/>
      <c r="V334" s="1323"/>
    </row>
    <row r="335" spans="2:22" x14ac:dyDescent="0.2">
      <c r="B335" s="1323"/>
      <c r="C335" s="1323"/>
      <c r="D335" s="365"/>
      <c r="E335" s="365"/>
      <c r="F335" s="1325"/>
      <c r="G335" s="1325"/>
      <c r="H335" s="1325"/>
      <c r="I335" s="1325"/>
      <c r="J335" s="1325"/>
      <c r="K335" s="1325"/>
      <c r="L335" s="1325"/>
      <c r="M335" s="1325"/>
      <c r="N335" s="365"/>
      <c r="O335" s="1331"/>
      <c r="P335" s="1323"/>
      <c r="Q335" s="1323"/>
      <c r="R335" s="1323"/>
      <c r="S335" s="1323"/>
      <c r="T335" s="1323"/>
      <c r="U335" s="1323"/>
      <c r="V335" s="1323"/>
    </row>
    <row r="336" spans="2:22" x14ac:dyDescent="0.2">
      <c r="B336" s="1323"/>
      <c r="C336" s="1323"/>
      <c r="D336" s="365"/>
      <c r="E336" s="365"/>
      <c r="F336" s="1325"/>
      <c r="G336" s="1325"/>
      <c r="H336" s="1325"/>
      <c r="I336" s="1325"/>
      <c r="J336" s="1325"/>
      <c r="K336" s="1325"/>
      <c r="L336" s="1325"/>
      <c r="M336" s="1325"/>
      <c r="N336" s="365"/>
      <c r="O336" s="1331"/>
      <c r="P336" s="1323"/>
      <c r="Q336" s="1323"/>
      <c r="R336" s="1323"/>
      <c r="S336" s="1323"/>
      <c r="T336" s="1323"/>
      <c r="U336" s="1323"/>
      <c r="V336" s="1323"/>
    </row>
    <row r="337" spans="2:22" x14ac:dyDescent="0.2">
      <c r="B337" s="1323"/>
      <c r="C337" s="1323"/>
      <c r="D337" s="365"/>
      <c r="E337" s="365"/>
      <c r="F337" s="1325"/>
      <c r="G337" s="1325"/>
      <c r="H337" s="1325"/>
      <c r="I337" s="1325"/>
      <c r="J337" s="1325"/>
      <c r="K337" s="1325"/>
      <c r="L337" s="1325"/>
      <c r="M337" s="1325"/>
      <c r="N337" s="365"/>
      <c r="O337" s="1331"/>
      <c r="P337" s="1323"/>
      <c r="Q337" s="1323"/>
      <c r="R337" s="1323"/>
      <c r="S337" s="1323"/>
      <c r="T337" s="1323"/>
      <c r="U337" s="1323"/>
      <c r="V337" s="1323"/>
    </row>
    <row r="338" spans="2:22" x14ac:dyDescent="0.2">
      <c r="B338" s="1323"/>
      <c r="C338" s="1323"/>
      <c r="D338" s="365"/>
      <c r="E338" s="365"/>
      <c r="F338" s="1325"/>
      <c r="G338" s="1325"/>
      <c r="H338" s="1325"/>
      <c r="I338" s="1325"/>
      <c r="J338" s="1325"/>
      <c r="K338" s="1325"/>
      <c r="L338" s="1325"/>
      <c r="M338" s="1325"/>
      <c r="N338" s="365"/>
      <c r="O338" s="1331"/>
      <c r="P338" s="1323"/>
      <c r="Q338" s="1323"/>
      <c r="R338" s="1323"/>
      <c r="S338" s="1323"/>
      <c r="T338" s="1323"/>
      <c r="U338" s="1323"/>
      <c r="V338" s="1323"/>
    </row>
    <row r="339" spans="2:22" x14ac:dyDescent="0.2">
      <c r="B339" s="1323"/>
      <c r="C339" s="1323"/>
      <c r="D339" s="365"/>
      <c r="E339" s="365"/>
      <c r="F339" s="1325"/>
      <c r="G339" s="1325"/>
      <c r="H339" s="1325"/>
      <c r="I339" s="1325"/>
      <c r="J339" s="1325"/>
      <c r="K339" s="1325"/>
      <c r="L339" s="1325"/>
      <c r="M339" s="1325"/>
      <c r="N339" s="365"/>
      <c r="O339" s="1331"/>
      <c r="P339" s="1323"/>
      <c r="Q339" s="1323"/>
      <c r="R339" s="1323"/>
      <c r="S339" s="1323"/>
      <c r="T339" s="1323"/>
      <c r="U339" s="1323"/>
      <c r="V339" s="1323"/>
    </row>
    <row r="340" spans="2:22" x14ac:dyDescent="0.2">
      <c r="B340" s="1323"/>
      <c r="C340" s="1323"/>
      <c r="D340" s="365"/>
      <c r="E340" s="365"/>
      <c r="F340" s="1325"/>
      <c r="G340" s="1325"/>
      <c r="H340" s="1325"/>
      <c r="I340" s="1325"/>
      <c r="J340" s="1325"/>
      <c r="K340" s="1325"/>
      <c r="L340" s="1325"/>
      <c r="M340" s="1325"/>
      <c r="N340" s="365"/>
      <c r="O340" s="1331"/>
      <c r="P340" s="1323"/>
      <c r="Q340" s="1323"/>
      <c r="R340" s="1323"/>
      <c r="S340" s="1323"/>
      <c r="T340" s="1323"/>
      <c r="U340" s="1323"/>
      <c r="V340" s="1323"/>
    </row>
    <row r="341" spans="2:22" x14ac:dyDescent="0.2">
      <c r="B341" s="1323"/>
      <c r="C341" s="1323"/>
      <c r="D341" s="365"/>
      <c r="E341" s="365"/>
      <c r="F341" s="1325"/>
      <c r="G341" s="1325"/>
      <c r="H341" s="1325"/>
      <c r="I341" s="1325"/>
      <c r="J341" s="1325"/>
      <c r="K341" s="1325"/>
      <c r="L341" s="1325"/>
      <c r="M341" s="1325"/>
      <c r="N341" s="365"/>
      <c r="O341" s="1331"/>
      <c r="P341" s="1323"/>
      <c r="Q341" s="1323"/>
      <c r="R341" s="1323"/>
      <c r="S341" s="1323"/>
      <c r="T341" s="1323"/>
      <c r="U341" s="1323"/>
      <c r="V341" s="1323"/>
    </row>
    <row r="342" spans="2:22" x14ac:dyDescent="0.2">
      <c r="B342" s="1323"/>
      <c r="C342" s="1323"/>
      <c r="D342" s="365"/>
      <c r="E342" s="365"/>
      <c r="F342" s="1325"/>
      <c r="G342" s="1325"/>
      <c r="H342" s="1325"/>
      <c r="I342" s="1325"/>
      <c r="J342" s="1325"/>
      <c r="K342" s="1325"/>
      <c r="L342" s="1325"/>
      <c r="M342" s="1325"/>
      <c r="N342" s="365"/>
      <c r="O342" s="1331"/>
      <c r="P342" s="1323"/>
      <c r="Q342" s="1323"/>
      <c r="R342" s="1323"/>
      <c r="S342" s="1323"/>
      <c r="T342" s="1323"/>
      <c r="U342" s="1323"/>
      <c r="V342" s="1323"/>
    </row>
    <row r="343" spans="2:22" x14ac:dyDescent="0.2">
      <c r="B343" s="1323"/>
      <c r="C343" s="1323"/>
      <c r="D343" s="365"/>
      <c r="E343" s="365"/>
      <c r="F343" s="1325"/>
      <c r="G343" s="1325"/>
      <c r="H343" s="1325"/>
      <c r="I343" s="1325"/>
      <c r="J343" s="1325"/>
      <c r="K343" s="1325"/>
      <c r="L343" s="1325"/>
      <c r="M343" s="1325"/>
      <c r="N343" s="365"/>
      <c r="O343" s="1331"/>
      <c r="P343" s="1323"/>
      <c r="Q343" s="1323"/>
      <c r="R343" s="1323"/>
      <c r="S343" s="1323"/>
      <c r="T343" s="1323"/>
      <c r="U343" s="1323"/>
      <c r="V343" s="1323"/>
    </row>
    <row r="344" spans="2:22" x14ac:dyDescent="0.2">
      <c r="B344" s="1323"/>
      <c r="C344" s="1323"/>
      <c r="D344" s="365"/>
      <c r="E344" s="365"/>
      <c r="F344" s="1325"/>
      <c r="G344" s="1325"/>
      <c r="H344" s="1325"/>
      <c r="I344" s="1325"/>
      <c r="J344" s="1325"/>
      <c r="K344" s="1325"/>
      <c r="L344" s="1325"/>
      <c r="M344" s="1325"/>
      <c r="N344" s="365"/>
      <c r="O344" s="1331"/>
      <c r="P344" s="1323"/>
      <c r="Q344" s="1323"/>
      <c r="R344" s="1323"/>
      <c r="S344" s="1323"/>
      <c r="T344" s="1323"/>
      <c r="U344" s="1323"/>
      <c r="V344" s="1323"/>
    </row>
    <row r="345" spans="2:22" x14ac:dyDescent="0.2">
      <c r="B345" s="1323"/>
      <c r="C345" s="1323"/>
      <c r="D345" s="365"/>
      <c r="E345" s="365"/>
      <c r="F345" s="1325"/>
      <c r="G345" s="1325"/>
      <c r="H345" s="1325"/>
      <c r="I345" s="1325"/>
      <c r="J345" s="1325"/>
      <c r="K345" s="1325"/>
      <c r="L345" s="1325"/>
      <c r="M345" s="1325"/>
      <c r="N345" s="365"/>
      <c r="O345" s="1331"/>
      <c r="P345" s="1323"/>
      <c r="Q345" s="1323"/>
      <c r="R345" s="1323"/>
      <c r="S345" s="1323"/>
      <c r="T345" s="1323"/>
      <c r="U345" s="1323"/>
      <c r="V345" s="1323"/>
    </row>
    <row r="346" spans="2:22" x14ac:dyDescent="0.2">
      <c r="B346" s="1323"/>
      <c r="C346" s="1323"/>
      <c r="D346" s="365"/>
      <c r="E346" s="365"/>
      <c r="F346" s="1325"/>
      <c r="G346" s="1325"/>
      <c r="H346" s="1325"/>
      <c r="I346" s="1325"/>
      <c r="J346" s="1325"/>
      <c r="K346" s="1325"/>
      <c r="L346" s="1325"/>
      <c r="M346" s="1325"/>
      <c r="N346" s="365"/>
      <c r="O346" s="1331"/>
      <c r="P346" s="1323"/>
      <c r="Q346" s="1323"/>
      <c r="R346" s="1323"/>
      <c r="S346" s="1323"/>
      <c r="T346" s="1323"/>
      <c r="U346" s="1323"/>
      <c r="V346" s="1323"/>
    </row>
    <row r="347" spans="2:22" x14ac:dyDescent="0.2">
      <c r="B347" s="1323"/>
      <c r="C347" s="1323"/>
      <c r="D347" s="365"/>
      <c r="E347" s="365"/>
      <c r="F347" s="1325"/>
      <c r="G347" s="1325"/>
      <c r="H347" s="1325"/>
      <c r="I347" s="1325"/>
      <c r="J347" s="1325"/>
      <c r="K347" s="1325"/>
      <c r="L347" s="1325"/>
      <c r="M347" s="1325"/>
      <c r="N347" s="365"/>
      <c r="O347" s="1331"/>
      <c r="P347" s="1323"/>
      <c r="Q347" s="1323"/>
      <c r="R347" s="1323"/>
      <c r="S347" s="1323"/>
      <c r="T347" s="1323"/>
      <c r="U347" s="1323"/>
      <c r="V347" s="1323"/>
    </row>
    <row r="348" spans="2:22" x14ac:dyDescent="0.2">
      <c r="B348" s="1323"/>
      <c r="C348" s="1323"/>
      <c r="D348" s="365"/>
      <c r="E348" s="365"/>
      <c r="F348" s="1325"/>
      <c r="G348" s="1325"/>
      <c r="H348" s="1325"/>
      <c r="I348" s="1325"/>
      <c r="J348" s="1325"/>
      <c r="K348" s="1325"/>
      <c r="L348" s="1325"/>
      <c r="M348" s="1325"/>
      <c r="N348" s="365"/>
      <c r="O348" s="1331"/>
      <c r="P348" s="1323"/>
      <c r="Q348" s="1323"/>
      <c r="R348" s="1323"/>
      <c r="S348" s="1323"/>
      <c r="T348" s="1323"/>
      <c r="U348" s="1323"/>
      <c r="V348" s="1323"/>
    </row>
    <row r="349" spans="2:22" x14ac:dyDescent="0.2">
      <c r="B349" s="1323"/>
      <c r="C349" s="1323"/>
      <c r="D349" s="365"/>
      <c r="E349" s="365"/>
      <c r="F349" s="1325"/>
      <c r="G349" s="1325"/>
      <c r="H349" s="1325"/>
      <c r="I349" s="1325"/>
      <c r="J349" s="1325"/>
      <c r="K349" s="1325"/>
      <c r="L349" s="1325"/>
      <c r="M349" s="1325"/>
      <c r="N349" s="365"/>
      <c r="O349" s="1331"/>
      <c r="P349" s="1323"/>
      <c r="Q349" s="1323"/>
      <c r="R349" s="1323"/>
      <c r="S349" s="1323"/>
      <c r="T349" s="1323"/>
      <c r="U349" s="1323"/>
      <c r="V349" s="1323"/>
    </row>
    <row r="350" spans="2:22" x14ac:dyDescent="0.2">
      <c r="B350" s="1323"/>
      <c r="C350" s="1323"/>
      <c r="D350" s="365"/>
      <c r="E350" s="365"/>
      <c r="F350" s="1325"/>
      <c r="G350" s="1325"/>
      <c r="H350" s="1325"/>
      <c r="I350" s="1325"/>
      <c r="J350" s="1325"/>
      <c r="K350" s="1325"/>
      <c r="L350" s="1325"/>
      <c r="M350" s="1325"/>
      <c r="N350" s="365"/>
      <c r="O350" s="1331"/>
      <c r="P350" s="1323"/>
      <c r="Q350" s="1323"/>
      <c r="R350" s="1323"/>
      <c r="S350" s="1323"/>
      <c r="T350" s="1323"/>
      <c r="U350" s="1323"/>
      <c r="V350" s="1323"/>
    </row>
    <row r="351" spans="2:22" x14ac:dyDescent="0.2">
      <c r="B351" s="1323"/>
      <c r="C351" s="1323"/>
      <c r="D351" s="365"/>
      <c r="E351" s="365"/>
      <c r="F351" s="1325"/>
      <c r="G351" s="1325"/>
      <c r="H351" s="1325"/>
      <c r="I351" s="1325"/>
      <c r="J351" s="1325"/>
      <c r="K351" s="1325"/>
      <c r="L351" s="1325"/>
      <c r="M351" s="1325"/>
      <c r="N351" s="365"/>
      <c r="O351" s="1331"/>
      <c r="P351" s="1323"/>
      <c r="Q351" s="1323"/>
      <c r="R351" s="1323"/>
      <c r="S351" s="1323"/>
      <c r="T351" s="1323"/>
      <c r="U351" s="1323"/>
      <c r="V351" s="1323"/>
    </row>
    <row r="352" spans="2:22" x14ac:dyDescent="0.2">
      <c r="B352" s="1323"/>
      <c r="C352" s="1323"/>
      <c r="D352" s="365"/>
      <c r="E352" s="365"/>
      <c r="F352" s="1325"/>
      <c r="G352" s="1325"/>
      <c r="H352" s="1325"/>
      <c r="I352" s="1325"/>
      <c r="J352" s="1325"/>
      <c r="K352" s="1325"/>
      <c r="L352" s="1325"/>
      <c r="M352" s="1325"/>
      <c r="N352" s="365"/>
      <c r="O352" s="1331"/>
      <c r="P352" s="1323"/>
      <c r="Q352" s="1323"/>
      <c r="R352" s="1323"/>
      <c r="S352" s="1323"/>
      <c r="T352" s="1323"/>
      <c r="U352" s="1323"/>
      <c r="V352" s="1323"/>
    </row>
    <row r="353" spans="2:22" x14ac:dyDescent="0.2">
      <c r="B353" s="1323"/>
      <c r="C353" s="1323"/>
      <c r="D353" s="365"/>
      <c r="E353" s="365"/>
      <c r="F353" s="1325"/>
      <c r="G353" s="1325"/>
      <c r="H353" s="1325"/>
      <c r="I353" s="1325"/>
      <c r="J353" s="1325"/>
      <c r="K353" s="1325"/>
      <c r="L353" s="1325"/>
      <c r="M353" s="1325"/>
      <c r="N353" s="365"/>
      <c r="O353" s="1331"/>
      <c r="P353" s="1323"/>
      <c r="Q353" s="1323"/>
      <c r="R353" s="1323"/>
      <c r="S353" s="1323"/>
      <c r="T353" s="1323"/>
      <c r="U353" s="1323"/>
      <c r="V353" s="1323"/>
    </row>
    <row r="354" spans="2:22" x14ac:dyDescent="0.2">
      <c r="B354" s="1323"/>
      <c r="C354" s="1323"/>
      <c r="D354" s="365"/>
      <c r="E354" s="365"/>
      <c r="F354" s="1325"/>
      <c r="G354" s="1325"/>
      <c r="H354" s="1325"/>
      <c r="I354" s="1325"/>
      <c r="J354" s="1325"/>
      <c r="K354" s="1325"/>
      <c r="L354" s="1325"/>
      <c r="M354" s="1325"/>
      <c r="N354" s="365"/>
      <c r="O354" s="1331"/>
      <c r="P354" s="1323"/>
      <c r="Q354" s="1323"/>
      <c r="R354" s="1323"/>
      <c r="S354" s="1323"/>
      <c r="T354" s="1323"/>
      <c r="U354" s="1323"/>
      <c r="V354" s="1323"/>
    </row>
    <row r="355" spans="2:22" x14ac:dyDescent="0.2">
      <c r="B355" s="1323"/>
      <c r="C355" s="1323"/>
      <c r="D355" s="365"/>
      <c r="E355" s="365"/>
      <c r="F355" s="1325"/>
      <c r="G355" s="1325"/>
      <c r="H355" s="1325"/>
      <c r="I355" s="1325"/>
      <c r="J355" s="1325"/>
      <c r="K355" s="1325"/>
      <c r="L355" s="1325"/>
      <c r="M355" s="1325"/>
      <c r="N355" s="365"/>
      <c r="O355" s="1331"/>
      <c r="P355" s="1323"/>
      <c r="Q355" s="1323"/>
      <c r="R355" s="1323"/>
      <c r="S355" s="1323"/>
      <c r="T355" s="1323"/>
      <c r="U355" s="1323"/>
      <c r="V355" s="1323"/>
    </row>
    <row r="356" spans="2:22" x14ac:dyDescent="0.2">
      <c r="B356" s="1323"/>
      <c r="C356" s="1323"/>
      <c r="D356" s="365"/>
      <c r="E356" s="365"/>
      <c r="F356" s="1325"/>
      <c r="G356" s="1325"/>
      <c r="H356" s="1325"/>
      <c r="I356" s="1325"/>
      <c r="J356" s="1325"/>
      <c r="K356" s="1325"/>
      <c r="L356" s="1325"/>
      <c r="M356" s="1325"/>
      <c r="N356" s="365"/>
      <c r="O356" s="1331"/>
      <c r="P356" s="1323"/>
      <c r="Q356" s="1323"/>
      <c r="R356" s="1323"/>
      <c r="S356" s="1323"/>
      <c r="T356" s="1323"/>
      <c r="U356" s="1323"/>
      <c r="V356" s="1323"/>
    </row>
    <row r="357" spans="2:22" x14ac:dyDescent="0.2">
      <c r="B357" s="1323"/>
      <c r="C357" s="1323"/>
      <c r="D357" s="365"/>
      <c r="E357" s="365"/>
      <c r="F357" s="1325"/>
      <c r="G357" s="1325"/>
      <c r="H357" s="1325"/>
      <c r="I357" s="1325"/>
      <c r="J357" s="1325"/>
      <c r="K357" s="1325"/>
      <c r="L357" s="1325"/>
      <c r="M357" s="1325"/>
      <c r="N357" s="365"/>
      <c r="O357" s="1331"/>
      <c r="P357" s="1323"/>
      <c r="Q357" s="1323"/>
      <c r="R357" s="1323"/>
      <c r="S357" s="1323"/>
      <c r="T357" s="1323"/>
      <c r="U357" s="1323"/>
      <c r="V357" s="1323"/>
    </row>
    <row r="358" spans="2:22" x14ac:dyDescent="0.2">
      <c r="B358" s="1323"/>
      <c r="C358" s="1323"/>
      <c r="D358" s="365"/>
      <c r="E358" s="365"/>
      <c r="F358" s="1325"/>
      <c r="G358" s="1325"/>
      <c r="H358" s="1325"/>
      <c r="I358" s="1325"/>
      <c r="J358" s="1325"/>
      <c r="K358" s="1325"/>
      <c r="L358" s="1325"/>
      <c r="M358" s="1325"/>
      <c r="N358" s="365"/>
      <c r="O358" s="1331"/>
      <c r="P358" s="1323"/>
      <c r="Q358" s="1323"/>
      <c r="R358" s="1323"/>
      <c r="S358" s="1323"/>
      <c r="T358" s="1323"/>
      <c r="U358" s="1323"/>
      <c r="V358" s="1323"/>
    </row>
    <row r="359" spans="2:22" x14ac:dyDescent="0.2">
      <c r="B359" s="1323"/>
      <c r="C359" s="1323"/>
      <c r="D359" s="365"/>
      <c r="E359" s="365"/>
      <c r="F359" s="1325"/>
      <c r="G359" s="1325"/>
      <c r="H359" s="1325"/>
      <c r="I359" s="1325"/>
      <c r="J359" s="1325"/>
      <c r="K359" s="1325"/>
      <c r="L359" s="1325"/>
      <c r="M359" s="1325"/>
      <c r="N359" s="365"/>
      <c r="O359" s="1331"/>
      <c r="P359" s="1323"/>
      <c r="Q359" s="1323"/>
      <c r="R359" s="1323"/>
      <c r="S359" s="1323"/>
      <c r="T359" s="1323"/>
      <c r="U359" s="1323"/>
      <c r="V359" s="1323"/>
    </row>
    <row r="360" spans="2:22" x14ac:dyDescent="0.2">
      <c r="B360" s="1323"/>
      <c r="C360" s="1323"/>
      <c r="D360" s="365"/>
      <c r="E360" s="365"/>
      <c r="F360" s="1325"/>
      <c r="G360" s="1325"/>
      <c r="H360" s="1325"/>
      <c r="I360" s="1325"/>
      <c r="J360" s="1325"/>
      <c r="K360" s="1325"/>
      <c r="L360" s="1325"/>
      <c r="M360" s="1325"/>
      <c r="N360" s="365"/>
      <c r="O360" s="1331"/>
      <c r="P360" s="1323"/>
      <c r="Q360" s="1323"/>
      <c r="R360" s="1323"/>
      <c r="S360" s="1323"/>
      <c r="T360" s="1323"/>
      <c r="U360" s="1323"/>
      <c r="V360" s="1323"/>
    </row>
    <row r="361" spans="2:22" x14ac:dyDescent="0.2">
      <c r="B361" s="1323"/>
      <c r="C361" s="1323"/>
      <c r="D361" s="365"/>
      <c r="E361" s="365"/>
      <c r="F361" s="1325"/>
      <c r="G361" s="1325"/>
      <c r="H361" s="1325"/>
      <c r="I361" s="1325"/>
      <c r="J361" s="1325"/>
      <c r="K361" s="1325"/>
      <c r="L361" s="1325"/>
      <c r="M361" s="1325"/>
      <c r="N361" s="365"/>
      <c r="O361" s="1331"/>
      <c r="P361" s="1323"/>
      <c r="Q361" s="1323"/>
      <c r="R361" s="1323"/>
      <c r="S361" s="1323"/>
      <c r="T361" s="1323"/>
      <c r="U361" s="1323"/>
      <c r="V361" s="1323"/>
    </row>
    <row r="362" spans="2:22" x14ac:dyDescent="0.2">
      <c r="B362" s="1323"/>
      <c r="C362" s="1323"/>
      <c r="D362" s="365"/>
      <c r="E362" s="365"/>
      <c r="F362" s="1325"/>
      <c r="G362" s="1325"/>
      <c r="H362" s="1325"/>
      <c r="I362" s="1325"/>
      <c r="J362" s="1325"/>
      <c r="K362" s="1325"/>
      <c r="L362" s="1325"/>
      <c r="M362" s="1325"/>
      <c r="N362" s="365"/>
      <c r="O362" s="1331"/>
      <c r="P362" s="1323"/>
      <c r="Q362" s="1323"/>
      <c r="R362" s="1323"/>
      <c r="S362" s="1323"/>
      <c r="T362" s="1323"/>
      <c r="U362" s="1323"/>
      <c r="V362" s="1323"/>
    </row>
    <row r="363" spans="2:22" x14ac:dyDescent="0.2">
      <c r="B363" s="1323"/>
      <c r="C363" s="1323"/>
      <c r="D363" s="365"/>
      <c r="E363" s="365"/>
      <c r="F363" s="1325"/>
      <c r="G363" s="1325"/>
      <c r="H363" s="1325"/>
      <c r="I363" s="1325"/>
      <c r="J363" s="1325"/>
      <c r="K363" s="1325"/>
      <c r="L363" s="1325"/>
      <c r="M363" s="1325"/>
      <c r="N363" s="365"/>
      <c r="O363" s="1331"/>
      <c r="P363" s="1323"/>
      <c r="Q363" s="1323"/>
      <c r="R363" s="1323"/>
      <c r="S363" s="1323"/>
      <c r="T363" s="1323"/>
      <c r="U363" s="1323"/>
      <c r="V363" s="1323"/>
    </row>
    <row r="364" spans="2:22" x14ac:dyDescent="0.2">
      <c r="B364" s="1323"/>
      <c r="C364" s="1323"/>
      <c r="D364" s="365"/>
      <c r="E364" s="365"/>
      <c r="F364" s="1325"/>
      <c r="G364" s="1325"/>
      <c r="H364" s="1325"/>
      <c r="I364" s="1325"/>
      <c r="J364" s="1325"/>
      <c r="K364" s="1325"/>
      <c r="L364" s="1325"/>
      <c r="M364" s="1325"/>
      <c r="N364" s="365"/>
      <c r="O364" s="1331"/>
      <c r="P364" s="1323"/>
      <c r="Q364" s="1323"/>
      <c r="R364" s="1323"/>
      <c r="S364" s="1323"/>
      <c r="T364" s="1323"/>
      <c r="U364" s="1323"/>
      <c r="V364" s="1323"/>
    </row>
    <row r="365" spans="2:22" x14ac:dyDescent="0.2">
      <c r="B365" s="1323"/>
      <c r="C365" s="1323"/>
      <c r="D365" s="365"/>
      <c r="E365" s="365"/>
      <c r="F365" s="1325"/>
      <c r="G365" s="1325"/>
      <c r="H365" s="1325"/>
      <c r="I365" s="1325"/>
      <c r="J365" s="1325"/>
      <c r="K365" s="1325"/>
      <c r="L365" s="1325"/>
      <c r="M365" s="1325"/>
      <c r="N365" s="365"/>
      <c r="O365" s="1331"/>
      <c r="P365" s="1323"/>
      <c r="Q365" s="1323"/>
      <c r="R365" s="1323"/>
      <c r="S365" s="1323"/>
      <c r="T365" s="1323"/>
      <c r="U365" s="1323"/>
      <c r="V365" s="1323"/>
    </row>
    <row r="366" spans="2:22" x14ac:dyDescent="0.2">
      <c r="B366" s="1323"/>
      <c r="C366" s="1323"/>
      <c r="D366" s="365"/>
      <c r="E366" s="365"/>
      <c r="F366" s="1325"/>
      <c r="G366" s="1325"/>
      <c r="H366" s="1325"/>
      <c r="I366" s="1325"/>
      <c r="J366" s="1325"/>
      <c r="K366" s="1325"/>
      <c r="L366" s="1325"/>
      <c r="M366" s="1325"/>
      <c r="N366" s="365"/>
      <c r="O366" s="1331"/>
      <c r="P366" s="1323"/>
      <c r="Q366" s="1323"/>
      <c r="R366" s="1323"/>
      <c r="S366" s="1323"/>
      <c r="T366" s="1323"/>
      <c r="U366" s="1323"/>
      <c r="V366" s="1323"/>
    </row>
    <row r="367" spans="2:22" x14ac:dyDescent="0.2">
      <c r="B367" s="1323"/>
      <c r="C367" s="1323"/>
      <c r="D367" s="365"/>
      <c r="E367" s="365"/>
      <c r="F367" s="1325"/>
      <c r="G367" s="1325"/>
      <c r="H367" s="1325"/>
      <c r="I367" s="1325"/>
      <c r="J367" s="1325"/>
      <c r="K367" s="1325"/>
      <c r="L367" s="1325"/>
      <c r="M367" s="1325"/>
      <c r="N367" s="365"/>
      <c r="O367" s="1331"/>
      <c r="P367" s="1323"/>
      <c r="Q367" s="1323"/>
      <c r="R367" s="1323"/>
      <c r="S367" s="1323"/>
      <c r="T367" s="1323"/>
      <c r="U367" s="1323"/>
      <c r="V367" s="1323"/>
    </row>
    <row r="368" spans="2:22" x14ac:dyDescent="0.2">
      <c r="B368" s="1323"/>
      <c r="C368" s="1323"/>
      <c r="D368" s="365"/>
      <c r="E368" s="365"/>
      <c r="F368" s="1325"/>
      <c r="G368" s="1325"/>
      <c r="H368" s="1325"/>
      <c r="I368" s="1325"/>
      <c r="J368" s="1325"/>
      <c r="K368" s="1325"/>
      <c r="L368" s="1325"/>
      <c r="M368" s="1325"/>
      <c r="N368" s="365"/>
      <c r="O368" s="1331"/>
      <c r="P368" s="1323"/>
      <c r="Q368" s="1323"/>
      <c r="R368" s="1323"/>
      <c r="S368" s="1323"/>
      <c r="T368" s="1323"/>
      <c r="U368" s="1323"/>
      <c r="V368" s="1323"/>
    </row>
    <row r="369" spans="2:22" x14ac:dyDescent="0.2">
      <c r="B369" s="1323"/>
      <c r="C369" s="1323"/>
      <c r="D369" s="365"/>
      <c r="E369" s="365"/>
      <c r="F369" s="1325"/>
      <c r="G369" s="1325"/>
      <c r="H369" s="1325"/>
      <c r="I369" s="1325"/>
      <c r="J369" s="1325"/>
      <c r="K369" s="1325"/>
      <c r="L369" s="1325"/>
      <c r="M369" s="1325"/>
      <c r="N369" s="365"/>
      <c r="O369" s="1331"/>
      <c r="P369" s="1323"/>
      <c r="Q369" s="1323"/>
      <c r="R369" s="1323"/>
      <c r="S369" s="1323"/>
      <c r="T369" s="1323"/>
      <c r="U369" s="1323"/>
      <c r="V369" s="1323"/>
    </row>
    <row r="370" spans="2:22" x14ac:dyDescent="0.2">
      <c r="B370" s="1323"/>
      <c r="C370" s="1323"/>
      <c r="D370" s="365"/>
      <c r="E370" s="365"/>
      <c r="F370" s="1325"/>
      <c r="G370" s="1325"/>
      <c r="H370" s="1325"/>
      <c r="I370" s="1325"/>
      <c r="J370" s="1325"/>
      <c r="K370" s="1325"/>
      <c r="L370" s="1325"/>
      <c r="M370" s="1325"/>
      <c r="N370" s="365"/>
      <c r="O370" s="1331"/>
      <c r="P370" s="1323"/>
      <c r="Q370" s="1323"/>
      <c r="R370" s="1323"/>
      <c r="S370" s="1323"/>
      <c r="T370" s="1323"/>
      <c r="U370" s="1323"/>
      <c r="V370" s="1323"/>
    </row>
    <row r="371" spans="2:22" x14ac:dyDescent="0.2">
      <c r="B371" s="1323"/>
      <c r="C371" s="1323"/>
      <c r="D371" s="365"/>
      <c r="E371" s="365"/>
      <c r="F371" s="1325"/>
      <c r="G371" s="1325"/>
      <c r="H371" s="1325"/>
      <c r="I371" s="1325"/>
      <c r="J371" s="1325"/>
      <c r="K371" s="1325"/>
      <c r="L371" s="1325"/>
      <c r="M371" s="1325"/>
      <c r="N371" s="365"/>
      <c r="O371" s="1331"/>
      <c r="P371" s="1323"/>
      <c r="Q371" s="1323"/>
      <c r="R371" s="1323"/>
      <c r="S371" s="1323"/>
      <c r="T371" s="1323"/>
      <c r="U371" s="1323"/>
      <c r="V371" s="1323"/>
    </row>
    <row r="372" spans="2:22" x14ac:dyDescent="0.2">
      <c r="B372" s="1323"/>
      <c r="C372" s="1323"/>
      <c r="D372" s="365"/>
      <c r="E372" s="365"/>
      <c r="F372" s="1325"/>
      <c r="G372" s="1325"/>
      <c r="H372" s="1325"/>
      <c r="I372" s="1325"/>
      <c r="J372" s="1325"/>
      <c r="K372" s="1325"/>
      <c r="L372" s="1325"/>
      <c r="M372" s="1325"/>
      <c r="N372" s="365"/>
      <c r="O372" s="1331"/>
      <c r="P372" s="1323"/>
      <c r="Q372" s="1323"/>
      <c r="R372" s="1323"/>
      <c r="S372" s="1323"/>
      <c r="T372" s="1323"/>
      <c r="U372" s="1323"/>
      <c r="V372" s="1323"/>
    </row>
    <row r="373" spans="2:22" x14ac:dyDescent="0.2">
      <c r="B373" s="1323"/>
      <c r="C373" s="1323"/>
      <c r="D373" s="365"/>
      <c r="E373" s="365"/>
      <c r="F373" s="1325"/>
      <c r="G373" s="1325"/>
      <c r="H373" s="1325"/>
      <c r="I373" s="1325"/>
      <c r="J373" s="1325"/>
      <c r="K373" s="1325"/>
      <c r="L373" s="1325"/>
      <c r="M373" s="1325"/>
      <c r="N373" s="365"/>
      <c r="O373" s="1331"/>
      <c r="P373" s="1323"/>
      <c r="Q373" s="1323"/>
      <c r="R373" s="1323"/>
      <c r="S373" s="1323"/>
      <c r="T373" s="1323"/>
      <c r="U373" s="1323"/>
      <c r="V373" s="1323"/>
    </row>
    <row r="374" spans="2:22" x14ac:dyDescent="0.2">
      <c r="B374" s="1323"/>
      <c r="C374" s="1323"/>
      <c r="D374" s="365"/>
      <c r="E374" s="365"/>
      <c r="F374" s="1325"/>
      <c r="G374" s="1325"/>
      <c r="H374" s="1325"/>
      <c r="I374" s="1325"/>
      <c r="J374" s="1325"/>
      <c r="K374" s="1325"/>
      <c r="L374" s="1325"/>
      <c r="M374" s="1325"/>
      <c r="N374" s="365"/>
      <c r="O374" s="1331"/>
      <c r="P374" s="1323"/>
      <c r="Q374" s="1323"/>
      <c r="R374" s="1323"/>
      <c r="S374" s="1323"/>
      <c r="T374" s="1323"/>
      <c r="U374" s="1323"/>
      <c r="V374" s="1323"/>
    </row>
    <row r="375" spans="2:22" x14ac:dyDescent="0.2">
      <c r="B375" s="1323"/>
      <c r="C375" s="1323"/>
      <c r="D375" s="365"/>
      <c r="E375" s="365"/>
      <c r="F375" s="1325"/>
      <c r="G375" s="1325"/>
      <c r="H375" s="1325"/>
      <c r="I375" s="1325"/>
      <c r="J375" s="1325"/>
      <c r="K375" s="1325"/>
      <c r="L375" s="1325"/>
      <c r="M375" s="1325"/>
      <c r="N375" s="365"/>
      <c r="O375" s="1331"/>
      <c r="P375" s="1323"/>
      <c r="Q375" s="1323"/>
      <c r="R375" s="1323"/>
      <c r="S375" s="1323"/>
      <c r="T375" s="1323"/>
      <c r="U375" s="1323"/>
      <c r="V375" s="1323"/>
    </row>
    <row r="376" spans="2:22" x14ac:dyDescent="0.2">
      <c r="B376" s="1323"/>
      <c r="C376" s="1323"/>
      <c r="D376" s="365"/>
      <c r="E376" s="365"/>
      <c r="F376" s="1325"/>
      <c r="G376" s="1325"/>
      <c r="H376" s="1325"/>
      <c r="I376" s="1325"/>
      <c r="J376" s="1325"/>
      <c r="K376" s="1325"/>
      <c r="L376" s="1325"/>
      <c r="M376" s="1325"/>
      <c r="N376" s="365"/>
      <c r="O376" s="1331"/>
      <c r="P376" s="1323"/>
      <c r="Q376" s="1323"/>
      <c r="R376" s="1323"/>
      <c r="S376" s="1323"/>
      <c r="T376" s="1323"/>
      <c r="U376" s="1323"/>
      <c r="V376" s="1323"/>
    </row>
    <row r="377" spans="2:22" x14ac:dyDescent="0.2">
      <c r="B377" s="1323"/>
      <c r="C377" s="1323"/>
      <c r="D377" s="365"/>
      <c r="E377" s="365"/>
      <c r="F377" s="1325"/>
      <c r="G377" s="1325"/>
      <c r="H377" s="1325"/>
      <c r="I377" s="1325"/>
      <c r="J377" s="1325"/>
      <c r="K377" s="1325"/>
      <c r="L377" s="1325"/>
      <c r="M377" s="1325"/>
      <c r="N377" s="365"/>
      <c r="O377" s="1331"/>
      <c r="P377" s="1323"/>
      <c r="Q377" s="1323"/>
      <c r="R377" s="1323"/>
      <c r="S377" s="1323"/>
      <c r="T377" s="1323"/>
      <c r="U377" s="1323"/>
      <c r="V377" s="1323"/>
    </row>
    <row r="378" spans="2:22" x14ac:dyDescent="0.2">
      <c r="B378" s="1323"/>
      <c r="C378" s="1323"/>
      <c r="D378" s="365"/>
      <c r="E378" s="365"/>
      <c r="F378" s="1325"/>
      <c r="G378" s="1325"/>
      <c r="H378" s="1325"/>
      <c r="I378" s="1325"/>
      <c r="J378" s="1325"/>
      <c r="K378" s="1325"/>
      <c r="L378" s="1325"/>
      <c r="M378" s="1325"/>
      <c r="N378" s="365"/>
      <c r="O378" s="1331"/>
      <c r="P378" s="1323"/>
      <c r="Q378" s="1323"/>
      <c r="R378" s="1323"/>
      <c r="S378" s="1323"/>
      <c r="T378" s="1323"/>
      <c r="U378" s="1323"/>
      <c r="V378" s="1323"/>
    </row>
    <row r="379" spans="2:22" x14ac:dyDescent="0.2">
      <c r="B379" s="1323"/>
      <c r="C379" s="1323"/>
      <c r="D379" s="365"/>
      <c r="E379" s="365"/>
      <c r="F379" s="1325"/>
      <c r="G379" s="1325"/>
      <c r="H379" s="1325"/>
      <c r="I379" s="1325"/>
      <c r="J379" s="1325"/>
      <c r="K379" s="1325"/>
      <c r="L379" s="1325"/>
      <c r="M379" s="1325"/>
      <c r="N379" s="365"/>
      <c r="O379" s="1331"/>
      <c r="P379" s="1323"/>
      <c r="Q379" s="1323"/>
      <c r="R379" s="1323"/>
      <c r="S379" s="1323"/>
      <c r="T379" s="1323"/>
      <c r="U379" s="1323"/>
      <c r="V379" s="1323"/>
    </row>
    <row r="380" spans="2:22" x14ac:dyDescent="0.2">
      <c r="B380" s="1323"/>
      <c r="C380" s="1323"/>
      <c r="D380" s="365"/>
      <c r="E380" s="365"/>
      <c r="F380" s="1325"/>
      <c r="G380" s="1325"/>
      <c r="H380" s="1325"/>
      <c r="I380" s="1325"/>
      <c r="J380" s="1325"/>
      <c r="K380" s="1325"/>
      <c r="L380" s="1325"/>
      <c r="M380" s="1325"/>
      <c r="N380" s="365"/>
      <c r="O380" s="1331"/>
      <c r="P380" s="1323"/>
      <c r="Q380" s="1323"/>
      <c r="R380" s="1323"/>
      <c r="S380" s="1323"/>
      <c r="T380" s="1323"/>
      <c r="U380" s="1323"/>
      <c r="V380" s="1323"/>
    </row>
    <row r="381" spans="2:22" x14ac:dyDescent="0.2">
      <c r="B381" s="1323"/>
      <c r="C381" s="1323"/>
      <c r="D381" s="365"/>
      <c r="E381" s="365"/>
      <c r="F381" s="1325"/>
      <c r="G381" s="1325"/>
      <c r="H381" s="1325"/>
      <c r="I381" s="1325"/>
      <c r="J381" s="1325"/>
      <c r="K381" s="1325"/>
      <c r="L381" s="1325"/>
      <c r="M381" s="1325"/>
      <c r="N381" s="365"/>
      <c r="O381" s="1331"/>
      <c r="P381" s="1323"/>
      <c r="Q381" s="1323"/>
      <c r="R381" s="1323"/>
      <c r="S381" s="1323"/>
      <c r="T381" s="1323"/>
      <c r="U381" s="1323"/>
      <c r="V381" s="1323"/>
    </row>
    <row r="382" spans="2:22" x14ac:dyDescent="0.2">
      <c r="B382" s="1323"/>
      <c r="C382" s="1323"/>
      <c r="D382" s="365"/>
      <c r="E382" s="365"/>
      <c r="F382" s="1325"/>
      <c r="G382" s="1325"/>
      <c r="H382" s="1325"/>
      <c r="I382" s="1325"/>
      <c r="J382" s="1325"/>
      <c r="K382" s="1325"/>
      <c r="L382" s="1325"/>
      <c r="M382" s="1325"/>
      <c r="N382" s="365"/>
      <c r="O382" s="1331"/>
      <c r="P382" s="1323"/>
      <c r="Q382" s="1323"/>
      <c r="R382" s="1323"/>
      <c r="S382" s="1323"/>
      <c r="T382" s="1323"/>
      <c r="U382" s="1323"/>
      <c r="V382" s="1323"/>
    </row>
    <row r="383" spans="2:22" x14ac:dyDescent="0.2">
      <c r="B383" s="1323"/>
      <c r="C383" s="1323"/>
      <c r="D383" s="365"/>
      <c r="E383" s="365"/>
      <c r="F383" s="1325"/>
      <c r="G383" s="1325"/>
      <c r="H383" s="1325"/>
      <c r="I383" s="1325"/>
      <c r="J383" s="1325"/>
      <c r="K383" s="1325"/>
      <c r="L383" s="1325"/>
      <c r="M383" s="1325"/>
      <c r="N383" s="365"/>
      <c r="O383" s="1331"/>
      <c r="P383" s="1323"/>
      <c r="Q383" s="1323"/>
      <c r="R383" s="1323"/>
      <c r="S383" s="1323"/>
      <c r="T383" s="1323"/>
      <c r="U383" s="1323"/>
      <c r="V383" s="1323"/>
    </row>
    <row r="384" spans="2:22" x14ac:dyDescent="0.2">
      <c r="B384" s="1323"/>
      <c r="C384" s="1323"/>
      <c r="D384" s="365"/>
      <c r="E384" s="365"/>
      <c r="F384" s="1325"/>
      <c r="G384" s="1325"/>
      <c r="H384" s="1325"/>
      <c r="I384" s="1325"/>
      <c r="J384" s="1325"/>
      <c r="K384" s="1325"/>
      <c r="L384" s="1325"/>
      <c r="M384" s="1325"/>
      <c r="N384" s="365"/>
      <c r="O384" s="1331"/>
      <c r="P384" s="1323"/>
      <c r="Q384" s="1323"/>
      <c r="R384" s="1323"/>
      <c r="S384" s="1323"/>
      <c r="T384" s="1323"/>
      <c r="U384" s="1323"/>
      <c r="V384" s="1323"/>
    </row>
    <row r="385" spans="2:22" x14ac:dyDescent="0.2">
      <c r="B385" s="1323"/>
      <c r="C385" s="1323"/>
      <c r="D385" s="365"/>
      <c r="E385" s="365"/>
      <c r="F385" s="1325"/>
      <c r="G385" s="1325"/>
      <c r="H385" s="1325"/>
      <c r="I385" s="1325"/>
      <c r="J385" s="1325"/>
      <c r="K385" s="1325"/>
      <c r="L385" s="1325"/>
      <c r="M385" s="1325"/>
      <c r="N385" s="365"/>
      <c r="O385" s="1331"/>
      <c r="P385" s="1323"/>
      <c r="Q385" s="1323"/>
      <c r="R385" s="1323"/>
      <c r="S385" s="1323"/>
      <c r="T385" s="1323"/>
      <c r="U385" s="1323"/>
      <c r="V385" s="1323"/>
    </row>
    <row r="386" spans="2:22" x14ac:dyDescent="0.2">
      <c r="B386" s="1323"/>
      <c r="C386" s="1323"/>
      <c r="D386" s="365"/>
      <c r="E386" s="365"/>
      <c r="F386" s="1325"/>
      <c r="G386" s="1325"/>
      <c r="H386" s="1325"/>
      <c r="I386" s="1325"/>
      <c r="J386" s="1325"/>
      <c r="K386" s="1325"/>
      <c r="L386" s="1325"/>
      <c r="M386" s="1325"/>
      <c r="N386" s="365"/>
      <c r="O386" s="1331"/>
      <c r="P386" s="1323"/>
      <c r="Q386" s="1323"/>
      <c r="R386" s="1323"/>
      <c r="S386" s="1323"/>
      <c r="T386" s="1323"/>
      <c r="U386" s="1323"/>
      <c r="V386" s="1323"/>
    </row>
    <row r="387" spans="2:22" x14ac:dyDescent="0.2">
      <c r="B387" s="1323"/>
      <c r="C387" s="1323"/>
      <c r="D387" s="365"/>
      <c r="E387" s="365"/>
      <c r="F387" s="1325"/>
      <c r="G387" s="1325"/>
      <c r="H387" s="1325"/>
      <c r="I387" s="1325"/>
      <c r="J387" s="1325"/>
      <c r="K387" s="1325"/>
      <c r="L387" s="1325"/>
      <c r="M387" s="1325"/>
      <c r="N387" s="365"/>
      <c r="O387" s="1331"/>
      <c r="P387" s="1323"/>
      <c r="Q387" s="1323"/>
      <c r="R387" s="1323"/>
      <c r="S387" s="1323"/>
      <c r="T387" s="1323"/>
      <c r="U387" s="1323"/>
      <c r="V387" s="1323"/>
    </row>
    <row r="388" spans="2:22" x14ac:dyDescent="0.2">
      <c r="B388" s="1323"/>
      <c r="C388" s="1323"/>
      <c r="D388" s="365"/>
      <c r="E388" s="365"/>
      <c r="F388" s="1325"/>
      <c r="G388" s="1325"/>
      <c r="H388" s="1325"/>
      <c r="I388" s="1325"/>
      <c r="J388" s="1325"/>
      <c r="K388" s="1325"/>
      <c r="L388" s="1325"/>
      <c r="M388" s="1325"/>
      <c r="N388" s="365"/>
      <c r="O388" s="1331"/>
      <c r="P388" s="1323"/>
      <c r="Q388" s="1323"/>
      <c r="R388" s="1323"/>
      <c r="S388" s="1323"/>
      <c r="T388" s="1323"/>
      <c r="U388" s="1323"/>
      <c r="V388" s="1323"/>
    </row>
    <row r="389" spans="2:22" x14ac:dyDescent="0.2">
      <c r="B389" s="1323"/>
      <c r="C389" s="1323"/>
      <c r="D389" s="365"/>
      <c r="E389" s="365"/>
      <c r="F389" s="1325"/>
      <c r="G389" s="1325"/>
      <c r="H389" s="1325"/>
      <c r="I389" s="1325"/>
      <c r="J389" s="1325"/>
      <c r="K389" s="1325"/>
      <c r="L389" s="1325"/>
      <c r="M389" s="1325"/>
      <c r="N389" s="365"/>
      <c r="O389" s="1331"/>
      <c r="P389" s="1323"/>
      <c r="Q389" s="1323"/>
      <c r="R389" s="1323"/>
      <c r="S389" s="1323"/>
      <c r="T389" s="1323"/>
      <c r="U389" s="1323"/>
      <c r="V389" s="1323"/>
    </row>
    <row r="390" spans="2:22" x14ac:dyDescent="0.2">
      <c r="B390" s="1323"/>
      <c r="C390" s="1323"/>
      <c r="D390" s="365"/>
      <c r="E390" s="365"/>
      <c r="F390" s="1325"/>
      <c r="G390" s="1325"/>
      <c r="H390" s="1325"/>
      <c r="I390" s="1325"/>
      <c r="J390" s="1325"/>
      <c r="K390" s="1325"/>
      <c r="L390" s="1325"/>
      <c r="M390" s="1325"/>
      <c r="N390" s="365"/>
      <c r="O390" s="1331"/>
      <c r="P390" s="1323"/>
      <c r="Q390" s="1323"/>
      <c r="R390" s="1323"/>
      <c r="S390" s="1323"/>
      <c r="T390" s="1323"/>
      <c r="U390" s="1323"/>
      <c r="V390" s="1323"/>
    </row>
    <row r="391" spans="2:22" x14ac:dyDescent="0.2">
      <c r="B391" s="1323"/>
      <c r="C391" s="1323"/>
      <c r="D391" s="365"/>
      <c r="E391" s="365"/>
      <c r="F391" s="1325"/>
      <c r="G391" s="1325"/>
      <c r="H391" s="1325"/>
      <c r="I391" s="1325"/>
      <c r="J391" s="1325"/>
      <c r="K391" s="1325"/>
      <c r="L391" s="1325"/>
      <c r="M391" s="1325"/>
      <c r="N391" s="365"/>
      <c r="O391" s="1331"/>
      <c r="P391" s="1323"/>
      <c r="Q391" s="1323"/>
      <c r="R391" s="1323"/>
      <c r="S391" s="1323"/>
      <c r="T391" s="1323"/>
      <c r="U391" s="1323"/>
      <c r="V391" s="1323"/>
    </row>
    <row r="392" spans="2:22" x14ac:dyDescent="0.2">
      <c r="B392" s="1323"/>
      <c r="C392" s="1323"/>
      <c r="D392" s="365"/>
      <c r="E392" s="365"/>
      <c r="F392" s="1325"/>
      <c r="G392" s="1325"/>
      <c r="H392" s="1325"/>
      <c r="I392" s="1325"/>
      <c r="J392" s="1325"/>
      <c r="K392" s="1325"/>
      <c r="L392" s="1325"/>
      <c r="M392" s="1325"/>
      <c r="N392" s="365"/>
      <c r="O392" s="1331"/>
      <c r="P392" s="1323"/>
      <c r="Q392" s="1323"/>
      <c r="R392" s="1323"/>
      <c r="S392" s="1323"/>
      <c r="T392" s="1323"/>
      <c r="U392" s="1323"/>
      <c r="V392" s="1323"/>
    </row>
    <row r="393" spans="2:22" x14ac:dyDescent="0.2">
      <c r="B393" s="1323"/>
      <c r="C393" s="1323"/>
      <c r="D393" s="365"/>
      <c r="E393" s="365"/>
      <c r="F393" s="1325"/>
      <c r="G393" s="1325"/>
      <c r="H393" s="1325"/>
      <c r="I393" s="1325"/>
      <c r="J393" s="1325"/>
      <c r="K393" s="1325"/>
      <c r="L393" s="1325"/>
      <c r="M393" s="1325"/>
      <c r="N393" s="365"/>
      <c r="O393" s="1331"/>
      <c r="P393" s="1323"/>
      <c r="Q393" s="1323"/>
      <c r="R393" s="1323"/>
      <c r="S393" s="1323"/>
      <c r="T393" s="1323"/>
      <c r="U393" s="1323"/>
      <c r="V393" s="1323"/>
    </row>
    <row r="394" spans="2:22" x14ac:dyDescent="0.2">
      <c r="B394" s="1323"/>
      <c r="C394" s="1323"/>
      <c r="D394" s="365"/>
      <c r="E394" s="365"/>
      <c r="F394" s="1325"/>
      <c r="G394" s="1325"/>
      <c r="H394" s="1325"/>
      <c r="I394" s="1325"/>
      <c r="J394" s="1325"/>
      <c r="K394" s="1325"/>
      <c r="L394" s="1325"/>
      <c r="M394" s="1325"/>
      <c r="N394" s="365"/>
      <c r="O394" s="1331"/>
      <c r="P394" s="1323"/>
      <c r="Q394" s="1323"/>
      <c r="R394" s="1323"/>
      <c r="S394" s="1323"/>
      <c r="T394" s="1323"/>
      <c r="U394" s="1323"/>
      <c r="V394" s="1323"/>
    </row>
    <row r="395" spans="2:22" x14ac:dyDescent="0.2">
      <c r="B395" s="1323"/>
      <c r="C395" s="1323"/>
      <c r="D395" s="365"/>
      <c r="E395" s="365"/>
      <c r="F395" s="1325"/>
      <c r="G395" s="1325"/>
      <c r="H395" s="1325"/>
      <c r="I395" s="1325"/>
      <c r="J395" s="1325"/>
      <c r="K395" s="1325"/>
      <c r="L395" s="1325"/>
      <c r="M395" s="1325"/>
      <c r="N395" s="365"/>
      <c r="O395" s="1331"/>
      <c r="P395" s="1323"/>
      <c r="Q395" s="1323"/>
      <c r="R395" s="1323"/>
      <c r="S395" s="1323"/>
      <c r="T395" s="1323"/>
      <c r="U395" s="1323"/>
      <c r="V395" s="1323"/>
    </row>
    <row r="396" spans="2:22" x14ac:dyDescent="0.2">
      <c r="B396" s="1323"/>
      <c r="C396" s="1323"/>
      <c r="D396" s="365"/>
      <c r="E396" s="365"/>
      <c r="F396" s="1325"/>
      <c r="G396" s="1325"/>
      <c r="H396" s="1325"/>
      <c r="I396" s="1325"/>
      <c r="J396" s="1325"/>
      <c r="K396" s="1325"/>
      <c r="L396" s="1325"/>
      <c r="M396" s="1325"/>
      <c r="N396" s="365"/>
      <c r="O396" s="1331"/>
      <c r="P396" s="1323"/>
      <c r="Q396" s="1323"/>
      <c r="R396" s="1323"/>
      <c r="S396" s="1323"/>
      <c r="T396" s="1323"/>
      <c r="U396" s="1323"/>
      <c r="V396" s="1323"/>
    </row>
    <row r="397" spans="2:22" x14ac:dyDescent="0.2">
      <c r="B397" s="1323"/>
      <c r="C397" s="1323"/>
      <c r="D397" s="365"/>
      <c r="E397" s="365"/>
      <c r="F397" s="1325"/>
      <c r="G397" s="1325"/>
      <c r="H397" s="1325"/>
      <c r="I397" s="1325"/>
      <c r="J397" s="1325"/>
      <c r="K397" s="1325"/>
      <c r="L397" s="1325"/>
      <c r="M397" s="1325"/>
      <c r="N397" s="365"/>
      <c r="O397" s="1331"/>
      <c r="P397" s="1323"/>
      <c r="Q397" s="1323"/>
      <c r="R397" s="1323"/>
      <c r="S397" s="1323"/>
      <c r="T397" s="1323"/>
      <c r="U397" s="1323"/>
      <c r="V397" s="1323"/>
    </row>
    <row r="398" spans="2:22" x14ac:dyDescent="0.2">
      <c r="B398" s="1323"/>
      <c r="C398" s="1323"/>
      <c r="D398" s="365"/>
      <c r="E398" s="365"/>
      <c r="F398" s="1325"/>
      <c r="G398" s="1325"/>
      <c r="H398" s="1325"/>
      <c r="I398" s="1325"/>
      <c r="J398" s="1325"/>
      <c r="K398" s="1325"/>
      <c r="L398" s="1325"/>
      <c r="M398" s="1325"/>
      <c r="N398" s="365"/>
      <c r="O398" s="1331"/>
      <c r="P398" s="1323"/>
      <c r="Q398" s="1323"/>
      <c r="R398" s="1323"/>
      <c r="S398" s="1323"/>
      <c r="T398" s="1323"/>
      <c r="U398" s="1323"/>
      <c r="V398" s="1323"/>
    </row>
    <row r="399" spans="2:22" x14ac:dyDescent="0.2">
      <c r="B399" s="1323"/>
      <c r="C399" s="1323"/>
      <c r="D399" s="365"/>
      <c r="E399" s="365"/>
      <c r="F399" s="1325"/>
      <c r="G399" s="1325"/>
      <c r="H399" s="1325"/>
      <c r="I399" s="1325"/>
      <c r="J399" s="1325"/>
      <c r="K399" s="1325"/>
      <c r="L399" s="1325"/>
      <c r="M399" s="1325"/>
      <c r="N399" s="365"/>
      <c r="O399" s="1331"/>
      <c r="P399" s="1323"/>
      <c r="Q399" s="1323"/>
      <c r="R399" s="1323"/>
      <c r="S399" s="1323"/>
      <c r="T399" s="1323"/>
      <c r="U399" s="1323"/>
      <c r="V399" s="1323"/>
    </row>
    <row r="400" spans="2:22" x14ac:dyDescent="0.2">
      <c r="B400" s="1323"/>
      <c r="C400" s="1323"/>
      <c r="D400" s="365"/>
      <c r="E400" s="365"/>
      <c r="F400" s="1325"/>
      <c r="G400" s="1325"/>
      <c r="H400" s="1325"/>
      <c r="I400" s="1325"/>
      <c r="J400" s="1325"/>
      <c r="K400" s="1325"/>
      <c r="L400" s="1325"/>
      <c r="M400" s="1325"/>
      <c r="N400" s="365"/>
      <c r="O400" s="1331"/>
      <c r="P400" s="1323"/>
      <c r="Q400" s="1323"/>
      <c r="R400" s="1323"/>
      <c r="S400" s="1323"/>
      <c r="T400" s="1323"/>
      <c r="U400" s="1323"/>
      <c r="V400" s="1323"/>
    </row>
    <row r="401" spans="2:22" x14ac:dyDescent="0.2">
      <c r="B401" s="1323"/>
      <c r="C401" s="1323"/>
      <c r="D401" s="365"/>
      <c r="E401" s="365"/>
      <c r="F401" s="1325"/>
      <c r="G401" s="1325"/>
      <c r="H401" s="1325"/>
      <c r="I401" s="1325"/>
      <c r="J401" s="1325"/>
      <c r="K401" s="1325"/>
      <c r="L401" s="1325"/>
      <c r="M401" s="1325"/>
      <c r="N401" s="365"/>
      <c r="O401" s="1331"/>
      <c r="P401" s="1323"/>
      <c r="Q401" s="1323"/>
      <c r="R401" s="1323"/>
      <c r="S401" s="1323"/>
      <c r="T401" s="1323"/>
      <c r="U401" s="1323"/>
      <c r="V401" s="1323"/>
    </row>
    <row r="402" spans="2:22" x14ac:dyDescent="0.2">
      <c r="B402" s="1323"/>
      <c r="C402" s="1323"/>
      <c r="D402" s="365"/>
      <c r="E402" s="365"/>
      <c r="F402" s="1325"/>
      <c r="G402" s="1325"/>
      <c r="H402" s="1325"/>
      <c r="I402" s="1325"/>
      <c r="J402" s="1325"/>
      <c r="K402" s="1325"/>
      <c r="L402" s="1325"/>
      <c r="M402" s="1325"/>
      <c r="N402" s="365"/>
      <c r="O402" s="1331"/>
      <c r="P402" s="1323"/>
      <c r="Q402" s="1323"/>
      <c r="R402" s="1323"/>
      <c r="S402" s="1323"/>
      <c r="T402" s="1323"/>
      <c r="U402" s="1323"/>
      <c r="V402" s="1323"/>
    </row>
    <row r="403" spans="2:22" x14ac:dyDescent="0.2">
      <c r="B403" s="1323"/>
      <c r="C403" s="1323"/>
      <c r="D403" s="365"/>
      <c r="E403" s="365"/>
      <c r="F403" s="1325"/>
      <c r="G403" s="1325"/>
      <c r="H403" s="1325"/>
      <c r="I403" s="1325"/>
      <c r="J403" s="1325"/>
      <c r="K403" s="1325"/>
      <c r="L403" s="1325"/>
      <c r="M403" s="1325"/>
      <c r="N403" s="365"/>
      <c r="O403" s="1331"/>
      <c r="P403" s="1323"/>
      <c r="Q403" s="1323"/>
      <c r="R403" s="1323"/>
      <c r="S403" s="1323"/>
      <c r="T403" s="1323"/>
      <c r="U403" s="1323"/>
      <c r="V403" s="1323"/>
    </row>
    <row r="404" spans="2:22" x14ac:dyDescent="0.2">
      <c r="B404" s="1323"/>
      <c r="C404" s="1323"/>
      <c r="D404" s="365"/>
      <c r="E404" s="365"/>
      <c r="F404" s="1325"/>
      <c r="G404" s="1325"/>
      <c r="H404" s="1325"/>
      <c r="I404" s="1325"/>
      <c r="J404" s="1325"/>
      <c r="K404" s="1325"/>
      <c r="L404" s="1325"/>
      <c r="M404" s="1325"/>
      <c r="N404" s="365"/>
      <c r="O404" s="1331"/>
      <c r="P404" s="1323"/>
      <c r="Q404" s="1323"/>
      <c r="R404" s="1323"/>
      <c r="S404" s="1323"/>
      <c r="T404" s="1323"/>
      <c r="U404" s="1323"/>
      <c r="V404" s="1323"/>
    </row>
    <row r="405" spans="2:22" x14ac:dyDescent="0.2">
      <c r="B405" s="1323"/>
      <c r="C405" s="1323"/>
      <c r="D405" s="365"/>
      <c r="E405" s="365"/>
      <c r="F405" s="1325"/>
      <c r="G405" s="1325"/>
      <c r="H405" s="1325"/>
      <c r="I405" s="1325"/>
      <c r="J405" s="1325"/>
      <c r="K405" s="1325"/>
      <c r="L405" s="1325"/>
      <c r="M405" s="1325"/>
      <c r="N405" s="365"/>
      <c r="O405" s="1331"/>
      <c r="P405" s="1323"/>
      <c r="Q405" s="1323"/>
      <c r="R405" s="1323"/>
      <c r="S405" s="1323"/>
      <c r="T405" s="1323"/>
      <c r="U405" s="1323"/>
      <c r="V405" s="1323"/>
    </row>
    <row r="406" spans="2:22" x14ac:dyDescent="0.2">
      <c r="B406" s="1323"/>
      <c r="C406" s="1323"/>
      <c r="D406" s="365"/>
      <c r="E406" s="365"/>
      <c r="F406" s="1325"/>
      <c r="G406" s="1325"/>
      <c r="H406" s="1325"/>
      <c r="I406" s="1325"/>
      <c r="J406" s="1325"/>
      <c r="K406" s="1325"/>
      <c r="L406" s="1325"/>
      <c r="M406" s="1325"/>
      <c r="N406" s="365"/>
      <c r="O406" s="1331"/>
      <c r="P406" s="1323"/>
      <c r="Q406" s="1323"/>
      <c r="R406" s="1323"/>
      <c r="S406" s="1323"/>
      <c r="T406" s="1323"/>
      <c r="U406" s="1323"/>
      <c r="V406" s="1323"/>
    </row>
    <row r="407" spans="2:22" x14ac:dyDescent="0.2">
      <c r="B407" s="1323"/>
      <c r="C407" s="1323"/>
      <c r="D407" s="365"/>
      <c r="E407" s="365"/>
      <c r="F407" s="1325"/>
      <c r="G407" s="1325"/>
      <c r="H407" s="1325"/>
      <c r="I407" s="1325"/>
      <c r="J407" s="1325"/>
      <c r="K407" s="1325"/>
      <c r="L407" s="1325"/>
      <c r="M407" s="1325"/>
      <c r="N407" s="365"/>
      <c r="O407" s="1331"/>
      <c r="P407" s="1323"/>
      <c r="Q407" s="1323"/>
      <c r="R407" s="1323"/>
      <c r="S407" s="1323"/>
      <c r="T407" s="1323"/>
      <c r="U407" s="1323"/>
      <c r="V407" s="1323"/>
    </row>
    <row r="408" spans="2:22" x14ac:dyDescent="0.2">
      <c r="B408" s="1323"/>
      <c r="C408" s="1323"/>
      <c r="D408" s="365"/>
      <c r="E408" s="365"/>
      <c r="F408" s="1325"/>
      <c r="G408" s="1325"/>
      <c r="H408" s="1325"/>
      <c r="I408" s="1325"/>
      <c r="J408" s="1325"/>
      <c r="K408" s="1325"/>
      <c r="L408" s="1325"/>
      <c r="M408" s="1325"/>
      <c r="N408" s="365"/>
      <c r="O408" s="1331"/>
      <c r="P408" s="1323"/>
      <c r="Q408" s="1323"/>
      <c r="R408" s="1323"/>
      <c r="S408" s="1323"/>
      <c r="T408" s="1323"/>
      <c r="U408" s="1323"/>
      <c r="V408" s="1323"/>
    </row>
    <row r="409" spans="2:22" x14ac:dyDescent="0.2">
      <c r="B409" s="1323"/>
      <c r="C409" s="1323"/>
      <c r="D409" s="365"/>
      <c r="E409" s="365"/>
      <c r="F409" s="1325"/>
      <c r="G409" s="1325"/>
      <c r="H409" s="1325"/>
      <c r="I409" s="1325"/>
      <c r="J409" s="1325"/>
      <c r="K409" s="1325"/>
      <c r="L409" s="1325"/>
      <c r="M409" s="1325"/>
      <c r="N409" s="365"/>
      <c r="O409" s="1331"/>
      <c r="P409" s="1323"/>
      <c r="Q409" s="1323"/>
      <c r="R409" s="1323"/>
      <c r="S409" s="1323"/>
      <c r="T409" s="1323"/>
      <c r="U409" s="1323"/>
      <c r="V409" s="1323"/>
    </row>
    <row r="410" spans="2:22" x14ac:dyDescent="0.2">
      <c r="B410" s="1323"/>
      <c r="C410" s="1323"/>
      <c r="D410" s="365"/>
      <c r="E410" s="365"/>
      <c r="F410" s="1325"/>
      <c r="G410" s="1325"/>
      <c r="H410" s="1325"/>
      <c r="I410" s="1325"/>
      <c r="J410" s="1325"/>
      <c r="K410" s="1325"/>
      <c r="L410" s="1325"/>
      <c r="M410" s="1325"/>
      <c r="N410" s="365"/>
      <c r="O410" s="1331"/>
      <c r="P410" s="1323"/>
      <c r="Q410" s="1323"/>
      <c r="R410" s="1323"/>
      <c r="S410" s="1323"/>
      <c r="T410" s="1323"/>
      <c r="U410" s="1323"/>
      <c r="V410" s="1323"/>
    </row>
    <row r="411" spans="2:22" x14ac:dyDescent="0.2">
      <c r="B411" s="1323"/>
      <c r="C411" s="1323"/>
      <c r="D411" s="365"/>
      <c r="E411" s="365"/>
      <c r="F411" s="1325"/>
      <c r="G411" s="1325"/>
      <c r="H411" s="1325"/>
      <c r="I411" s="1325"/>
      <c r="J411" s="1325"/>
      <c r="K411" s="1325"/>
      <c r="L411" s="1325"/>
      <c r="M411" s="1325"/>
      <c r="N411" s="365"/>
      <c r="O411" s="1331"/>
      <c r="P411" s="1323"/>
      <c r="Q411" s="1323"/>
      <c r="R411" s="1323"/>
      <c r="S411" s="1323"/>
      <c r="T411" s="1323"/>
      <c r="U411" s="1323"/>
      <c r="V411" s="1323"/>
    </row>
    <row r="412" spans="2:22" x14ac:dyDescent="0.2">
      <c r="B412" s="1323"/>
      <c r="C412" s="1323"/>
      <c r="D412" s="365"/>
      <c r="E412" s="365"/>
      <c r="F412" s="1325"/>
      <c r="G412" s="1325"/>
      <c r="H412" s="1325"/>
      <c r="I412" s="1325"/>
      <c r="J412" s="1325"/>
      <c r="K412" s="1325"/>
      <c r="L412" s="1325"/>
      <c r="M412" s="1325"/>
      <c r="N412" s="365"/>
      <c r="O412" s="1331"/>
      <c r="P412" s="1323"/>
      <c r="Q412" s="1323"/>
      <c r="R412" s="1323"/>
      <c r="S412" s="1323"/>
      <c r="T412" s="1323"/>
      <c r="U412" s="1323"/>
      <c r="V412" s="1323"/>
    </row>
    <row r="413" spans="2:22" x14ac:dyDescent="0.2">
      <c r="B413" s="1323"/>
      <c r="C413" s="1323"/>
      <c r="D413" s="365"/>
      <c r="E413" s="365"/>
      <c r="F413" s="1325"/>
      <c r="G413" s="1325"/>
      <c r="H413" s="1325"/>
      <c r="I413" s="1325"/>
      <c r="J413" s="1325"/>
      <c r="K413" s="1325"/>
      <c r="L413" s="1325"/>
      <c r="M413" s="1325"/>
      <c r="N413" s="365"/>
      <c r="O413" s="1331"/>
      <c r="P413" s="1323"/>
      <c r="Q413" s="1323"/>
      <c r="R413" s="1323"/>
      <c r="S413" s="1323"/>
      <c r="T413" s="1323"/>
      <c r="U413" s="1323"/>
      <c r="V413" s="1323"/>
    </row>
    <row r="414" spans="2:22" x14ac:dyDescent="0.2">
      <c r="B414" s="1323"/>
      <c r="C414" s="1323"/>
      <c r="D414" s="365"/>
      <c r="E414" s="365"/>
      <c r="F414" s="1325"/>
      <c r="G414" s="1325"/>
      <c r="H414" s="1325"/>
      <c r="I414" s="1325"/>
      <c r="J414" s="1325"/>
      <c r="K414" s="1325"/>
      <c r="L414" s="1325"/>
      <c r="M414" s="1325"/>
      <c r="N414" s="365"/>
      <c r="O414" s="1331"/>
      <c r="P414" s="1323"/>
      <c r="Q414" s="1323"/>
      <c r="R414" s="1323"/>
      <c r="S414" s="1323"/>
      <c r="T414" s="1323"/>
      <c r="U414" s="1323"/>
      <c r="V414" s="1323"/>
    </row>
    <row r="415" spans="2:22" x14ac:dyDescent="0.2">
      <c r="B415" s="1323"/>
      <c r="C415" s="1323"/>
      <c r="D415" s="365"/>
      <c r="E415" s="365"/>
      <c r="F415" s="1325"/>
      <c r="G415" s="1325"/>
      <c r="H415" s="1325"/>
      <c r="I415" s="1325"/>
      <c r="J415" s="1325"/>
      <c r="K415" s="1325"/>
      <c r="L415" s="1325"/>
      <c r="M415" s="1325"/>
      <c r="N415" s="365"/>
      <c r="O415" s="1331"/>
      <c r="P415" s="1323"/>
      <c r="Q415" s="1323"/>
      <c r="R415" s="1323"/>
      <c r="S415" s="1323"/>
      <c r="T415" s="1323"/>
      <c r="U415" s="1323"/>
      <c r="V415" s="1323"/>
    </row>
    <row r="416" spans="2:22" x14ac:dyDescent="0.2">
      <c r="B416" s="1323"/>
      <c r="C416" s="1323"/>
      <c r="D416" s="365"/>
      <c r="E416" s="365"/>
      <c r="F416" s="1325"/>
      <c r="G416" s="1325"/>
      <c r="H416" s="1325"/>
      <c r="I416" s="1325"/>
      <c r="J416" s="1325"/>
      <c r="K416" s="1325"/>
      <c r="L416" s="1325"/>
      <c r="M416" s="1325"/>
      <c r="N416" s="365"/>
      <c r="O416" s="1331"/>
      <c r="P416" s="1323"/>
      <c r="Q416" s="1323"/>
      <c r="R416" s="1323"/>
      <c r="S416" s="1323"/>
      <c r="T416" s="1323"/>
      <c r="U416" s="1323"/>
      <c r="V416" s="1323"/>
    </row>
    <row r="417" spans="2:22" x14ac:dyDescent="0.2">
      <c r="B417" s="1323"/>
      <c r="C417" s="1323"/>
      <c r="D417" s="365"/>
      <c r="E417" s="365"/>
      <c r="F417" s="1325"/>
      <c r="G417" s="1325"/>
      <c r="H417" s="1325"/>
      <c r="I417" s="1325"/>
      <c r="J417" s="1325"/>
      <c r="K417" s="1325"/>
      <c r="L417" s="1325"/>
      <c r="M417" s="1325"/>
      <c r="N417" s="365"/>
      <c r="O417" s="1331"/>
      <c r="P417" s="1323"/>
      <c r="Q417" s="1323"/>
      <c r="R417" s="1323"/>
      <c r="S417" s="1323"/>
      <c r="T417" s="1323"/>
      <c r="U417" s="1323"/>
      <c r="V417" s="1323"/>
    </row>
    <row r="418" spans="2:22" x14ac:dyDescent="0.2">
      <c r="B418" s="1323"/>
      <c r="C418" s="1323"/>
      <c r="D418" s="365"/>
      <c r="E418" s="365"/>
      <c r="F418" s="1325"/>
      <c r="G418" s="1325"/>
      <c r="H418" s="1325"/>
      <c r="I418" s="1325"/>
      <c r="J418" s="1325"/>
      <c r="K418" s="1325"/>
      <c r="L418" s="1325"/>
      <c r="M418" s="1325"/>
      <c r="N418" s="365"/>
      <c r="O418" s="1331"/>
      <c r="P418" s="1323"/>
      <c r="Q418" s="1323"/>
      <c r="R418" s="1323"/>
      <c r="S418" s="1323"/>
      <c r="T418" s="1323"/>
      <c r="U418" s="1323"/>
      <c r="V418" s="1323"/>
    </row>
    <row r="419" spans="2:22" x14ac:dyDescent="0.2">
      <c r="B419" s="1323"/>
      <c r="C419" s="1323"/>
      <c r="D419" s="365"/>
      <c r="E419" s="365"/>
      <c r="F419" s="1325"/>
      <c r="G419" s="1325"/>
      <c r="H419" s="1325"/>
      <c r="I419" s="1325"/>
      <c r="J419" s="1325"/>
      <c r="K419" s="1325"/>
      <c r="L419" s="1325"/>
      <c r="M419" s="1325"/>
      <c r="N419" s="365"/>
      <c r="O419" s="1331"/>
      <c r="P419" s="1323"/>
      <c r="Q419" s="1323"/>
      <c r="R419" s="1323"/>
      <c r="S419" s="1323"/>
      <c r="T419" s="1323"/>
      <c r="U419" s="1323"/>
      <c r="V419" s="1323"/>
    </row>
    <row r="420" spans="2:22" x14ac:dyDescent="0.2">
      <c r="B420" s="1323"/>
      <c r="C420" s="1323"/>
      <c r="D420" s="365"/>
      <c r="E420" s="365"/>
      <c r="F420" s="1325"/>
      <c r="G420" s="1325"/>
      <c r="H420" s="1325"/>
      <c r="I420" s="1325"/>
      <c r="J420" s="1325"/>
      <c r="K420" s="1325"/>
      <c r="L420" s="1325"/>
      <c r="M420" s="1325"/>
      <c r="N420" s="365"/>
      <c r="O420" s="1331"/>
      <c r="P420" s="1323"/>
      <c r="Q420" s="1323"/>
      <c r="R420" s="1323"/>
      <c r="S420" s="1323"/>
      <c r="T420" s="1323"/>
      <c r="U420" s="1323"/>
      <c r="V420" s="1323"/>
    </row>
    <row r="421" spans="2:22" x14ac:dyDescent="0.2">
      <c r="B421" s="1323"/>
      <c r="C421" s="1323"/>
      <c r="D421" s="365"/>
      <c r="E421" s="365"/>
      <c r="F421" s="1325"/>
      <c r="G421" s="1325"/>
      <c r="H421" s="1325"/>
      <c r="I421" s="1325"/>
      <c r="J421" s="1325"/>
      <c r="K421" s="1325"/>
      <c r="L421" s="1325"/>
      <c r="M421" s="1325"/>
      <c r="N421" s="365"/>
      <c r="O421" s="1331"/>
      <c r="P421" s="1323"/>
      <c r="Q421" s="1323"/>
      <c r="R421" s="1323"/>
      <c r="S421" s="1323"/>
      <c r="T421" s="1323"/>
      <c r="U421" s="1323"/>
      <c r="V421" s="1323"/>
    </row>
    <row r="422" spans="2:22" x14ac:dyDescent="0.2">
      <c r="B422" s="1323"/>
      <c r="C422" s="1323"/>
      <c r="D422" s="365"/>
      <c r="E422" s="365"/>
      <c r="F422" s="1325"/>
      <c r="G422" s="1325"/>
      <c r="H422" s="1325"/>
      <c r="I422" s="1325"/>
      <c r="J422" s="1325"/>
      <c r="K422" s="1325"/>
      <c r="L422" s="1325"/>
      <c r="M422" s="1325"/>
      <c r="N422" s="365"/>
      <c r="O422" s="1331"/>
      <c r="P422" s="1323"/>
      <c r="Q422" s="1323"/>
      <c r="R422" s="1323"/>
      <c r="S422" s="1323"/>
      <c r="T422" s="1323"/>
      <c r="U422" s="1323"/>
      <c r="V422" s="1323"/>
    </row>
    <row r="423" spans="2:22" x14ac:dyDescent="0.2">
      <c r="B423" s="1323"/>
      <c r="C423" s="1323"/>
      <c r="D423" s="365"/>
      <c r="E423" s="365"/>
      <c r="F423" s="1325"/>
      <c r="G423" s="1325"/>
      <c r="H423" s="1325"/>
      <c r="I423" s="1325"/>
      <c r="J423" s="1325"/>
      <c r="K423" s="1325"/>
      <c r="L423" s="1325"/>
      <c r="M423" s="1325"/>
      <c r="N423" s="365"/>
      <c r="O423" s="1331"/>
      <c r="P423" s="1323"/>
      <c r="Q423" s="1323"/>
      <c r="R423" s="1323"/>
      <c r="S423" s="1323"/>
      <c r="T423" s="1323"/>
      <c r="U423" s="1323"/>
      <c r="V423" s="1323"/>
    </row>
    <row r="424" spans="2:22" x14ac:dyDescent="0.2">
      <c r="B424" s="1323"/>
      <c r="C424" s="1323"/>
      <c r="D424" s="365"/>
      <c r="E424" s="365"/>
      <c r="F424" s="1325"/>
      <c r="G424" s="1325"/>
      <c r="H424" s="1325"/>
      <c r="I424" s="1325"/>
      <c r="J424" s="1325"/>
      <c r="K424" s="1325"/>
      <c r="L424" s="1325"/>
      <c r="M424" s="1325"/>
      <c r="N424" s="365"/>
      <c r="O424" s="1331"/>
      <c r="P424" s="1323"/>
      <c r="Q424" s="1323"/>
      <c r="R424" s="1323"/>
      <c r="S424" s="1323"/>
      <c r="T424" s="1323"/>
      <c r="U424" s="1323"/>
      <c r="V424" s="1323"/>
    </row>
    <row r="425" spans="2:22" x14ac:dyDescent="0.2">
      <c r="B425" s="1323"/>
      <c r="C425" s="1323"/>
      <c r="D425" s="365"/>
      <c r="E425" s="365"/>
      <c r="F425" s="1325"/>
      <c r="G425" s="1325"/>
      <c r="H425" s="1325"/>
      <c r="I425" s="1325"/>
      <c r="J425" s="1325"/>
      <c r="K425" s="1325"/>
      <c r="L425" s="1325"/>
      <c r="M425" s="1325"/>
      <c r="N425" s="365"/>
      <c r="O425" s="1331"/>
      <c r="P425" s="1323"/>
      <c r="Q425" s="1323"/>
      <c r="R425" s="1323"/>
      <c r="S425" s="1323"/>
      <c r="T425" s="1323"/>
      <c r="U425" s="1323"/>
      <c r="V425" s="1323"/>
    </row>
    <row r="426" spans="2:22" x14ac:dyDescent="0.2">
      <c r="B426" s="1323"/>
      <c r="C426" s="1323"/>
      <c r="D426" s="365"/>
      <c r="E426" s="365"/>
      <c r="F426" s="1325"/>
      <c r="G426" s="1325"/>
      <c r="H426" s="1325"/>
      <c r="I426" s="1325"/>
      <c r="J426" s="1325"/>
      <c r="K426" s="1325"/>
      <c r="L426" s="1325"/>
      <c r="M426" s="1325"/>
      <c r="N426" s="365"/>
      <c r="O426" s="1331"/>
      <c r="P426" s="1323"/>
      <c r="Q426" s="1323"/>
      <c r="R426" s="1323"/>
      <c r="S426" s="1323"/>
      <c r="T426" s="1323"/>
      <c r="U426" s="1323"/>
      <c r="V426" s="1323"/>
    </row>
    <row r="427" spans="2:22" x14ac:dyDescent="0.2">
      <c r="B427" s="1323"/>
      <c r="C427" s="1323"/>
      <c r="D427" s="365"/>
      <c r="E427" s="365"/>
      <c r="F427" s="1325"/>
      <c r="G427" s="1325"/>
      <c r="H427" s="1325"/>
      <c r="I427" s="1325"/>
      <c r="J427" s="1325"/>
      <c r="K427" s="1325"/>
      <c r="L427" s="1325"/>
      <c r="M427" s="1325"/>
      <c r="N427" s="365"/>
      <c r="O427" s="1331"/>
      <c r="P427" s="1323"/>
      <c r="Q427" s="1323"/>
      <c r="R427" s="1323"/>
      <c r="S427" s="1323"/>
      <c r="T427" s="1323"/>
      <c r="U427" s="1323"/>
      <c r="V427" s="1323"/>
    </row>
    <row r="428" spans="2:22" x14ac:dyDescent="0.2">
      <c r="B428" s="1323"/>
      <c r="C428" s="1323"/>
      <c r="D428" s="365"/>
      <c r="E428" s="365"/>
      <c r="F428" s="1325"/>
      <c r="G428" s="1325"/>
      <c r="H428" s="1325"/>
      <c r="I428" s="1325"/>
      <c r="J428" s="1325"/>
      <c r="K428" s="1325"/>
      <c r="L428" s="1325"/>
      <c r="M428" s="1325"/>
      <c r="N428" s="365"/>
      <c r="O428" s="1331"/>
      <c r="P428" s="1323"/>
      <c r="Q428" s="1323"/>
      <c r="R428" s="1323"/>
      <c r="S428" s="1323"/>
      <c r="T428" s="1323"/>
      <c r="U428" s="1323"/>
      <c r="V428" s="1323"/>
    </row>
    <row r="429" spans="2:22" x14ac:dyDescent="0.2">
      <c r="B429" s="1323"/>
      <c r="C429" s="1323"/>
      <c r="D429" s="365"/>
      <c r="E429" s="365"/>
      <c r="F429" s="1325"/>
      <c r="G429" s="1325"/>
      <c r="H429" s="1325"/>
      <c r="I429" s="1325"/>
      <c r="J429" s="1325"/>
      <c r="K429" s="1325"/>
      <c r="L429" s="1325"/>
      <c r="M429" s="1325"/>
      <c r="N429" s="365"/>
      <c r="O429" s="1331"/>
      <c r="P429" s="1323"/>
      <c r="Q429" s="1323"/>
      <c r="R429" s="1323"/>
      <c r="S429" s="1323"/>
      <c r="T429" s="1323"/>
      <c r="U429" s="1323"/>
      <c r="V429" s="1323"/>
    </row>
    <row r="430" spans="2:22" x14ac:dyDescent="0.2">
      <c r="B430" s="1323"/>
      <c r="C430" s="1323"/>
      <c r="D430" s="365"/>
      <c r="E430" s="365"/>
      <c r="F430" s="1325"/>
      <c r="G430" s="1325"/>
      <c r="H430" s="1325"/>
      <c r="I430" s="1325"/>
      <c r="J430" s="1325"/>
      <c r="K430" s="1325"/>
      <c r="L430" s="1325"/>
      <c r="M430" s="1325"/>
      <c r="N430" s="365"/>
      <c r="O430" s="1331"/>
      <c r="P430" s="1323"/>
      <c r="Q430" s="1323"/>
      <c r="R430" s="1323"/>
      <c r="S430" s="1323"/>
      <c r="T430" s="1323"/>
      <c r="U430" s="1323"/>
      <c r="V430" s="1323"/>
    </row>
    <row r="431" spans="2:22" x14ac:dyDescent="0.2">
      <c r="B431" s="1323"/>
      <c r="C431" s="1323"/>
      <c r="D431" s="365"/>
      <c r="E431" s="365"/>
      <c r="F431" s="1325"/>
      <c r="G431" s="1325"/>
      <c r="H431" s="1325"/>
      <c r="I431" s="1325"/>
      <c r="J431" s="1325"/>
      <c r="K431" s="1325"/>
      <c r="L431" s="1325"/>
      <c r="M431" s="1325"/>
      <c r="N431" s="365"/>
      <c r="O431" s="1331"/>
      <c r="P431" s="1323"/>
      <c r="Q431" s="1323"/>
      <c r="R431" s="1323"/>
      <c r="S431" s="1323"/>
      <c r="T431" s="1323"/>
      <c r="U431" s="1323"/>
      <c r="V431" s="1323"/>
    </row>
    <row r="432" spans="2:22" x14ac:dyDescent="0.2">
      <c r="B432" s="1323"/>
      <c r="C432" s="1323"/>
      <c r="D432" s="365"/>
      <c r="E432" s="365"/>
      <c r="F432" s="1325"/>
      <c r="G432" s="1325"/>
      <c r="H432" s="1325"/>
      <c r="I432" s="1325"/>
      <c r="J432" s="1325"/>
      <c r="K432" s="1325"/>
      <c r="L432" s="1325"/>
      <c r="M432" s="1325"/>
      <c r="N432" s="365"/>
      <c r="O432" s="1331"/>
      <c r="P432" s="1323"/>
      <c r="Q432" s="1323"/>
      <c r="R432" s="1323"/>
      <c r="S432" s="1323"/>
      <c r="T432" s="1323"/>
      <c r="U432" s="1323"/>
      <c r="V432" s="1323"/>
    </row>
    <row r="433" spans="2:22" x14ac:dyDescent="0.2">
      <c r="B433" s="1323"/>
      <c r="C433" s="1323"/>
      <c r="D433" s="365"/>
      <c r="E433" s="365"/>
      <c r="F433" s="1325"/>
      <c r="G433" s="1325"/>
      <c r="H433" s="1325"/>
      <c r="I433" s="1325"/>
      <c r="J433" s="1325"/>
      <c r="K433" s="1325"/>
      <c r="L433" s="1325"/>
      <c r="M433" s="1325"/>
      <c r="N433" s="365"/>
      <c r="O433" s="1331"/>
      <c r="P433" s="1323"/>
      <c r="Q433" s="1323"/>
      <c r="R433" s="1323"/>
      <c r="S433" s="1323"/>
      <c r="T433" s="1323"/>
      <c r="U433" s="1323"/>
      <c r="V433" s="1323"/>
    </row>
    <row r="434" spans="2:22" x14ac:dyDescent="0.2">
      <c r="B434" s="1323"/>
      <c r="C434" s="1323"/>
      <c r="D434" s="365"/>
      <c r="E434" s="365"/>
      <c r="F434" s="1325"/>
      <c r="G434" s="1325"/>
      <c r="H434" s="1325"/>
      <c r="I434" s="1325"/>
      <c r="J434" s="1325"/>
      <c r="K434" s="1325"/>
      <c r="L434" s="1325"/>
      <c r="M434" s="1325"/>
      <c r="N434" s="365"/>
      <c r="O434" s="1331"/>
      <c r="P434" s="1323"/>
      <c r="Q434" s="1323"/>
      <c r="R434" s="1323"/>
      <c r="S434" s="1323"/>
      <c r="T434" s="1323"/>
      <c r="U434" s="1323"/>
      <c r="V434" s="1323"/>
    </row>
    <row r="435" spans="2:22" x14ac:dyDescent="0.2">
      <c r="B435" s="1323"/>
      <c r="C435" s="1323"/>
      <c r="D435" s="365"/>
      <c r="E435" s="365"/>
      <c r="F435" s="1325"/>
      <c r="G435" s="1325"/>
      <c r="H435" s="1325"/>
      <c r="I435" s="1325"/>
      <c r="J435" s="1325"/>
      <c r="K435" s="1325"/>
      <c r="L435" s="1325"/>
      <c r="M435" s="1325"/>
      <c r="N435" s="365"/>
      <c r="O435" s="1331"/>
      <c r="P435" s="1323"/>
      <c r="Q435" s="1323"/>
      <c r="R435" s="1323"/>
      <c r="S435" s="1323"/>
      <c r="T435" s="1323"/>
      <c r="U435" s="1323"/>
      <c r="V435" s="1323"/>
    </row>
    <row r="436" spans="2:22" x14ac:dyDescent="0.2">
      <c r="B436" s="1323"/>
      <c r="C436" s="1323"/>
      <c r="D436" s="365"/>
      <c r="E436" s="365"/>
      <c r="F436" s="1325"/>
      <c r="G436" s="1325"/>
      <c r="H436" s="1325"/>
      <c r="I436" s="1325"/>
      <c r="J436" s="1325"/>
      <c r="K436" s="1325"/>
      <c r="L436" s="1325"/>
      <c r="M436" s="1325"/>
      <c r="N436" s="365"/>
      <c r="O436" s="1331"/>
      <c r="P436" s="1323"/>
      <c r="Q436" s="1323"/>
      <c r="R436" s="1323"/>
      <c r="S436" s="1323"/>
      <c r="T436" s="1323"/>
      <c r="U436" s="1323"/>
      <c r="V436" s="1323"/>
    </row>
    <row r="437" spans="2:22" x14ac:dyDescent="0.2">
      <c r="B437" s="1323"/>
      <c r="C437" s="1323"/>
      <c r="D437" s="365"/>
      <c r="E437" s="365"/>
      <c r="F437" s="1325"/>
      <c r="G437" s="1325"/>
      <c r="H437" s="1325"/>
      <c r="I437" s="1325"/>
      <c r="J437" s="1325"/>
      <c r="K437" s="1325"/>
      <c r="L437" s="1325"/>
      <c r="M437" s="1325"/>
      <c r="N437" s="365"/>
      <c r="O437" s="1331"/>
      <c r="P437" s="1323"/>
      <c r="Q437" s="1323"/>
      <c r="R437" s="1323"/>
      <c r="S437" s="1323"/>
      <c r="T437" s="1323"/>
      <c r="U437" s="1323"/>
      <c r="V437" s="1323"/>
    </row>
    <row r="438" spans="2:22" x14ac:dyDescent="0.2">
      <c r="B438" s="1323"/>
      <c r="C438" s="1323"/>
      <c r="D438" s="365"/>
      <c r="E438" s="365"/>
      <c r="F438" s="1325"/>
      <c r="G438" s="1325"/>
      <c r="H438" s="1325"/>
      <c r="I438" s="1325"/>
      <c r="J438" s="1325"/>
      <c r="K438" s="1325"/>
      <c r="L438" s="1325"/>
      <c r="M438" s="1325"/>
      <c r="N438" s="365"/>
      <c r="O438" s="1331"/>
      <c r="P438" s="1323"/>
      <c r="Q438" s="1323"/>
      <c r="R438" s="1323"/>
      <c r="S438" s="1323"/>
      <c r="T438" s="1323"/>
      <c r="U438" s="1323"/>
      <c r="V438" s="1323"/>
    </row>
    <row r="439" spans="2:22" x14ac:dyDescent="0.2">
      <c r="B439" s="1323"/>
      <c r="C439" s="1323"/>
      <c r="D439" s="365"/>
      <c r="E439" s="365"/>
      <c r="F439" s="1325"/>
      <c r="G439" s="1325"/>
      <c r="H439" s="1325"/>
      <c r="I439" s="1325"/>
      <c r="J439" s="1325"/>
      <c r="K439" s="1325"/>
      <c r="L439" s="1325"/>
      <c r="M439" s="1325"/>
      <c r="N439" s="365"/>
      <c r="O439" s="1331"/>
      <c r="P439" s="1323"/>
      <c r="Q439" s="1323"/>
      <c r="R439" s="1323"/>
      <c r="S439" s="1323"/>
      <c r="T439" s="1323"/>
      <c r="U439" s="1323"/>
      <c r="V439" s="1323"/>
    </row>
    <row r="440" spans="2:22" x14ac:dyDescent="0.2">
      <c r="B440" s="1323"/>
      <c r="C440" s="1323"/>
      <c r="D440" s="365"/>
      <c r="E440" s="365"/>
      <c r="F440" s="1325"/>
      <c r="G440" s="1325"/>
      <c r="H440" s="1325"/>
      <c r="I440" s="1325"/>
      <c r="J440" s="1325"/>
      <c r="K440" s="1325"/>
      <c r="L440" s="1325"/>
      <c r="M440" s="1325"/>
      <c r="N440" s="365"/>
      <c r="O440" s="1331"/>
      <c r="P440" s="1323"/>
      <c r="Q440" s="1323"/>
      <c r="R440" s="1323"/>
      <c r="S440" s="1323"/>
      <c r="T440" s="1323"/>
      <c r="U440" s="1323"/>
      <c r="V440" s="1323"/>
    </row>
    <row r="441" spans="2:22" x14ac:dyDescent="0.2">
      <c r="B441" s="1323"/>
      <c r="C441" s="1323"/>
      <c r="D441" s="365"/>
      <c r="E441" s="365"/>
      <c r="F441" s="1325"/>
      <c r="G441" s="1325"/>
      <c r="H441" s="1325"/>
      <c r="I441" s="1325"/>
      <c r="J441" s="1325"/>
      <c r="K441" s="1325"/>
      <c r="L441" s="1325"/>
      <c r="M441" s="1325"/>
      <c r="N441" s="365"/>
      <c r="O441" s="1331"/>
      <c r="P441" s="1323"/>
      <c r="Q441" s="1323"/>
      <c r="R441" s="1323"/>
      <c r="S441" s="1323"/>
      <c r="T441" s="1323"/>
      <c r="U441" s="1323"/>
      <c r="V441" s="1323"/>
    </row>
    <row r="442" spans="2:22" x14ac:dyDescent="0.2">
      <c r="B442" s="1323"/>
      <c r="C442" s="1323"/>
      <c r="D442" s="365"/>
      <c r="E442" s="365"/>
      <c r="F442" s="1325"/>
      <c r="G442" s="1325"/>
      <c r="H442" s="1325"/>
      <c r="I442" s="1325"/>
      <c r="J442" s="1325"/>
      <c r="K442" s="1325"/>
      <c r="L442" s="1325"/>
      <c r="M442" s="1325"/>
      <c r="N442" s="365"/>
      <c r="O442" s="1331"/>
      <c r="P442" s="1323"/>
      <c r="Q442" s="1323"/>
      <c r="R442" s="1323"/>
      <c r="S442" s="1323"/>
      <c r="T442" s="1323"/>
      <c r="U442" s="1323"/>
      <c r="V442" s="1323"/>
    </row>
    <row r="443" spans="2:22" x14ac:dyDescent="0.2">
      <c r="B443" s="1323"/>
      <c r="C443" s="1323"/>
      <c r="D443" s="365"/>
      <c r="E443" s="365"/>
      <c r="F443" s="1325"/>
      <c r="G443" s="1325"/>
      <c r="H443" s="1325"/>
      <c r="I443" s="1325"/>
      <c r="J443" s="1325"/>
      <c r="K443" s="1325"/>
      <c r="L443" s="1325"/>
      <c r="M443" s="1325"/>
      <c r="N443" s="365"/>
      <c r="O443" s="1331"/>
      <c r="P443" s="1323"/>
      <c r="Q443" s="1323"/>
      <c r="R443" s="1323"/>
      <c r="S443" s="1323"/>
      <c r="T443" s="1323"/>
      <c r="U443" s="1323"/>
      <c r="V443" s="1323"/>
    </row>
    <row r="444" spans="2:22" x14ac:dyDescent="0.2">
      <c r="B444" s="1323"/>
      <c r="C444" s="1323"/>
      <c r="D444" s="365"/>
      <c r="E444" s="365"/>
      <c r="F444" s="1325"/>
      <c r="G444" s="1325"/>
      <c r="H444" s="1325"/>
      <c r="I444" s="1325"/>
      <c r="J444" s="1325"/>
      <c r="K444" s="1325"/>
      <c r="L444" s="1325"/>
      <c r="M444" s="1325"/>
      <c r="N444" s="365"/>
      <c r="O444" s="1331"/>
      <c r="P444" s="1323"/>
      <c r="Q444" s="1323"/>
      <c r="R444" s="1323"/>
      <c r="S444" s="1323"/>
      <c r="T444" s="1323"/>
      <c r="U444" s="1323"/>
      <c r="V444" s="1323"/>
    </row>
    <row r="445" spans="2:22" x14ac:dyDescent="0.2">
      <c r="B445" s="1323"/>
      <c r="C445" s="1323"/>
      <c r="D445" s="365"/>
      <c r="E445" s="365"/>
      <c r="F445" s="1325"/>
      <c r="G445" s="1325"/>
      <c r="H445" s="1325"/>
      <c r="I445" s="1325"/>
      <c r="J445" s="1325"/>
      <c r="K445" s="1325"/>
      <c r="L445" s="1325"/>
      <c r="M445" s="1325"/>
      <c r="N445" s="365"/>
      <c r="O445" s="1331"/>
      <c r="P445" s="1323"/>
      <c r="Q445" s="1323"/>
      <c r="R445" s="1323"/>
      <c r="S445" s="1323"/>
      <c r="T445" s="1323"/>
      <c r="U445" s="1323"/>
      <c r="V445" s="1323"/>
    </row>
    <row r="446" spans="2:22" x14ac:dyDescent="0.2">
      <c r="B446" s="1323"/>
      <c r="C446" s="1323"/>
      <c r="D446" s="365"/>
      <c r="E446" s="365"/>
      <c r="F446" s="1325"/>
      <c r="G446" s="1325"/>
      <c r="H446" s="1325"/>
      <c r="I446" s="1325"/>
      <c r="J446" s="1325"/>
      <c r="K446" s="1325"/>
      <c r="L446" s="1325"/>
      <c r="M446" s="1325"/>
      <c r="N446" s="365"/>
      <c r="O446" s="1331"/>
      <c r="P446" s="1323"/>
      <c r="Q446" s="1323"/>
      <c r="R446" s="1323"/>
      <c r="S446" s="1323"/>
      <c r="T446" s="1323"/>
      <c r="U446" s="1323"/>
      <c r="V446" s="1323"/>
    </row>
    <row r="447" spans="2:22" x14ac:dyDescent="0.2">
      <c r="B447" s="1323"/>
      <c r="C447" s="1323"/>
      <c r="D447" s="365"/>
      <c r="E447" s="365"/>
      <c r="F447" s="1325"/>
      <c r="G447" s="1325"/>
      <c r="H447" s="1325"/>
      <c r="I447" s="1325"/>
      <c r="J447" s="1325"/>
      <c r="K447" s="1325"/>
      <c r="L447" s="1325"/>
      <c r="M447" s="1325"/>
      <c r="N447" s="365"/>
      <c r="O447" s="1331"/>
      <c r="P447" s="1323"/>
      <c r="Q447" s="1323"/>
      <c r="R447" s="1323"/>
      <c r="S447" s="1323"/>
      <c r="T447" s="1323"/>
      <c r="U447" s="1323"/>
      <c r="V447" s="1323"/>
    </row>
    <row r="448" spans="2:22" x14ac:dyDescent="0.2">
      <c r="B448" s="1323"/>
      <c r="C448" s="1323"/>
      <c r="D448" s="365"/>
      <c r="E448" s="365"/>
      <c r="F448" s="1325"/>
      <c r="G448" s="1325"/>
      <c r="H448" s="1325"/>
      <c r="I448" s="1325"/>
      <c r="J448" s="1325"/>
      <c r="K448" s="1325"/>
      <c r="L448" s="1325"/>
      <c r="M448" s="1325"/>
      <c r="N448" s="365"/>
      <c r="O448" s="1331"/>
      <c r="P448" s="1323"/>
      <c r="Q448" s="1323"/>
      <c r="R448" s="1323"/>
      <c r="S448" s="1323"/>
      <c r="T448" s="1323"/>
      <c r="U448" s="1323"/>
      <c r="V448" s="1323"/>
    </row>
    <row r="449" spans="2:22" x14ac:dyDescent="0.2">
      <c r="B449" s="1323"/>
      <c r="C449" s="1323"/>
      <c r="D449" s="365"/>
      <c r="E449" s="365"/>
      <c r="F449" s="1325"/>
      <c r="G449" s="1325"/>
      <c r="H449" s="1325"/>
      <c r="I449" s="1325"/>
      <c r="J449" s="1325"/>
      <c r="K449" s="1325"/>
      <c r="L449" s="1325"/>
      <c r="M449" s="1325"/>
      <c r="N449" s="365"/>
      <c r="O449" s="1331"/>
      <c r="P449" s="1323"/>
      <c r="Q449" s="1323"/>
      <c r="R449" s="1323"/>
      <c r="S449" s="1323"/>
      <c r="T449" s="1323"/>
      <c r="U449" s="1323"/>
      <c r="V449" s="1323"/>
    </row>
    <row r="450" spans="2:22" x14ac:dyDescent="0.2">
      <c r="B450" s="1323"/>
      <c r="C450" s="1323"/>
      <c r="D450" s="365"/>
      <c r="E450" s="365"/>
      <c r="F450" s="1325"/>
      <c r="G450" s="1325"/>
      <c r="H450" s="1325"/>
      <c r="I450" s="1325"/>
      <c r="J450" s="1325"/>
      <c r="K450" s="1325"/>
      <c r="L450" s="1325"/>
      <c r="M450" s="1325"/>
      <c r="N450" s="365"/>
      <c r="O450" s="1331"/>
      <c r="P450" s="1323"/>
      <c r="Q450" s="1323"/>
      <c r="R450" s="1323"/>
      <c r="S450" s="1323"/>
      <c r="T450" s="1323"/>
      <c r="U450" s="1323"/>
      <c r="V450" s="1323"/>
    </row>
    <row r="451" spans="2:22" x14ac:dyDescent="0.2">
      <c r="B451" s="1323"/>
      <c r="C451" s="1323"/>
      <c r="D451" s="365"/>
      <c r="E451" s="365"/>
      <c r="F451" s="1325"/>
      <c r="G451" s="1325"/>
      <c r="H451" s="1325"/>
      <c r="I451" s="1325"/>
      <c r="J451" s="1325"/>
      <c r="K451" s="1325"/>
      <c r="L451" s="1325"/>
      <c r="M451" s="1325"/>
      <c r="N451" s="365"/>
      <c r="O451" s="1331"/>
      <c r="P451" s="1323"/>
      <c r="Q451" s="1323"/>
      <c r="R451" s="1323"/>
      <c r="S451" s="1323"/>
      <c r="T451" s="1323"/>
      <c r="U451" s="1323"/>
      <c r="V451" s="1323"/>
    </row>
    <row r="452" spans="2:22" x14ac:dyDescent="0.2">
      <c r="B452" s="1323"/>
      <c r="C452" s="1323"/>
      <c r="D452" s="365"/>
      <c r="E452" s="365"/>
      <c r="F452" s="1325"/>
      <c r="G452" s="1325"/>
      <c r="H452" s="1325"/>
      <c r="I452" s="1325"/>
      <c r="J452" s="1325"/>
      <c r="K452" s="1325"/>
      <c r="L452" s="1325"/>
      <c r="M452" s="1325"/>
      <c r="N452" s="365"/>
      <c r="O452" s="1331"/>
      <c r="P452" s="1323"/>
      <c r="Q452" s="1323"/>
      <c r="R452" s="1323"/>
      <c r="S452" s="1323"/>
      <c r="T452" s="1323"/>
      <c r="U452" s="1323"/>
      <c r="V452" s="1323"/>
    </row>
    <row r="453" spans="2:22" x14ac:dyDescent="0.2">
      <c r="B453" s="1323"/>
      <c r="C453" s="1323"/>
      <c r="D453" s="365"/>
      <c r="E453" s="365"/>
      <c r="F453" s="1325"/>
      <c r="G453" s="1325"/>
      <c r="H453" s="1325"/>
      <c r="I453" s="1325"/>
      <c r="J453" s="1325"/>
      <c r="K453" s="1325"/>
      <c r="L453" s="1325"/>
      <c r="M453" s="1325"/>
      <c r="N453" s="365"/>
      <c r="O453" s="1331"/>
      <c r="P453" s="1323"/>
      <c r="Q453" s="1323"/>
      <c r="R453" s="1323"/>
      <c r="S453" s="1323"/>
      <c r="T453" s="1323"/>
      <c r="U453" s="1323"/>
      <c r="V453" s="1323"/>
    </row>
    <row r="454" spans="2:22" x14ac:dyDescent="0.2">
      <c r="B454" s="1323"/>
      <c r="C454" s="1323"/>
      <c r="D454" s="365"/>
      <c r="E454" s="365"/>
      <c r="F454" s="1325"/>
      <c r="G454" s="1325"/>
      <c r="H454" s="1325"/>
      <c r="I454" s="1325"/>
      <c r="J454" s="1325"/>
      <c r="K454" s="1325"/>
      <c r="L454" s="1325"/>
      <c r="M454" s="1325"/>
      <c r="N454" s="365"/>
      <c r="O454" s="1331"/>
      <c r="P454" s="1323"/>
      <c r="Q454" s="1323"/>
      <c r="R454" s="1323"/>
      <c r="S454" s="1323"/>
      <c r="T454" s="1323"/>
      <c r="U454" s="1323"/>
      <c r="V454" s="1323"/>
    </row>
    <row r="455" spans="2:22" x14ac:dyDescent="0.2">
      <c r="B455" s="1323"/>
      <c r="C455" s="1323"/>
      <c r="D455" s="365"/>
      <c r="E455" s="365"/>
      <c r="F455" s="1325"/>
      <c r="G455" s="1325"/>
      <c r="H455" s="1325"/>
      <c r="I455" s="1325"/>
      <c r="J455" s="1325"/>
      <c r="K455" s="1325"/>
      <c r="L455" s="1325"/>
      <c r="M455" s="1325"/>
      <c r="N455" s="365"/>
      <c r="O455" s="1331"/>
      <c r="P455" s="1323"/>
      <c r="Q455" s="1323"/>
      <c r="R455" s="1323"/>
      <c r="S455" s="1323"/>
      <c r="T455" s="1323"/>
      <c r="U455" s="1323"/>
      <c r="V455" s="1323"/>
    </row>
    <row r="456" spans="2:22" x14ac:dyDescent="0.2">
      <c r="B456" s="1323"/>
      <c r="C456" s="1323"/>
      <c r="D456" s="365"/>
      <c r="E456" s="365"/>
      <c r="F456" s="1325"/>
      <c r="G456" s="1325"/>
      <c r="H456" s="1325"/>
      <c r="I456" s="1325"/>
      <c r="J456" s="1325"/>
      <c r="K456" s="1325"/>
      <c r="L456" s="1325"/>
      <c r="M456" s="1325"/>
      <c r="N456" s="365"/>
      <c r="O456" s="1331"/>
      <c r="P456" s="1323"/>
      <c r="Q456" s="1323"/>
      <c r="R456" s="1323"/>
      <c r="S456" s="1323"/>
      <c r="T456" s="1323"/>
      <c r="U456" s="1323"/>
      <c r="V456" s="1323"/>
    </row>
    <row r="457" spans="2:22" x14ac:dyDescent="0.2">
      <c r="B457" s="1323"/>
      <c r="C457" s="1323"/>
      <c r="D457" s="365"/>
      <c r="E457" s="365"/>
      <c r="F457" s="1325"/>
      <c r="G457" s="1325"/>
      <c r="H457" s="1325"/>
      <c r="I457" s="1325"/>
      <c r="J457" s="1325"/>
      <c r="K457" s="1325"/>
      <c r="L457" s="1325"/>
      <c r="M457" s="1325"/>
      <c r="N457" s="365"/>
      <c r="O457" s="1331"/>
      <c r="P457" s="1323"/>
      <c r="Q457" s="1323"/>
      <c r="R457" s="1323"/>
      <c r="S457" s="1323"/>
      <c r="T457" s="1323"/>
      <c r="U457" s="1323"/>
      <c r="V457" s="1323"/>
    </row>
    <row r="458" spans="2:22" x14ac:dyDescent="0.2">
      <c r="B458" s="1323"/>
      <c r="C458" s="1323"/>
      <c r="D458" s="365"/>
      <c r="E458" s="365"/>
      <c r="F458" s="1325"/>
      <c r="G458" s="1325"/>
      <c r="H458" s="1325"/>
      <c r="I458" s="1325"/>
      <c r="J458" s="1325"/>
      <c r="K458" s="1325"/>
      <c r="L458" s="1325"/>
      <c r="M458" s="1325"/>
      <c r="N458" s="365"/>
      <c r="O458" s="1331"/>
      <c r="P458" s="1323"/>
      <c r="Q458" s="1323"/>
      <c r="R458" s="1323"/>
      <c r="S458" s="1323"/>
      <c r="T458" s="1323"/>
      <c r="U458" s="1323"/>
      <c r="V458" s="1323"/>
    </row>
    <row r="459" spans="2:22" x14ac:dyDescent="0.2">
      <c r="B459" s="1323"/>
      <c r="C459" s="1323"/>
      <c r="D459" s="365"/>
      <c r="E459" s="365"/>
      <c r="F459" s="1325"/>
      <c r="G459" s="1325"/>
      <c r="H459" s="1325"/>
      <c r="I459" s="1325"/>
      <c r="J459" s="1325"/>
      <c r="K459" s="1325"/>
      <c r="L459" s="1325"/>
      <c r="M459" s="1325"/>
      <c r="N459" s="365"/>
      <c r="O459" s="1331"/>
      <c r="P459" s="1323"/>
      <c r="Q459" s="1323"/>
      <c r="R459" s="1323"/>
      <c r="S459" s="1323"/>
      <c r="T459" s="1323"/>
      <c r="U459" s="1323"/>
      <c r="V459" s="1323"/>
    </row>
    <row r="460" spans="2:22" x14ac:dyDescent="0.2">
      <c r="B460" s="1323"/>
      <c r="C460" s="1323"/>
      <c r="D460" s="365"/>
      <c r="E460" s="365"/>
      <c r="F460" s="1325"/>
      <c r="G460" s="1325"/>
      <c r="H460" s="1325"/>
      <c r="I460" s="1325"/>
      <c r="J460" s="1325"/>
      <c r="K460" s="1325"/>
      <c r="L460" s="1325"/>
      <c r="M460" s="1325"/>
      <c r="N460" s="365"/>
      <c r="O460" s="1331"/>
      <c r="P460" s="1323"/>
      <c r="Q460" s="1323"/>
      <c r="R460" s="1323"/>
      <c r="S460" s="1323"/>
      <c r="T460" s="1323"/>
      <c r="U460" s="1323"/>
      <c r="V460" s="1323"/>
    </row>
    <row r="461" spans="2:22" x14ac:dyDescent="0.2">
      <c r="B461" s="1323"/>
      <c r="C461" s="1323"/>
      <c r="D461" s="365"/>
      <c r="E461" s="365"/>
      <c r="F461" s="1325"/>
      <c r="G461" s="1325"/>
      <c r="H461" s="1325"/>
      <c r="I461" s="1325"/>
      <c r="J461" s="1325"/>
      <c r="K461" s="1325"/>
      <c r="L461" s="1325"/>
      <c r="M461" s="1325"/>
      <c r="N461" s="365"/>
      <c r="O461" s="1331"/>
      <c r="P461" s="1323"/>
      <c r="Q461" s="1323"/>
      <c r="R461" s="1323"/>
      <c r="S461" s="1323"/>
      <c r="T461" s="1323"/>
      <c r="U461" s="1323"/>
      <c r="V461" s="1323"/>
    </row>
    <row r="462" spans="2:22" x14ac:dyDescent="0.2">
      <c r="B462" s="1323"/>
      <c r="C462" s="1323"/>
      <c r="D462" s="365"/>
      <c r="E462" s="365"/>
      <c r="F462" s="1325"/>
      <c r="G462" s="1325"/>
      <c r="H462" s="1325"/>
      <c r="I462" s="1325"/>
      <c r="J462" s="1325"/>
      <c r="K462" s="1325"/>
      <c r="L462" s="1325"/>
      <c r="M462" s="1325"/>
      <c r="N462" s="365"/>
      <c r="O462" s="1331"/>
      <c r="P462" s="1323"/>
      <c r="Q462" s="1323"/>
      <c r="R462" s="1323"/>
      <c r="S462" s="1323"/>
      <c r="T462" s="1323"/>
      <c r="U462" s="1323"/>
      <c r="V462" s="1323"/>
    </row>
    <row r="463" spans="2:22" x14ac:dyDescent="0.2">
      <c r="B463" s="1323"/>
      <c r="C463" s="1323"/>
      <c r="D463" s="365"/>
      <c r="E463" s="365"/>
      <c r="F463" s="1325"/>
      <c r="G463" s="1325"/>
      <c r="H463" s="1325"/>
      <c r="I463" s="1325"/>
      <c r="J463" s="1325"/>
      <c r="K463" s="1325"/>
      <c r="L463" s="1325"/>
      <c r="M463" s="1325"/>
      <c r="N463" s="365"/>
      <c r="O463" s="1331"/>
      <c r="P463" s="1323"/>
      <c r="Q463" s="1323"/>
      <c r="R463" s="1323"/>
      <c r="S463" s="1323"/>
      <c r="T463" s="1323"/>
      <c r="U463" s="1323"/>
      <c r="V463" s="1323"/>
    </row>
    <row r="464" spans="2:22" x14ac:dyDescent="0.2">
      <c r="B464" s="1323"/>
      <c r="C464" s="1323"/>
      <c r="D464" s="365"/>
      <c r="E464" s="365"/>
      <c r="F464" s="1325"/>
      <c r="G464" s="1325"/>
      <c r="H464" s="1325"/>
      <c r="I464" s="1325"/>
      <c r="J464" s="1325"/>
      <c r="K464" s="1325"/>
      <c r="L464" s="1325"/>
      <c r="M464" s="1325"/>
      <c r="N464" s="365"/>
      <c r="O464" s="1331"/>
      <c r="P464" s="1323"/>
      <c r="Q464" s="1323"/>
      <c r="R464" s="1323"/>
      <c r="S464" s="1323"/>
      <c r="T464" s="1323"/>
      <c r="U464" s="1323"/>
      <c r="V464" s="1323"/>
    </row>
    <row r="465" spans="2:22" x14ac:dyDescent="0.2">
      <c r="B465" s="1323"/>
      <c r="C465" s="1323"/>
      <c r="D465" s="365"/>
      <c r="E465" s="365"/>
      <c r="F465" s="1325"/>
      <c r="G465" s="1325"/>
      <c r="H465" s="1325"/>
      <c r="I465" s="1325"/>
      <c r="J465" s="1325"/>
      <c r="K465" s="1325"/>
      <c r="L465" s="1325"/>
      <c r="M465" s="1325"/>
      <c r="N465" s="365"/>
      <c r="O465" s="1331"/>
      <c r="P465" s="1323"/>
      <c r="Q465" s="1323"/>
      <c r="R465" s="1323"/>
      <c r="S465" s="1323"/>
      <c r="T465" s="1323"/>
      <c r="U465" s="1323"/>
      <c r="V465" s="1323"/>
    </row>
    <row r="466" spans="2:22" x14ac:dyDescent="0.2">
      <c r="B466" s="1323"/>
      <c r="C466" s="1323"/>
      <c r="D466" s="365"/>
      <c r="E466" s="365"/>
      <c r="F466" s="1325"/>
      <c r="G466" s="1325"/>
      <c r="H466" s="1325"/>
      <c r="I466" s="1325"/>
      <c r="J466" s="1325"/>
      <c r="K466" s="1325"/>
      <c r="L466" s="1325"/>
      <c r="M466" s="1325"/>
      <c r="N466" s="365"/>
      <c r="O466" s="1331"/>
      <c r="P466" s="1323"/>
      <c r="Q466" s="1323"/>
      <c r="R466" s="1323"/>
      <c r="S466" s="1323"/>
      <c r="T466" s="1323"/>
      <c r="U466" s="1323"/>
      <c r="V466" s="1323"/>
    </row>
    <row r="467" spans="2:22" x14ac:dyDescent="0.2">
      <c r="B467" s="1323"/>
      <c r="C467" s="1323"/>
      <c r="D467" s="365"/>
      <c r="E467" s="365"/>
      <c r="F467" s="1325"/>
      <c r="G467" s="1325"/>
      <c r="H467" s="1325"/>
      <c r="I467" s="1325"/>
      <c r="J467" s="1325"/>
      <c r="K467" s="1325"/>
      <c r="L467" s="1325"/>
      <c r="M467" s="1325"/>
      <c r="N467" s="365"/>
      <c r="O467" s="1331"/>
      <c r="P467" s="1323"/>
      <c r="Q467" s="1323"/>
      <c r="R467" s="1323"/>
      <c r="S467" s="1323"/>
      <c r="T467" s="1323"/>
      <c r="U467" s="1323"/>
      <c r="V467" s="1323"/>
    </row>
    <row r="468" spans="2:22" x14ac:dyDescent="0.2">
      <c r="B468" s="1323"/>
      <c r="C468" s="1323"/>
      <c r="D468" s="365"/>
      <c r="E468" s="365"/>
      <c r="F468" s="1325"/>
      <c r="G468" s="1325"/>
      <c r="H468" s="1325"/>
      <c r="I468" s="1325"/>
      <c r="J468" s="1325"/>
      <c r="K468" s="1325"/>
      <c r="L468" s="1325"/>
      <c r="M468" s="1325"/>
      <c r="N468" s="365"/>
      <c r="O468" s="1331"/>
      <c r="P468" s="1323"/>
      <c r="Q468" s="1323"/>
      <c r="R468" s="1323"/>
      <c r="S468" s="1323"/>
      <c r="T468" s="1323"/>
      <c r="U468" s="1323"/>
      <c r="V468" s="1323"/>
    </row>
    <row r="469" spans="2:22" x14ac:dyDescent="0.2">
      <c r="B469" s="1323"/>
      <c r="C469" s="1323"/>
      <c r="D469" s="365"/>
      <c r="E469" s="365"/>
      <c r="F469" s="1325"/>
      <c r="G469" s="1325"/>
      <c r="H469" s="1325"/>
      <c r="I469" s="1325"/>
      <c r="J469" s="1325"/>
      <c r="K469" s="1325"/>
      <c r="L469" s="1325"/>
      <c r="M469" s="1325"/>
      <c r="N469" s="365"/>
      <c r="O469" s="1331"/>
      <c r="P469" s="1323"/>
      <c r="Q469" s="1323"/>
      <c r="R469" s="1323"/>
      <c r="S469" s="1323"/>
      <c r="T469" s="1323"/>
      <c r="U469" s="1323"/>
      <c r="V469" s="1323"/>
    </row>
    <row r="470" spans="2:22" x14ac:dyDescent="0.2">
      <c r="B470" s="1323"/>
      <c r="C470" s="1323"/>
      <c r="D470" s="365"/>
      <c r="E470" s="365"/>
      <c r="F470" s="1325"/>
      <c r="G470" s="1325"/>
      <c r="H470" s="1325"/>
      <c r="I470" s="1325"/>
      <c r="J470" s="1325"/>
      <c r="K470" s="1325"/>
      <c r="L470" s="1325"/>
      <c r="M470" s="1325"/>
      <c r="N470" s="365"/>
      <c r="O470" s="1331"/>
      <c r="P470" s="1323"/>
      <c r="Q470" s="1323"/>
      <c r="R470" s="1323"/>
      <c r="S470" s="1323"/>
      <c r="T470" s="1323"/>
      <c r="U470" s="1323"/>
      <c r="V470" s="1323"/>
    </row>
    <row r="471" spans="2:22" x14ac:dyDescent="0.2">
      <c r="B471" s="1323"/>
      <c r="C471" s="1323"/>
      <c r="D471" s="365"/>
      <c r="E471" s="365"/>
      <c r="F471" s="1325"/>
      <c r="G471" s="1325"/>
      <c r="H471" s="1325"/>
      <c r="I471" s="1325"/>
      <c r="J471" s="1325"/>
      <c r="K471" s="1325"/>
      <c r="L471" s="1325"/>
      <c r="M471" s="1325"/>
      <c r="N471" s="365"/>
      <c r="O471" s="1331"/>
      <c r="P471" s="1323"/>
      <c r="Q471" s="1323"/>
      <c r="R471" s="1323"/>
      <c r="S471" s="1323"/>
      <c r="T471" s="1323"/>
      <c r="U471" s="1323"/>
      <c r="V471" s="1323"/>
    </row>
    <row r="472" spans="2:22" x14ac:dyDescent="0.2">
      <c r="B472" s="1323"/>
      <c r="C472" s="1323"/>
      <c r="D472" s="365"/>
      <c r="E472" s="365"/>
      <c r="F472" s="1325"/>
      <c r="G472" s="1325"/>
      <c r="H472" s="1325"/>
      <c r="I472" s="1325"/>
      <c r="J472" s="1325"/>
      <c r="K472" s="1325"/>
      <c r="L472" s="1325"/>
      <c r="M472" s="1325"/>
      <c r="N472" s="365"/>
      <c r="O472" s="1331"/>
      <c r="P472" s="1323"/>
      <c r="Q472" s="1323"/>
      <c r="R472" s="1323"/>
      <c r="S472" s="1323"/>
      <c r="T472" s="1323"/>
      <c r="U472" s="1323"/>
      <c r="V472" s="1323"/>
    </row>
    <row r="473" spans="2:22" x14ac:dyDescent="0.2">
      <c r="B473" s="1323"/>
      <c r="C473" s="1323"/>
      <c r="D473" s="365"/>
      <c r="E473" s="365"/>
      <c r="F473" s="1325"/>
      <c r="G473" s="1325"/>
      <c r="H473" s="1325"/>
      <c r="I473" s="1325"/>
      <c r="J473" s="1325"/>
      <c r="K473" s="1325"/>
      <c r="L473" s="1325"/>
      <c r="M473" s="1325"/>
      <c r="N473" s="365"/>
      <c r="O473" s="1331"/>
      <c r="P473" s="1323"/>
      <c r="Q473" s="1323"/>
      <c r="R473" s="1323"/>
      <c r="S473" s="1323"/>
      <c r="T473" s="1323"/>
      <c r="U473" s="1323"/>
      <c r="V473" s="1323"/>
    </row>
    <row r="474" spans="2:22" x14ac:dyDescent="0.2">
      <c r="B474" s="1323"/>
      <c r="C474" s="1323"/>
      <c r="D474" s="365"/>
      <c r="E474" s="365"/>
      <c r="F474" s="1325"/>
      <c r="G474" s="1325"/>
      <c r="H474" s="1325"/>
      <c r="I474" s="1325"/>
      <c r="J474" s="1325"/>
      <c r="K474" s="1325"/>
      <c r="L474" s="1325"/>
      <c r="M474" s="1325"/>
      <c r="N474" s="365"/>
      <c r="O474" s="1331"/>
      <c r="P474" s="1323"/>
      <c r="Q474" s="1323"/>
      <c r="R474" s="1323"/>
      <c r="S474" s="1323"/>
      <c r="T474" s="1323"/>
      <c r="U474" s="1323"/>
      <c r="V474" s="1323"/>
    </row>
    <row r="475" spans="2:22" x14ac:dyDescent="0.2">
      <c r="B475" s="1323"/>
      <c r="C475" s="1323"/>
      <c r="D475" s="365"/>
      <c r="E475" s="365"/>
      <c r="F475" s="1325"/>
      <c r="G475" s="1325"/>
      <c r="H475" s="1325"/>
      <c r="I475" s="1325"/>
      <c r="J475" s="1325"/>
      <c r="K475" s="1325"/>
      <c r="L475" s="1325"/>
      <c r="M475" s="1325"/>
      <c r="N475" s="365"/>
      <c r="O475" s="1331"/>
      <c r="P475" s="1323"/>
      <c r="Q475" s="1323"/>
      <c r="R475" s="1323"/>
      <c r="S475" s="1323"/>
      <c r="T475" s="1323"/>
      <c r="U475" s="1323"/>
      <c r="V475" s="1323"/>
    </row>
    <row r="476" spans="2:22" x14ac:dyDescent="0.2">
      <c r="B476" s="1323"/>
      <c r="C476" s="1323"/>
      <c r="D476" s="365"/>
      <c r="E476" s="365"/>
      <c r="F476" s="1325"/>
      <c r="G476" s="1325"/>
      <c r="H476" s="1325"/>
      <c r="I476" s="1325"/>
      <c r="J476" s="1325"/>
      <c r="K476" s="1325"/>
      <c r="L476" s="1325"/>
      <c r="M476" s="1325"/>
      <c r="N476" s="365"/>
      <c r="O476" s="1331"/>
      <c r="P476" s="1323"/>
      <c r="Q476" s="1323"/>
      <c r="R476" s="1323"/>
      <c r="S476" s="1323"/>
      <c r="T476" s="1323"/>
      <c r="U476" s="1323"/>
      <c r="V476" s="1323"/>
    </row>
    <row r="477" spans="2:22" x14ac:dyDescent="0.2">
      <c r="B477" s="1323"/>
      <c r="C477" s="1323"/>
      <c r="D477" s="365"/>
      <c r="E477" s="365"/>
      <c r="F477" s="1325"/>
      <c r="G477" s="1325"/>
      <c r="H477" s="1325"/>
      <c r="I477" s="1325"/>
      <c r="J477" s="1325"/>
      <c r="K477" s="1325"/>
      <c r="L477" s="1325"/>
      <c r="M477" s="1325"/>
      <c r="N477" s="365"/>
      <c r="O477" s="1331"/>
      <c r="P477" s="1323"/>
      <c r="Q477" s="1323"/>
      <c r="R477" s="1323"/>
      <c r="S477" s="1323"/>
      <c r="T477" s="1323"/>
      <c r="U477" s="1323"/>
      <c r="V477" s="1323"/>
    </row>
    <row r="478" spans="2:22" x14ac:dyDescent="0.2">
      <c r="B478" s="1323"/>
      <c r="C478" s="1323"/>
      <c r="D478" s="365"/>
      <c r="E478" s="365"/>
      <c r="F478" s="1325"/>
      <c r="G478" s="1325"/>
      <c r="H478" s="1325"/>
      <c r="I478" s="1325"/>
      <c r="J478" s="1325"/>
      <c r="K478" s="1325"/>
      <c r="L478" s="1325"/>
      <c r="M478" s="1325"/>
      <c r="N478" s="365"/>
      <c r="O478" s="1331"/>
      <c r="P478" s="1323"/>
      <c r="Q478" s="1323"/>
      <c r="R478" s="1323"/>
      <c r="S478" s="1323"/>
      <c r="T478" s="1323"/>
      <c r="U478" s="1323"/>
      <c r="V478" s="1323"/>
    </row>
    <row r="479" spans="2:22" x14ac:dyDescent="0.2">
      <c r="B479" s="1323"/>
      <c r="C479" s="1323"/>
      <c r="D479" s="365"/>
      <c r="E479" s="365"/>
      <c r="F479" s="1325"/>
      <c r="G479" s="1325"/>
      <c r="H479" s="1325"/>
      <c r="I479" s="1325"/>
      <c r="J479" s="1325"/>
      <c r="K479" s="1325"/>
      <c r="L479" s="1325"/>
      <c r="M479" s="1325"/>
      <c r="N479" s="365"/>
      <c r="O479" s="1331"/>
      <c r="P479" s="1323"/>
      <c r="Q479" s="1323"/>
      <c r="R479" s="1323"/>
      <c r="S479" s="1323"/>
      <c r="T479" s="1323"/>
      <c r="U479" s="1323"/>
      <c r="V479" s="1323"/>
    </row>
    <row r="480" spans="2:22" x14ac:dyDescent="0.2">
      <c r="B480" s="1323"/>
      <c r="C480" s="1323"/>
      <c r="D480" s="365"/>
      <c r="E480" s="365"/>
      <c r="F480" s="1325"/>
      <c r="G480" s="1325"/>
      <c r="H480" s="1325"/>
      <c r="I480" s="1325"/>
      <c r="J480" s="1325"/>
      <c r="K480" s="1325"/>
      <c r="L480" s="1325"/>
      <c r="M480" s="1325"/>
      <c r="N480" s="365"/>
      <c r="O480" s="1331"/>
      <c r="P480" s="1323"/>
      <c r="Q480" s="1323"/>
      <c r="R480" s="1323"/>
      <c r="S480" s="1323"/>
      <c r="T480" s="1323"/>
      <c r="U480" s="1323"/>
      <c r="V480" s="1323"/>
    </row>
    <row r="481" spans="2:22" x14ac:dyDescent="0.2">
      <c r="B481" s="1323"/>
      <c r="C481" s="1323"/>
      <c r="D481" s="365"/>
      <c r="E481" s="365"/>
      <c r="F481" s="1325"/>
      <c r="G481" s="1325"/>
      <c r="H481" s="1325"/>
      <c r="I481" s="1325"/>
      <c r="J481" s="1325"/>
      <c r="K481" s="1325"/>
      <c r="L481" s="1325"/>
      <c r="M481" s="1325"/>
      <c r="N481" s="365"/>
      <c r="O481" s="1331"/>
      <c r="P481" s="1323"/>
      <c r="Q481" s="1323"/>
      <c r="R481" s="1323"/>
      <c r="S481" s="1323"/>
      <c r="T481" s="1323"/>
      <c r="U481" s="1323"/>
      <c r="V481" s="1323"/>
    </row>
    <row r="482" spans="2:22" x14ac:dyDescent="0.2">
      <c r="B482" s="1323"/>
      <c r="C482" s="1323"/>
      <c r="D482" s="365"/>
      <c r="E482" s="365"/>
      <c r="F482" s="1325"/>
      <c r="G482" s="1325"/>
      <c r="H482" s="1325"/>
      <c r="I482" s="1325"/>
      <c r="J482" s="1325"/>
      <c r="K482" s="1325"/>
      <c r="L482" s="1325"/>
      <c r="M482" s="1325"/>
      <c r="N482" s="365"/>
      <c r="O482" s="1331"/>
      <c r="P482" s="1323"/>
      <c r="Q482" s="1323"/>
      <c r="R482" s="1323"/>
      <c r="S482" s="1323"/>
      <c r="T482" s="1323"/>
      <c r="U482" s="1323"/>
      <c r="V482" s="1323"/>
    </row>
    <row r="483" spans="2:22" x14ac:dyDescent="0.2">
      <c r="B483" s="1323"/>
      <c r="C483" s="1323"/>
      <c r="D483" s="365"/>
      <c r="E483" s="365"/>
      <c r="F483" s="1325"/>
      <c r="G483" s="1325"/>
      <c r="H483" s="1325"/>
      <c r="I483" s="1325"/>
      <c r="J483" s="1325"/>
      <c r="K483" s="1325"/>
      <c r="L483" s="1325"/>
      <c r="M483" s="1325"/>
      <c r="N483" s="365"/>
      <c r="O483" s="1331"/>
      <c r="P483" s="1323"/>
      <c r="Q483" s="1323"/>
      <c r="R483" s="1323"/>
      <c r="S483" s="1323"/>
      <c r="T483" s="1323"/>
      <c r="U483" s="1323"/>
      <c r="V483" s="1323"/>
    </row>
    <row r="484" spans="2:22" x14ac:dyDescent="0.2">
      <c r="B484" s="1323"/>
      <c r="C484" s="1323"/>
      <c r="D484" s="365"/>
      <c r="E484" s="365"/>
      <c r="F484" s="1325"/>
      <c r="G484" s="1325"/>
      <c r="H484" s="1325"/>
      <c r="I484" s="1325"/>
      <c r="J484" s="1325"/>
      <c r="K484" s="1325"/>
      <c r="L484" s="1325"/>
      <c r="M484" s="1325"/>
      <c r="N484" s="365"/>
      <c r="O484" s="1331"/>
      <c r="P484" s="1323"/>
      <c r="Q484" s="1323"/>
      <c r="R484" s="1323"/>
      <c r="S484" s="1323"/>
      <c r="T484" s="1323"/>
      <c r="U484" s="1323"/>
      <c r="V484" s="1323"/>
    </row>
    <row r="485" spans="2:22" x14ac:dyDescent="0.2">
      <c r="B485" s="1323"/>
      <c r="C485" s="1323"/>
      <c r="D485" s="365"/>
      <c r="E485" s="365"/>
      <c r="F485" s="1325"/>
      <c r="G485" s="1325"/>
      <c r="H485" s="1325"/>
      <c r="I485" s="1325"/>
      <c r="J485" s="1325"/>
      <c r="K485" s="1325"/>
      <c r="L485" s="1325"/>
      <c r="M485" s="1325"/>
      <c r="N485" s="365"/>
      <c r="O485" s="1331"/>
      <c r="P485" s="1323"/>
      <c r="Q485" s="1323"/>
      <c r="R485" s="1323"/>
      <c r="S485" s="1323"/>
      <c r="T485" s="1323"/>
      <c r="U485" s="1323"/>
      <c r="V485" s="1323"/>
    </row>
    <row r="486" spans="2:22" x14ac:dyDescent="0.2">
      <c r="B486" s="1323"/>
      <c r="C486" s="1323"/>
      <c r="D486" s="365"/>
      <c r="E486" s="365"/>
      <c r="F486" s="1325"/>
      <c r="G486" s="1325"/>
      <c r="H486" s="1325"/>
      <c r="I486" s="1325"/>
      <c r="J486" s="1325"/>
      <c r="K486" s="1325"/>
      <c r="L486" s="1325"/>
      <c r="M486" s="1325"/>
      <c r="N486" s="365"/>
      <c r="O486" s="1331"/>
      <c r="P486" s="1323"/>
      <c r="Q486" s="1323"/>
      <c r="R486" s="1323"/>
      <c r="S486" s="1323"/>
      <c r="T486" s="1323"/>
      <c r="U486" s="1323"/>
      <c r="V486" s="1323"/>
    </row>
    <row r="487" spans="2:22" x14ac:dyDescent="0.2">
      <c r="B487" s="1323"/>
      <c r="C487" s="1323"/>
      <c r="D487" s="365"/>
      <c r="E487" s="365"/>
      <c r="F487" s="1325"/>
      <c r="G487" s="1325"/>
      <c r="H487" s="1325"/>
      <c r="I487" s="1325"/>
      <c r="J487" s="1325"/>
      <c r="K487" s="1325"/>
      <c r="L487" s="1325"/>
      <c r="M487" s="1325"/>
      <c r="N487" s="365"/>
      <c r="O487" s="1331"/>
      <c r="P487" s="1323"/>
      <c r="Q487" s="1323"/>
      <c r="R487" s="1323"/>
      <c r="S487" s="1323"/>
      <c r="T487" s="1323"/>
      <c r="U487" s="1323"/>
      <c r="V487" s="1323"/>
    </row>
    <row r="488" spans="2:22" x14ac:dyDescent="0.2">
      <c r="B488" s="1323"/>
      <c r="C488" s="1323"/>
      <c r="D488" s="365"/>
      <c r="E488" s="365"/>
      <c r="F488" s="1325"/>
      <c r="G488" s="1325"/>
      <c r="H488" s="1325"/>
      <c r="I488" s="1325"/>
      <c r="J488" s="1325"/>
      <c r="K488" s="1325"/>
      <c r="L488" s="1325"/>
      <c r="M488" s="1325"/>
      <c r="N488" s="365"/>
      <c r="O488" s="1331"/>
      <c r="P488" s="1323"/>
      <c r="Q488" s="1323"/>
      <c r="R488" s="1323"/>
      <c r="S488" s="1323"/>
      <c r="T488" s="1323"/>
      <c r="U488" s="1323"/>
      <c r="V488" s="1323"/>
    </row>
    <row r="489" spans="2:22" x14ac:dyDescent="0.2">
      <c r="B489" s="1323"/>
      <c r="C489" s="1323"/>
      <c r="D489" s="365"/>
      <c r="E489" s="365"/>
      <c r="F489" s="1325"/>
      <c r="G489" s="1325"/>
      <c r="H489" s="1325"/>
      <c r="I489" s="1325"/>
      <c r="J489" s="1325"/>
      <c r="K489" s="1325"/>
      <c r="L489" s="1325"/>
      <c r="M489" s="1325"/>
      <c r="N489" s="365"/>
      <c r="O489" s="1331"/>
      <c r="P489" s="1323"/>
      <c r="Q489" s="1323"/>
      <c r="R489" s="1323"/>
      <c r="S489" s="1323"/>
      <c r="T489" s="1323"/>
      <c r="U489" s="1323"/>
      <c r="V489" s="1323"/>
    </row>
    <row r="490" spans="2:22" x14ac:dyDescent="0.2">
      <c r="B490" s="1323"/>
      <c r="C490" s="1323"/>
      <c r="D490" s="365"/>
      <c r="E490" s="365"/>
      <c r="F490" s="1325"/>
      <c r="G490" s="1325"/>
      <c r="H490" s="1325"/>
      <c r="I490" s="1325"/>
      <c r="J490" s="1325"/>
      <c r="K490" s="1325"/>
      <c r="L490" s="1325"/>
      <c r="M490" s="1325"/>
      <c r="N490" s="365"/>
      <c r="O490" s="1331"/>
      <c r="P490" s="1323"/>
      <c r="Q490" s="1323"/>
      <c r="R490" s="1323"/>
      <c r="S490" s="1323"/>
      <c r="T490" s="1323"/>
      <c r="U490" s="1323"/>
      <c r="V490" s="1323"/>
    </row>
    <row r="491" spans="2:22" x14ac:dyDescent="0.2">
      <c r="B491" s="1323"/>
      <c r="C491" s="1323"/>
      <c r="D491" s="365"/>
      <c r="E491" s="365"/>
      <c r="F491" s="1325"/>
      <c r="G491" s="1325"/>
      <c r="H491" s="1325"/>
      <c r="I491" s="1325"/>
      <c r="J491" s="1325"/>
      <c r="K491" s="1325"/>
      <c r="L491" s="1325"/>
      <c r="M491" s="1325"/>
      <c r="N491" s="365"/>
      <c r="O491" s="1331"/>
      <c r="P491" s="1323"/>
      <c r="Q491" s="1323"/>
      <c r="R491" s="1323"/>
      <c r="S491" s="1323"/>
      <c r="T491" s="1323"/>
      <c r="U491" s="1323"/>
      <c r="V491" s="1323"/>
    </row>
    <row r="492" spans="2:22" x14ac:dyDescent="0.2">
      <c r="B492" s="1323"/>
      <c r="C492" s="1323"/>
      <c r="D492" s="365"/>
      <c r="E492" s="365"/>
      <c r="F492" s="1325"/>
      <c r="G492" s="1325"/>
      <c r="H492" s="1325"/>
      <c r="I492" s="1325"/>
      <c r="J492" s="1325"/>
      <c r="K492" s="1325"/>
      <c r="L492" s="1325"/>
      <c r="M492" s="1325"/>
      <c r="N492" s="365"/>
      <c r="O492" s="1331"/>
      <c r="P492" s="1323"/>
      <c r="Q492" s="1323"/>
      <c r="R492" s="1323"/>
      <c r="S492" s="1323"/>
      <c r="T492" s="1323"/>
      <c r="U492" s="1323"/>
      <c r="V492" s="1323"/>
    </row>
    <row r="493" spans="2:22" x14ac:dyDescent="0.2">
      <c r="B493" s="1323"/>
      <c r="C493" s="1323"/>
      <c r="D493" s="365"/>
      <c r="E493" s="365"/>
      <c r="F493" s="1325"/>
      <c r="G493" s="1325"/>
      <c r="H493" s="1325"/>
      <c r="I493" s="1325"/>
      <c r="J493" s="1325"/>
      <c r="K493" s="1325"/>
      <c r="L493" s="1325"/>
      <c r="M493" s="1325"/>
      <c r="N493" s="365"/>
      <c r="O493" s="1331"/>
      <c r="P493" s="1323"/>
      <c r="Q493" s="1323"/>
      <c r="R493" s="1323"/>
      <c r="S493" s="1323"/>
      <c r="T493" s="1323"/>
      <c r="U493" s="1323"/>
      <c r="V493" s="1323"/>
    </row>
    <row r="494" spans="2:22" x14ac:dyDescent="0.2">
      <c r="B494" s="1323"/>
      <c r="C494" s="1323"/>
      <c r="D494" s="365"/>
      <c r="E494" s="365"/>
      <c r="F494" s="1325"/>
      <c r="G494" s="1325"/>
      <c r="H494" s="1325"/>
      <c r="I494" s="1325"/>
      <c r="J494" s="1325"/>
      <c r="K494" s="1325"/>
      <c r="L494" s="1325"/>
      <c r="M494" s="1325"/>
      <c r="N494" s="365"/>
      <c r="O494" s="1331"/>
      <c r="P494" s="1323"/>
      <c r="Q494" s="1323"/>
      <c r="R494" s="1323"/>
      <c r="S494" s="1323"/>
      <c r="T494" s="1323"/>
      <c r="U494" s="1323"/>
      <c r="V494" s="1323"/>
    </row>
    <row r="495" spans="2:22" x14ac:dyDescent="0.2">
      <c r="B495" s="1323"/>
      <c r="C495" s="1323"/>
      <c r="D495" s="365"/>
      <c r="E495" s="365"/>
      <c r="F495" s="1325"/>
      <c r="G495" s="1325"/>
      <c r="H495" s="1325"/>
      <c r="I495" s="1325"/>
      <c r="J495" s="1325"/>
      <c r="K495" s="1325"/>
      <c r="L495" s="1325"/>
      <c r="M495" s="1325"/>
      <c r="N495" s="365"/>
      <c r="O495" s="1331"/>
      <c r="P495" s="1323"/>
      <c r="Q495" s="1323"/>
      <c r="R495" s="1323"/>
      <c r="S495" s="1323"/>
      <c r="T495" s="1323"/>
      <c r="U495" s="1323"/>
      <c r="V495" s="1323"/>
    </row>
    <row r="496" spans="2:22" x14ac:dyDescent="0.2">
      <c r="B496" s="1323"/>
      <c r="C496" s="1323"/>
      <c r="D496" s="365"/>
      <c r="E496" s="365"/>
      <c r="F496" s="1325"/>
      <c r="G496" s="1325"/>
      <c r="H496" s="1325"/>
      <c r="I496" s="1325"/>
      <c r="J496" s="1325"/>
      <c r="K496" s="1325"/>
      <c r="L496" s="1325"/>
      <c r="M496" s="1325"/>
      <c r="N496" s="365"/>
      <c r="O496" s="1331"/>
      <c r="P496" s="1323"/>
      <c r="Q496" s="1323"/>
      <c r="R496" s="1323"/>
      <c r="S496" s="1323"/>
      <c r="T496" s="1323"/>
      <c r="U496" s="1323"/>
      <c r="V496" s="1323"/>
    </row>
    <row r="497" spans="2:22" x14ac:dyDescent="0.2">
      <c r="B497" s="1323"/>
      <c r="C497" s="1323"/>
      <c r="D497" s="365"/>
      <c r="E497" s="365"/>
      <c r="F497" s="1325"/>
      <c r="G497" s="1325"/>
      <c r="H497" s="1325"/>
      <c r="I497" s="1325"/>
      <c r="J497" s="1325"/>
      <c r="K497" s="1325"/>
      <c r="L497" s="1325"/>
      <c r="M497" s="1325"/>
      <c r="N497" s="365"/>
      <c r="O497" s="1331"/>
      <c r="P497" s="1323"/>
      <c r="Q497" s="1323"/>
      <c r="R497" s="1323"/>
      <c r="S497" s="1323"/>
      <c r="T497" s="1323"/>
      <c r="U497" s="1323"/>
      <c r="V497" s="1323"/>
    </row>
    <row r="498" spans="2:22" x14ac:dyDescent="0.2">
      <c r="B498" s="1323"/>
      <c r="C498" s="1323"/>
      <c r="D498" s="365"/>
      <c r="E498" s="365"/>
      <c r="F498" s="1325"/>
      <c r="G498" s="1325"/>
      <c r="H498" s="1325"/>
      <c r="I498" s="1325"/>
      <c r="J498" s="1325"/>
      <c r="K498" s="1325"/>
      <c r="L498" s="1325"/>
      <c r="M498" s="1325"/>
      <c r="N498" s="365"/>
      <c r="O498" s="1331"/>
      <c r="P498" s="1323"/>
      <c r="Q498" s="1323"/>
      <c r="R498" s="1323"/>
      <c r="S498" s="1323"/>
      <c r="T498" s="1323"/>
      <c r="U498" s="1323"/>
      <c r="V498" s="1323"/>
    </row>
    <row r="499" spans="2:22" x14ac:dyDescent="0.2">
      <c r="B499" s="1323"/>
      <c r="C499" s="1323"/>
      <c r="D499" s="365"/>
      <c r="E499" s="365"/>
      <c r="F499" s="1325"/>
      <c r="G499" s="1325"/>
      <c r="H499" s="1325"/>
      <c r="I499" s="1325"/>
      <c r="J499" s="1325"/>
      <c r="K499" s="1325"/>
      <c r="L499" s="1325"/>
      <c r="M499" s="1325"/>
      <c r="N499" s="365"/>
      <c r="O499" s="1331"/>
      <c r="P499" s="1323"/>
      <c r="Q499" s="1323"/>
      <c r="R499" s="1323"/>
      <c r="S499" s="1323"/>
      <c r="T499" s="1323"/>
      <c r="U499" s="1323"/>
      <c r="V499" s="1323"/>
    </row>
    <row r="500" spans="2:22" x14ac:dyDescent="0.2">
      <c r="B500" s="1323"/>
      <c r="C500" s="1323"/>
      <c r="D500" s="365"/>
      <c r="E500" s="365"/>
      <c r="F500" s="1325"/>
      <c r="G500" s="1325"/>
      <c r="H500" s="1325"/>
      <c r="I500" s="1325"/>
      <c r="J500" s="1325"/>
      <c r="K500" s="1325"/>
      <c r="L500" s="1325"/>
      <c r="M500" s="1325"/>
      <c r="N500" s="365"/>
      <c r="O500" s="1331"/>
      <c r="P500" s="1323"/>
      <c r="Q500" s="1323"/>
      <c r="R500" s="1323"/>
      <c r="S500" s="1323"/>
      <c r="T500" s="1323"/>
      <c r="U500" s="1323"/>
      <c r="V500" s="1323"/>
    </row>
    <row r="501" spans="2:22" x14ac:dyDescent="0.2">
      <c r="B501" s="1323"/>
      <c r="C501" s="1323"/>
      <c r="D501" s="365"/>
      <c r="E501" s="365"/>
      <c r="F501" s="1325"/>
      <c r="G501" s="1325"/>
      <c r="H501" s="1325"/>
      <c r="I501" s="1325"/>
      <c r="J501" s="1325"/>
      <c r="K501" s="1325"/>
      <c r="L501" s="1325"/>
      <c r="M501" s="1325"/>
      <c r="N501" s="365"/>
      <c r="O501" s="1331"/>
      <c r="P501" s="1323"/>
      <c r="Q501" s="1323"/>
      <c r="R501" s="1323"/>
      <c r="S501" s="1323"/>
      <c r="T501" s="1323"/>
      <c r="U501" s="1323"/>
      <c r="V501" s="1323"/>
    </row>
    <row r="502" spans="2:22" x14ac:dyDescent="0.2">
      <c r="B502" s="1323"/>
      <c r="C502" s="1323"/>
      <c r="D502" s="365"/>
      <c r="E502" s="365"/>
      <c r="F502" s="1325"/>
      <c r="G502" s="1325"/>
      <c r="H502" s="1325"/>
      <c r="I502" s="1325"/>
      <c r="J502" s="1325"/>
      <c r="K502" s="1325"/>
      <c r="L502" s="1325"/>
      <c r="M502" s="1325"/>
      <c r="N502" s="365"/>
      <c r="O502" s="1331"/>
      <c r="P502" s="1323"/>
      <c r="Q502" s="1323"/>
      <c r="R502" s="1323"/>
      <c r="S502" s="1323"/>
      <c r="T502" s="1323"/>
      <c r="U502" s="1323"/>
      <c r="V502" s="1323"/>
    </row>
    <row r="503" spans="2:22" x14ac:dyDescent="0.2">
      <c r="B503" s="1323"/>
      <c r="C503" s="1323"/>
      <c r="D503" s="365"/>
      <c r="E503" s="365"/>
      <c r="F503" s="1325"/>
      <c r="G503" s="1325"/>
      <c r="H503" s="1325"/>
      <c r="I503" s="1325"/>
      <c r="J503" s="1325"/>
      <c r="K503" s="1325"/>
      <c r="L503" s="1325"/>
      <c r="M503" s="1325"/>
      <c r="N503" s="365"/>
      <c r="O503" s="1331"/>
      <c r="P503" s="1323"/>
      <c r="Q503" s="1323"/>
      <c r="R503" s="1323"/>
      <c r="S503" s="1323"/>
      <c r="T503" s="1323"/>
      <c r="U503" s="1323"/>
      <c r="V503" s="1323"/>
    </row>
    <row r="504" spans="2:22" x14ac:dyDescent="0.2">
      <c r="B504" s="1323"/>
      <c r="C504" s="1323"/>
      <c r="D504" s="365"/>
      <c r="E504" s="365"/>
      <c r="F504" s="1325"/>
      <c r="G504" s="1325"/>
      <c r="H504" s="1325"/>
      <c r="I504" s="1325"/>
      <c r="J504" s="1325"/>
      <c r="K504" s="1325"/>
      <c r="L504" s="1325"/>
      <c r="M504" s="1325"/>
      <c r="N504" s="365"/>
      <c r="O504" s="1331"/>
      <c r="P504" s="1323"/>
      <c r="Q504" s="1323"/>
      <c r="R504" s="1323"/>
      <c r="S504" s="1323"/>
      <c r="T504" s="1323"/>
      <c r="U504" s="1323"/>
      <c r="V504" s="1323"/>
    </row>
    <row r="505" spans="2:22" x14ac:dyDescent="0.2">
      <c r="B505" s="1323"/>
      <c r="C505" s="1323"/>
      <c r="D505" s="365"/>
      <c r="E505" s="365"/>
      <c r="F505" s="1325"/>
      <c r="G505" s="1325"/>
      <c r="H505" s="1325"/>
      <c r="I505" s="1325"/>
      <c r="J505" s="1325"/>
      <c r="K505" s="1325"/>
      <c r="L505" s="1325"/>
      <c r="M505" s="1325"/>
      <c r="N505" s="365"/>
      <c r="O505" s="1331"/>
      <c r="P505" s="1323"/>
      <c r="Q505" s="1323"/>
      <c r="R505" s="1323"/>
      <c r="S505" s="1323"/>
      <c r="T505" s="1323"/>
      <c r="U505" s="1323"/>
      <c r="V505" s="1323"/>
    </row>
    <row r="506" spans="2:22" x14ac:dyDescent="0.2">
      <c r="B506" s="1323"/>
      <c r="C506" s="1323"/>
      <c r="D506" s="365"/>
      <c r="E506" s="365"/>
      <c r="F506" s="1325"/>
      <c r="G506" s="1325"/>
      <c r="H506" s="1325"/>
      <c r="I506" s="1325"/>
      <c r="J506" s="1325"/>
      <c r="K506" s="1325"/>
      <c r="L506" s="1325"/>
      <c r="M506" s="1325"/>
      <c r="N506" s="365"/>
      <c r="O506" s="1331"/>
      <c r="P506" s="1323"/>
      <c r="Q506" s="1323"/>
      <c r="R506" s="1323"/>
      <c r="S506" s="1323"/>
      <c r="T506" s="1323"/>
      <c r="U506" s="1323"/>
      <c r="V506" s="1323"/>
    </row>
    <row r="507" spans="2:22" x14ac:dyDescent="0.2">
      <c r="B507" s="1323"/>
      <c r="C507" s="1323"/>
      <c r="D507" s="365"/>
      <c r="E507" s="365"/>
      <c r="F507" s="1325"/>
      <c r="G507" s="1325"/>
      <c r="H507" s="1325"/>
      <c r="I507" s="1325"/>
      <c r="J507" s="1325"/>
      <c r="K507" s="1325"/>
      <c r="L507" s="1325"/>
      <c r="M507" s="1325"/>
      <c r="N507" s="365"/>
      <c r="O507" s="1331"/>
      <c r="P507" s="1323"/>
      <c r="Q507" s="1323"/>
      <c r="R507" s="1323"/>
      <c r="S507" s="1323"/>
      <c r="T507" s="1323"/>
      <c r="U507" s="1323"/>
      <c r="V507" s="1323"/>
    </row>
    <row r="508" spans="2:22" x14ac:dyDescent="0.2">
      <c r="B508" s="1323"/>
      <c r="C508" s="1323"/>
      <c r="D508" s="365"/>
      <c r="E508" s="365"/>
      <c r="F508" s="1325"/>
      <c r="G508" s="1325"/>
      <c r="H508" s="1325"/>
      <c r="I508" s="1325"/>
      <c r="J508" s="1325"/>
      <c r="K508" s="1325"/>
      <c r="L508" s="1325"/>
      <c r="M508" s="1325"/>
      <c r="N508" s="365"/>
      <c r="O508" s="1331"/>
      <c r="P508" s="1323"/>
      <c r="Q508" s="1323"/>
      <c r="R508" s="1323"/>
      <c r="S508" s="1323"/>
      <c r="T508" s="1323"/>
      <c r="U508" s="1323"/>
      <c r="V508" s="1323"/>
    </row>
    <row r="509" spans="2:22" x14ac:dyDescent="0.2">
      <c r="B509" s="1323"/>
      <c r="C509" s="1323"/>
      <c r="D509" s="365"/>
      <c r="E509" s="365"/>
      <c r="F509" s="1325"/>
      <c r="G509" s="1325"/>
      <c r="H509" s="1325"/>
      <c r="I509" s="1325"/>
      <c r="J509" s="1325"/>
      <c r="K509" s="1325"/>
      <c r="L509" s="1325"/>
      <c r="M509" s="1325"/>
      <c r="N509" s="365"/>
      <c r="O509" s="1331"/>
      <c r="P509" s="1323"/>
      <c r="Q509" s="1323"/>
      <c r="R509" s="1323"/>
      <c r="S509" s="1323"/>
      <c r="T509" s="1323"/>
      <c r="U509" s="1323"/>
      <c r="V509" s="1323"/>
    </row>
    <row r="510" spans="2:22" x14ac:dyDescent="0.2">
      <c r="B510" s="1323"/>
      <c r="C510" s="1323"/>
      <c r="D510" s="365"/>
      <c r="E510" s="365"/>
      <c r="F510" s="1325"/>
      <c r="G510" s="1325"/>
      <c r="H510" s="1325"/>
      <c r="I510" s="1325"/>
      <c r="J510" s="1325"/>
      <c r="K510" s="1325"/>
      <c r="L510" s="1325"/>
      <c r="M510" s="1325"/>
      <c r="N510" s="365"/>
      <c r="O510" s="1331"/>
      <c r="P510" s="1323"/>
      <c r="Q510" s="1323"/>
      <c r="R510" s="1323"/>
      <c r="S510" s="1323"/>
      <c r="T510" s="1323"/>
      <c r="U510" s="1323"/>
      <c r="V510" s="1323"/>
    </row>
    <row r="511" spans="2:22" x14ac:dyDescent="0.2">
      <c r="B511" s="1323"/>
      <c r="C511" s="1323"/>
      <c r="D511" s="365"/>
      <c r="E511" s="365"/>
      <c r="F511" s="1325"/>
      <c r="G511" s="1325"/>
      <c r="H511" s="1325"/>
      <c r="I511" s="1325"/>
      <c r="J511" s="1325"/>
      <c r="K511" s="1325"/>
      <c r="L511" s="1325"/>
      <c r="M511" s="1325"/>
      <c r="N511" s="365"/>
      <c r="O511" s="1331"/>
      <c r="P511" s="1323"/>
      <c r="Q511" s="1323"/>
      <c r="R511" s="1323"/>
      <c r="S511" s="1323"/>
      <c r="T511" s="1323"/>
      <c r="U511" s="1323"/>
      <c r="V511" s="1323"/>
    </row>
    <row r="512" spans="2:22" x14ac:dyDescent="0.2">
      <c r="B512" s="1323"/>
      <c r="C512" s="1323"/>
      <c r="D512" s="365"/>
      <c r="E512" s="365"/>
      <c r="F512" s="1325"/>
      <c r="G512" s="1325"/>
      <c r="H512" s="1325"/>
      <c r="I512" s="1325"/>
      <c r="J512" s="1325"/>
      <c r="K512" s="1325"/>
      <c r="L512" s="1325"/>
      <c r="M512" s="1325"/>
      <c r="N512" s="365"/>
      <c r="O512" s="1331"/>
      <c r="P512" s="1323"/>
      <c r="Q512" s="1323"/>
      <c r="R512" s="1323"/>
      <c r="S512" s="1323"/>
      <c r="T512" s="1323"/>
      <c r="U512" s="1323"/>
      <c r="V512" s="1323"/>
    </row>
    <row r="513" spans="2:22" x14ac:dyDescent="0.2">
      <c r="B513" s="1323"/>
      <c r="C513" s="1323"/>
      <c r="D513" s="365"/>
      <c r="E513" s="365"/>
      <c r="F513" s="1325"/>
      <c r="G513" s="1325"/>
      <c r="H513" s="1325"/>
      <c r="I513" s="1325"/>
      <c r="J513" s="1325"/>
      <c r="K513" s="1325"/>
      <c r="L513" s="1325"/>
      <c r="M513" s="1325"/>
      <c r="N513" s="365"/>
      <c r="O513" s="1331"/>
      <c r="P513" s="1323"/>
      <c r="Q513" s="1323"/>
      <c r="R513" s="1323"/>
      <c r="S513" s="1323"/>
      <c r="T513" s="1323"/>
      <c r="U513" s="1323"/>
      <c r="V513" s="1323"/>
    </row>
    <row r="514" spans="2:22" x14ac:dyDescent="0.2">
      <c r="B514" s="1323"/>
      <c r="C514" s="1323"/>
      <c r="D514" s="365"/>
      <c r="E514" s="365"/>
      <c r="F514" s="1325"/>
      <c r="G514" s="1325"/>
      <c r="H514" s="1325"/>
      <c r="I514" s="1325"/>
      <c r="J514" s="1325"/>
      <c r="K514" s="1325"/>
      <c r="L514" s="1325"/>
      <c r="M514" s="1325"/>
      <c r="N514" s="365"/>
      <c r="O514" s="1331"/>
      <c r="P514" s="1323"/>
      <c r="Q514" s="1323"/>
      <c r="R514" s="1323"/>
      <c r="S514" s="1323"/>
      <c r="T514" s="1323"/>
      <c r="U514" s="1323"/>
      <c r="V514" s="1323"/>
    </row>
    <row r="515" spans="2:22" x14ac:dyDescent="0.2">
      <c r="B515" s="1323"/>
      <c r="C515" s="1323"/>
      <c r="D515" s="365"/>
      <c r="E515" s="365"/>
      <c r="F515" s="1325"/>
      <c r="G515" s="1325"/>
      <c r="H515" s="1325"/>
      <c r="I515" s="1325"/>
      <c r="J515" s="1325"/>
      <c r="K515" s="1325"/>
      <c r="L515" s="1325"/>
      <c r="M515" s="1325"/>
      <c r="N515" s="365"/>
      <c r="O515" s="1331"/>
      <c r="P515" s="1323"/>
      <c r="Q515" s="1323"/>
      <c r="R515" s="1323"/>
      <c r="S515" s="1323"/>
      <c r="T515" s="1323"/>
      <c r="U515" s="1323"/>
      <c r="V515" s="1323"/>
    </row>
    <row r="516" spans="2:22" x14ac:dyDescent="0.2">
      <c r="B516" s="1323"/>
      <c r="C516" s="1323"/>
      <c r="D516" s="365"/>
      <c r="E516" s="365"/>
      <c r="F516" s="1325"/>
      <c r="G516" s="1325"/>
      <c r="H516" s="1325"/>
      <c r="I516" s="1325"/>
      <c r="J516" s="1325"/>
      <c r="K516" s="1325"/>
      <c r="L516" s="1325"/>
      <c r="M516" s="1325"/>
      <c r="N516" s="365"/>
      <c r="O516" s="1331"/>
      <c r="P516" s="1323"/>
      <c r="Q516" s="1323"/>
      <c r="R516" s="1323"/>
      <c r="S516" s="1323"/>
      <c r="T516" s="1323"/>
      <c r="U516" s="1323"/>
      <c r="V516" s="1323"/>
    </row>
    <row r="517" spans="2:22" x14ac:dyDescent="0.2">
      <c r="B517" s="1323"/>
      <c r="C517" s="1323"/>
      <c r="D517" s="365"/>
      <c r="E517" s="365"/>
      <c r="F517" s="1325"/>
      <c r="G517" s="1325"/>
      <c r="H517" s="1325"/>
      <c r="I517" s="1325"/>
      <c r="J517" s="1325"/>
      <c r="K517" s="1325"/>
      <c r="L517" s="1325"/>
      <c r="M517" s="1325"/>
      <c r="N517" s="365"/>
      <c r="O517" s="1331"/>
      <c r="P517" s="1323"/>
      <c r="Q517" s="1323"/>
      <c r="R517" s="1323"/>
      <c r="S517" s="1323"/>
      <c r="T517" s="1323"/>
      <c r="U517" s="1323"/>
      <c r="V517" s="1323"/>
    </row>
    <row r="518" spans="2:22" x14ac:dyDescent="0.2">
      <c r="B518" s="1323"/>
      <c r="C518" s="1323"/>
      <c r="D518" s="365"/>
      <c r="E518" s="365"/>
      <c r="F518" s="1325"/>
      <c r="G518" s="1325"/>
      <c r="H518" s="1325"/>
      <c r="I518" s="1325"/>
      <c r="J518" s="1325"/>
      <c r="K518" s="1325"/>
      <c r="L518" s="1325"/>
      <c r="M518" s="1325"/>
      <c r="N518" s="365"/>
      <c r="O518" s="1331"/>
      <c r="P518" s="1323"/>
      <c r="Q518" s="1323"/>
      <c r="R518" s="1323"/>
      <c r="S518" s="1323"/>
      <c r="T518" s="1323"/>
      <c r="U518" s="1323"/>
      <c r="V518" s="1323"/>
    </row>
    <row r="519" spans="2:22" x14ac:dyDescent="0.2">
      <c r="B519" s="1323"/>
      <c r="C519" s="1323"/>
      <c r="D519" s="365"/>
      <c r="E519" s="365"/>
      <c r="F519" s="1325"/>
      <c r="G519" s="1325"/>
      <c r="H519" s="1325"/>
      <c r="I519" s="1325"/>
      <c r="J519" s="1325"/>
      <c r="K519" s="1325"/>
      <c r="L519" s="1325"/>
      <c r="M519" s="1325"/>
      <c r="N519" s="365"/>
      <c r="O519" s="1331"/>
      <c r="P519" s="1323"/>
      <c r="Q519" s="1323"/>
      <c r="R519" s="1323"/>
      <c r="S519" s="1323"/>
      <c r="T519" s="1323"/>
      <c r="U519" s="1323"/>
      <c r="V519" s="1323"/>
    </row>
    <row r="520" spans="2:22" x14ac:dyDescent="0.2">
      <c r="B520" s="1323"/>
      <c r="C520" s="1323"/>
      <c r="D520" s="365"/>
      <c r="E520" s="365"/>
      <c r="F520" s="1325"/>
      <c r="G520" s="1325"/>
      <c r="H520" s="1325"/>
      <c r="I520" s="1325"/>
      <c r="J520" s="1325"/>
      <c r="K520" s="1325"/>
      <c r="L520" s="1325"/>
      <c r="M520" s="1325"/>
      <c r="N520" s="365"/>
      <c r="O520" s="1331"/>
      <c r="P520" s="1323"/>
      <c r="Q520" s="1323"/>
      <c r="R520" s="1323"/>
      <c r="S520" s="1323"/>
      <c r="T520" s="1323"/>
      <c r="U520" s="1323"/>
      <c r="V520" s="1323"/>
    </row>
    <row r="521" spans="2:22" x14ac:dyDescent="0.2">
      <c r="B521" s="1323"/>
      <c r="C521" s="1323"/>
      <c r="D521" s="365"/>
      <c r="E521" s="365"/>
      <c r="F521" s="1325"/>
      <c r="G521" s="1325"/>
      <c r="H521" s="1325"/>
      <c r="I521" s="1325"/>
      <c r="J521" s="1325"/>
      <c r="K521" s="1325"/>
      <c r="L521" s="1325"/>
      <c r="M521" s="1325"/>
      <c r="N521" s="365"/>
      <c r="O521" s="1331"/>
      <c r="P521" s="1323"/>
      <c r="Q521" s="1323"/>
      <c r="R521" s="1323"/>
      <c r="S521" s="1323"/>
      <c r="T521" s="1323"/>
      <c r="U521" s="1323"/>
      <c r="V521" s="1323"/>
    </row>
    <row r="522" spans="2:22" x14ac:dyDescent="0.2">
      <c r="B522" s="1323"/>
      <c r="C522" s="1323"/>
      <c r="D522" s="365"/>
      <c r="E522" s="365"/>
      <c r="F522" s="1325"/>
      <c r="G522" s="1325"/>
      <c r="H522" s="1325"/>
      <c r="I522" s="1325"/>
      <c r="J522" s="1325"/>
      <c r="K522" s="1325"/>
      <c r="L522" s="1325"/>
      <c r="M522" s="1325"/>
      <c r="N522" s="365"/>
      <c r="O522" s="1331"/>
      <c r="P522" s="1323"/>
      <c r="Q522" s="1323"/>
      <c r="R522" s="1323"/>
      <c r="S522" s="1323"/>
      <c r="T522" s="1323"/>
      <c r="U522" s="1323"/>
      <c r="V522" s="1323"/>
    </row>
    <row r="523" spans="2:22" x14ac:dyDescent="0.2">
      <c r="B523" s="1323"/>
      <c r="C523" s="1323"/>
      <c r="D523" s="365"/>
      <c r="E523" s="365"/>
      <c r="F523" s="1325"/>
      <c r="G523" s="1325"/>
      <c r="H523" s="1325"/>
      <c r="I523" s="1325"/>
      <c r="J523" s="1325"/>
      <c r="K523" s="1325"/>
      <c r="L523" s="1325"/>
      <c r="M523" s="1325"/>
      <c r="N523" s="365"/>
      <c r="O523" s="1331"/>
      <c r="P523" s="1323"/>
      <c r="Q523" s="1323"/>
      <c r="R523" s="1323"/>
      <c r="S523" s="1323"/>
      <c r="T523" s="1323"/>
      <c r="U523" s="1323"/>
      <c r="V523" s="1323"/>
    </row>
    <row r="524" spans="2:22" x14ac:dyDescent="0.2">
      <c r="B524" s="1323"/>
      <c r="C524" s="1323"/>
      <c r="D524" s="365"/>
      <c r="E524" s="365"/>
      <c r="F524" s="1325"/>
      <c r="G524" s="1325"/>
      <c r="H524" s="1325"/>
      <c r="I524" s="1325"/>
      <c r="J524" s="1325"/>
      <c r="K524" s="1325"/>
      <c r="L524" s="1325"/>
      <c r="M524" s="1325"/>
      <c r="N524" s="365"/>
      <c r="O524" s="1331"/>
      <c r="P524" s="1323"/>
      <c r="Q524" s="1323"/>
      <c r="R524" s="1323"/>
      <c r="S524" s="1323"/>
      <c r="T524" s="1323"/>
      <c r="U524" s="1323"/>
      <c r="V524" s="1323"/>
    </row>
    <row r="525" spans="2:22" x14ac:dyDescent="0.2">
      <c r="B525" s="1323"/>
      <c r="C525" s="1323"/>
      <c r="D525" s="365"/>
      <c r="E525" s="365"/>
      <c r="F525" s="1325"/>
      <c r="G525" s="1325"/>
      <c r="H525" s="1325"/>
      <c r="I525" s="1325"/>
      <c r="J525" s="1325"/>
      <c r="K525" s="1325"/>
      <c r="L525" s="1325"/>
      <c r="M525" s="1325"/>
      <c r="N525" s="365"/>
      <c r="O525" s="1331"/>
      <c r="P525" s="1323"/>
      <c r="Q525" s="1323"/>
      <c r="R525" s="1323"/>
      <c r="S525" s="1323"/>
      <c r="T525" s="1323"/>
      <c r="U525" s="1323"/>
      <c r="V525" s="1323"/>
    </row>
    <row r="526" spans="2:22" x14ac:dyDescent="0.2">
      <c r="B526" s="1323"/>
      <c r="C526" s="1323"/>
      <c r="D526" s="365"/>
      <c r="E526" s="365"/>
      <c r="F526" s="1325"/>
      <c r="G526" s="1325"/>
      <c r="H526" s="1325"/>
      <c r="I526" s="1325"/>
      <c r="J526" s="1325"/>
      <c r="K526" s="1325"/>
      <c r="L526" s="1325"/>
      <c r="M526" s="1325"/>
      <c r="N526" s="365"/>
      <c r="O526" s="1331"/>
      <c r="P526" s="1323"/>
      <c r="Q526" s="1323"/>
      <c r="R526" s="1323"/>
      <c r="S526" s="1323"/>
      <c r="T526" s="1323"/>
      <c r="U526" s="1323"/>
      <c r="V526" s="1323"/>
    </row>
    <row r="527" spans="2:22" x14ac:dyDescent="0.2">
      <c r="B527" s="1323"/>
      <c r="C527" s="1323"/>
      <c r="D527" s="365"/>
      <c r="E527" s="365"/>
      <c r="F527" s="1325"/>
      <c r="G527" s="1325"/>
      <c r="H527" s="1325"/>
      <c r="I527" s="1325"/>
      <c r="J527" s="1325"/>
      <c r="K527" s="1325"/>
      <c r="L527" s="1325"/>
      <c r="M527" s="1325"/>
      <c r="N527" s="365"/>
      <c r="O527" s="1331"/>
      <c r="P527" s="1323"/>
      <c r="Q527" s="1323"/>
      <c r="R527" s="1323"/>
      <c r="S527" s="1323"/>
      <c r="T527" s="1323"/>
      <c r="U527" s="1323"/>
      <c r="V527" s="1323"/>
    </row>
    <row r="528" spans="2:22" x14ac:dyDescent="0.2">
      <c r="B528" s="1323"/>
      <c r="C528" s="1323"/>
      <c r="D528" s="365"/>
      <c r="E528" s="365"/>
      <c r="F528" s="1325"/>
      <c r="G528" s="1325"/>
      <c r="H528" s="1325"/>
      <c r="I528" s="1325"/>
      <c r="J528" s="1325"/>
      <c r="K528" s="1325"/>
      <c r="L528" s="1325"/>
      <c r="M528" s="1325"/>
      <c r="N528" s="365"/>
      <c r="O528" s="1331"/>
      <c r="P528" s="1323"/>
      <c r="Q528" s="1323"/>
      <c r="R528" s="1323"/>
      <c r="S528" s="1323"/>
      <c r="T528" s="1323"/>
      <c r="U528" s="1323"/>
      <c r="V528" s="1323"/>
    </row>
    <row r="529" spans="2:22" x14ac:dyDescent="0.2">
      <c r="B529" s="1323"/>
      <c r="C529" s="1323"/>
      <c r="D529" s="365"/>
      <c r="E529" s="365"/>
      <c r="F529" s="1325"/>
      <c r="G529" s="1325"/>
      <c r="H529" s="1325"/>
      <c r="I529" s="1325"/>
      <c r="J529" s="1325"/>
      <c r="K529" s="1325"/>
      <c r="L529" s="1325"/>
      <c r="M529" s="1325"/>
      <c r="N529" s="365"/>
      <c r="O529" s="1331"/>
      <c r="P529" s="1323"/>
      <c r="Q529" s="1323"/>
      <c r="R529" s="1323"/>
      <c r="S529" s="1323"/>
      <c r="T529" s="1323"/>
      <c r="U529" s="1323"/>
      <c r="V529" s="1323"/>
    </row>
    <row r="530" spans="2:22" x14ac:dyDescent="0.2">
      <c r="B530" s="1323"/>
      <c r="C530" s="1323"/>
      <c r="D530" s="365"/>
      <c r="E530" s="365"/>
      <c r="F530" s="1325"/>
      <c r="G530" s="1325"/>
      <c r="H530" s="1325"/>
      <c r="I530" s="1325"/>
      <c r="J530" s="1325"/>
      <c r="K530" s="1325"/>
      <c r="L530" s="1325"/>
      <c r="M530" s="1325"/>
      <c r="N530" s="365"/>
      <c r="O530" s="1331"/>
      <c r="P530" s="1323"/>
      <c r="Q530" s="1323"/>
      <c r="R530" s="1323"/>
      <c r="S530" s="1323"/>
      <c r="T530" s="1323"/>
      <c r="U530" s="1323"/>
      <c r="V530" s="1323"/>
    </row>
    <row r="531" spans="2:22" x14ac:dyDescent="0.2">
      <c r="B531" s="1323"/>
      <c r="C531" s="1323"/>
      <c r="D531" s="365"/>
      <c r="E531" s="365"/>
      <c r="F531" s="1325"/>
      <c r="G531" s="1325"/>
      <c r="H531" s="1325"/>
      <c r="I531" s="1325"/>
      <c r="J531" s="1325"/>
      <c r="K531" s="1325"/>
      <c r="L531" s="1325"/>
      <c r="M531" s="1325"/>
      <c r="N531" s="365"/>
      <c r="O531" s="1331"/>
      <c r="P531" s="1323"/>
      <c r="Q531" s="1323"/>
      <c r="R531" s="1323"/>
      <c r="S531" s="1323"/>
      <c r="T531" s="1323"/>
      <c r="U531" s="1323"/>
      <c r="V531" s="1323"/>
    </row>
    <row r="532" spans="2:22" x14ac:dyDescent="0.2">
      <c r="B532" s="1323"/>
      <c r="C532" s="1323"/>
      <c r="D532" s="365"/>
      <c r="E532" s="365"/>
      <c r="F532" s="1325"/>
      <c r="G532" s="1325"/>
      <c r="H532" s="1325"/>
      <c r="I532" s="1325"/>
      <c r="J532" s="1325"/>
      <c r="K532" s="1325"/>
      <c r="L532" s="1325"/>
      <c r="M532" s="1325"/>
      <c r="N532" s="365"/>
      <c r="O532" s="1331"/>
      <c r="P532" s="1323"/>
      <c r="Q532" s="1323"/>
      <c r="R532" s="1323"/>
      <c r="S532" s="1323"/>
      <c r="T532" s="1323"/>
      <c r="U532" s="1323"/>
      <c r="V532" s="1323"/>
    </row>
    <row r="533" spans="2:22" x14ac:dyDescent="0.2">
      <c r="B533" s="1323"/>
      <c r="C533" s="1323"/>
      <c r="D533" s="365"/>
      <c r="E533" s="365"/>
      <c r="F533" s="1325"/>
      <c r="G533" s="1325"/>
      <c r="H533" s="1325"/>
      <c r="I533" s="1325"/>
      <c r="J533" s="1325"/>
      <c r="K533" s="1325"/>
      <c r="L533" s="1325"/>
      <c r="M533" s="1325"/>
      <c r="N533" s="365"/>
      <c r="O533" s="1331"/>
      <c r="P533" s="1323"/>
      <c r="Q533" s="1323"/>
      <c r="R533" s="1323"/>
      <c r="S533" s="1323"/>
      <c r="T533" s="1323"/>
      <c r="U533" s="1323"/>
      <c r="V533" s="1323"/>
    </row>
    <row r="534" spans="2:22" x14ac:dyDescent="0.2">
      <c r="B534" s="1323"/>
      <c r="C534" s="1323"/>
      <c r="D534" s="365"/>
      <c r="E534" s="365"/>
      <c r="F534" s="1325"/>
      <c r="G534" s="1325"/>
      <c r="H534" s="1325"/>
      <c r="I534" s="1325"/>
      <c r="J534" s="1325"/>
      <c r="K534" s="1325"/>
      <c r="L534" s="1325"/>
      <c r="M534" s="1325"/>
      <c r="N534" s="365"/>
      <c r="O534" s="1331"/>
      <c r="P534" s="1323"/>
      <c r="Q534" s="1323"/>
      <c r="R534" s="1323"/>
      <c r="S534" s="1323"/>
      <c r="T534" s="1323"/>
      <c r="U534" s="1323"/>
      <c r="V534" s="1323"/>
    </row>
    <row r="535" spans="2:22" x14ac:dyDescent="0.2">
      <c r="B535" s="1323"/>
      <c r="C535" s="1323"/>
      <c r="D535" s="365"/>
      <c r="E535" s="365"/>
      <c r="F535" s="1325"/>
      <c r="G535" s="1325"/>
      <c r="H535" s="1325"/>
      <c r="I535" s="1325"/>
      <c r="J535" s="1325"/>
      <c r="K535" s="1325"/>
      <c r="L535" s="1325"/>
      <c r="M535" s="1325"/>
      <c r="N535" s="365"/>
      <c r="O535" s="1331"/>
      <c r="P535" s="1323"/>
      <c r="Q535" s="1323"/>
      <c r="R535" s="1323"/>
      <c r="S535" s="1323"/>
      <c r="T535" s="1323"/>
      <c r="U535" s="1323"/>
      <c r="V535" s="1323"/>
    </row>
    <row r="536" spans="2:22" x14ac:dyDescent="0.2">
      <c r="B536" s="1323"/>
      <c r="C536" s="1323"/>
      <c r="D536" s="365"/>
      <c r="E536" s="365"/>
      <c r="F536" s="1325"/>
      <c r="G536" s="1325"/>
      <c r="H536" s="1325"/>
      <c r="I536" s="1325"/>
      <c r="J536" s="1325"/>
      <c r="K536" s="1325"/>
      <c r="L536" s="1325"/>
      <c r="M536" s="1325"/>
      <c r="N536" s="365"/>
      <c r="O536" s="1331"/>
      <c r="P536" s="1323"/>
      <c r="Q536" s="1323"/>
      <c r="R536" s="1323"/>
      <c r="S536" s="1323"/>
      <c r="T536" s="1323"/>
      <c r="U536" s="1323"/>
      <c r="V536" s="1323"/>
    </row>
    <row r="537" spans="2:22" x14ac:dyDescent="0.2">
      <c r="B537" s="1323"/>
      <c r="C537" s="1323"/>
      <c r="D537" s="365"/>
      <c r="E537" s="365"/>
      <c r="F537" s="1325"/>
      <c r="G537" s="1325"/>
      <c r="H537" s="1325"/>
      <c r="I537" s="1325"/>
      <c r="J537" s="1325"/>
      <c r="K537" s="1325"/>
      <c r="L537" s="1325"/>
      <c r="M537" s="1325"/>
      <c r="N537" s="365"/>
      <c r="O537" s="1331"/>
      <c r="P537" s="1323"/>
      <c r="Q537" s="1323"/>
      <c r="R537" s="1323"/>
      <c r="S537" s="1323"/>
      <c r="T537" s="1323"/>
      <c r="U537" s="1323"/>
      <c r="V537" s="1323"/>
    </row>
    <row r="538" spans="2:22" x14ac:dyDescent="0.2">
      <c r="B538" s="1323"/>
      <c r="C538" s="1323"/>
      <c r="D538" s="365"/>
      <c r="E538" s="365"/>
      <c r="F538" s="1325"/>
      <c r="G538" s="1325"/>
      <c r="H538" s="1325"/>
      <c r="I538" s="1325"/>
      <c r="J538" s="1325"/>
      <c r="K538" s="1325"/>
      <c r="L538" s="1325"/>
      <c r="M538" s="1325"/>
      <c r="N538" s="365"/>
      <c r="O538" s="1331"/>
      <c r="P538" s="1323"/>
      <c r="Q538" s="1323"/>
      <c r="R538" s="1323"/>
      <c r="S538" s="1323"/>
      <c r="T538" s="1323"/>
      <c r="U538" s="1323"/>
      <c r="V538" s="1323"/>
    </row>
    <row r="539" spans="2:22" x14ac:dyDescent="0.2">
      <c r="B539" s="1323"/>
      <c r="C539" s="1323"/>
      <c r="D539" s="365"/>
      <c r="E539" s="365"/>
      <c r="F539" s="1325"/>
      <c r="G539" s="1325"/>
      <c r="H539" s="1325"/>
      <c r="I539" s="1325"/>
      <c r="J539" s="1325"/>
      <c r="K539" s="1325"/>
      <c r="L539" s="1325"/>
      <c r="M539" s="1325"/>
      <c r="N539" s="365"/>
      <c r="O539" s="1331"/>
      <c r="P539" s="1323"/>
      <c r="Q539" s="1323"/>
      <c r="R539" s="1323"/>
      <c r="S539" s="1323"/>
      <c r="T539" s="1323"/>
      <c r="U539" s="1323"/>
      <c r="V539" s="1323"/>
    </row>
    <row r="540" spans="2:22" x14ac:dyDescent="0.2">
      <c r="B540" s="1323"/>
      <c r="C540" s="1323"/>
      <c r="D540" s="365"/>
      <c r="E540" s="365"/>
      <c r="F540" s="1325"/>
      <c r="G540" s="1325"/>
      <c r="H540" s="1325"/>
      <c r="I540" s="1325"/>
      <c r="J540" s="1325"/>
      <c r="K540" s="1325"/>
      <c r="L540" s="1325"/>
      <c r="M540" s="1325"/>
      <c r="N540" s="365"/>
      <c r="O540" s="1331"/>
      <c r="P540" s="1323"/>
      <c r="Q540" s="1323"/>
      <c r="R540" s="1323"/>
      <c r="S540" s="1323"/>
      <c r="T540" s="1323"/>
      <c r="U540" s="1323"/>
      <c r="V540" s="1323"/>
    </row>
    <row r="541" spans="2:22" x14ac:dyDescent="0.2">
      <c r="B541" s="1323"/>
      <c r="C541" s="1323"/>
      <c r="D541" s="365"/>
      <c r="E541" s="365"/>
      <c r="F541" s="1325"/>
      <c r="G541" s="1325"/>
      <c r="H541" s="1325"/>
      <c r="I541" s="1325"/>
      <c r="J541" s="1325"/>
      <c r="K541" s="1325"/>
      <c r="L541" s="1325"/>
      <c r="M541" s="1325"/>
      <c r="N541" s="365"/>
      <c r="O541" s="1331"/>
      <c r="P541" s="1323"/>
      <c r="Q541" s="1323"/>
      <c r="R541" s="1323"/>
      <c r="S541" s="1323"/>
      <c r="T541" s="1323"/>
      <c r="U541" s="1323"/>
      <c r="V541" s="1323"/>
    </row>
    <row r="542" spans="2:22" x14ac:dyDescent="0.2">
      <c r="B542" s="1323"/>
      <c r="C542" s="1323"/>
      <c r="D542" s="365"/>
      <c r="E542" s="365"/>
      <c r="F542" s="1325"/>
      <c r="G542" s="1325"/>
      <c r="H542" s="1325"/>
      <c r="I542" s="1325"/>
      <c r="J542" s="1325"/>
      <c r="K542" s="1325"/>
      <c r="L542" s="1325"/>
      <c r="M542" s="1325"/>
      <c r="N542" s="365"/>
      <c r="O542" s="1331"/>
      <c r="P542" s="1323"/>
      <c r="Q542" s="1323"/>
      <c r="R542" s="1323"/>
      <c r="S542" s="1323"/>
      <c r="T542" s="1323"/>
      <c r="U542" s="1323"/>
      <c r="V542" s="1323"/>
    </row>
    <row r="543" spans="2:22" x14ac:dyDescent="0.2">
      <c r="B543" s="1323"/>
      <c r="C543" s="1323"/>
      <c r="D543" s="365"/>
      <c r="E543" s="365"/>
      <c r="F543" s="1325"/>
      <c r="G543" s="1325"/>
      <c r="H543" s="1325"/>
      <c r="I543" s="1325"/>
      <c r="J543" s="1325"/>
      <c r="K543" s="1325"/>
      <c r="L543" s="1325"/>
      <c r="M543" s="1325"/>
      <c r="N543" s="365"/>
      <c r="O543" s="1331"/>
      <c r="P543" s="1323"/>
      <c r="Q543" s="1323"/>
      <c r="R543" s="1323"/>
      <c r="S543" s="1323"/>
      <c r="T543" s="1323"/>
      <c r="U543" s="1323"/>
      <c r="V543" s="1323"/>
    </row>
    <row r="544" spans="2:22" x14ac:dyDescent="0.2">
      <c r="B544" s="1323"/>
      <c r="C544" s="1323"/>
      <c r="D544" s="365"/>
      <c r="E544" s="365"/>
      <c r="F544" s="1325"/>
      <c r="G544" s="1325"/>
      <c r="H544" s="1325"/>
      <c r="I544" s="1325"/>
      <c r="J544" s="1325"/>
      <c r="K544" s="1325"/>
      <c r="L544" s="1325"/>
      <c r="M544" s="1325"/>
      <c r="N544" s="365"/>
      <c r="O544" s="1331"/>
      <c r="P544" s="1323"/>
      <c r="Q544" s="1323"/>
      <c r="R544" s="1323"/>
      <c r="S544" s="1323"/>
      <c r="T544" s="1323"/>
      <c r="U544" s="1323"/>
      <c r="V544" s="1323"/>
    </row>
    <row r="545" spans="2:22" x14ac:dyDescent="0.2">
      <c r="B545" s="1323"/>
      <c r="C545" s="1323"/>
      <c r="D545" s="365"/>
      <c r="E545" s="365"/>
      <c r="F545" s="1325"/>
      <c r="G545" s="1325"/>
      <c r="H545" s="1325"/>
      <c r="I545" s="1325"/>
      <c r="J545" s="1325"/>
      <c r="K545" s="1325"/>
      <c r="L545" s="1325"/>
      <c r="M545" s="1325"/>
      <c r="N545" s="365"/>
      <c r="O545" s="1331"/>
      <c r="P545" s="1323"/>
      <c r="Q545" s="1323"/>
      <c r="R545" s="1323"/>
      <c r="S545" s="1323"/>
      <c r="T545" s="1323"/>
      <c r="U545" s="1323"/>
      <c r="V545" s="1323"/>
    </row>
    <row r="546" spans="2:22" x14ac:dyDescent="0.2">
      <c r="B546" s="1323"/>
      <c r="C546" s="1323"/>
      <c r="D546" s="365"/>
      <c r="E546" s="365"/>
      <c r="F546" s="1325"/>
      <c r="G546" s="1325"/>
      <c r="H546" s="1325"/>
      <c r="I546" s="1325"/>
      <c r="J546" s="1325"/>
      <c r="K546" s="1325"/>
      <c r="L546" s="1325"/>
      <c r="M546" s="1325"/>
      <c r="N546" s="365"/>
      <c r="O546" s="1331"/>
      <c r="P546" s="1323"/>
      <c r="Q546" s="1323"/>
      <c r="R546" s="1323"/>
      <c r="S546" s="1323"/>
      <c r="T546" s="1323"/>
      <c r="U546" s="1323"/>
      <c r="V546" s="1323"/>
    </row>
    <row r="547" spans="2:22" x14ac:dyDescent="0.2">
      <c r="B547" s="1323"/>
      <c r="C547" s="1323"/>
      <c r="D547" s="365"/>
      <c r="E547" s="365"/>
      <c r="F547" s="1325"/>
      <c r="G547" s="1325"/>
      <c r="H547" s="1325"/>
      <c r="I547" s="1325"/>
      <c r="J547" s="1325"/>
      <c r="K547" s="1325"/>
      <c r="L547" s="1325"/>
      <c r="M547" s="1325"/>
      <c r="N547" s="365"/>
      <c r="O547" s="1331"/>
      <c r="P547" s="1323"/>
      <c r="Q547" s="1323"/>
      <c r="R547" s="1323"/>
      <c r="S547" s="1323"/>
      <c r="T547" s="1323"/>
      <c r="U547" s="1323"/>
      <c r="V547" s="1323"/>
    </row>
    <row r="548" spans="2:22" x14ac:dyDescent="0.2">
      <c r="B548" s="1323"/>
      <c r="C548" s="1323"/>
      <c r="D548" s="365"/>
      <c r="E548" s="365"/>
      <c r="F548" s="1325"/>
      <c r="G548" s="1325"/>
      <c r="H548" s="1325"/>
      <c r="I548" s="1325"/>
      <c r="J548" s="1325"/>
      <c r="K548" s="1325"/>
      <c r="L548" s="1325"/>
      <c r="M548" s="1325"/>
      <c r="N548" s="365"/>
      <c r="O548" s="1331"/>
      <c r="P548" s="1323"/>
      <c r="Q548" s="1323"/>
      <c r="R548" s="1323"/>
      <c r="S548" s="1323"/>
      <c r="T548" s="1323"/>
      <c r="U548" s="1323"/>
      <c r="V548" s="1323"/>
    </row>
    <row r="549" spans="2:22" x14ac:dyDescent="0.2">
      <c r="B549" s="1323"/>
      <c r="C549" s="1323"/>
      <c r="D549" s="365"/>
      <c r="E549" s="365"/>
      <c r="F549" s="1325"/>
      <c r="G549" s="1325"/>
      <c r="H549" s="1325"/>
      <c r="I549" s="1325"/>
      <c r="J549" s="1325"/>
      <c r="K549" s="1325"/>
      <c r="L549" s="1325"/>
      <c r="M549" s="1325"/>
      <c r="N549" s="365"/>
      <c r="O549" s="1331"/>
      <c r="P549" s="1323"/>
      <c r="Q549" s="1323"/>
      <c r="R549" s="1323"/>
      <c r="S549" s="1323"/>
      <c r="T549" s="1323"/>
      <c r="U549" s="1323"/>
      <c r="V549" s="1323"/>
    </row>
    <row r="550" spans="2:22" x14ac:dyDescent="0.2">
      <c r="B550" s="1323"/>
      <c r="C550" s="1323"/>
      <c r="D550" s="365"/>
      <c r="E550" s="365"/>
      <c r="F550" s="1325"/>
      <c r="G550" s="1325"/>
      <c r="H550" s="1325"/>
      <c r="I550" s="1325"/>
      <c r="J550" s="1325"/>
      <c r="K550" s="1325"/>
      <c r="L550" s="1325"/>
      <c r="M550" s="1325"/>
      <c r="N550" s="365"/>
      <c r="O550" s="1331"/>
      <c r="P550" s="1323"/>
      <c r="Q550" s="1323"/>
      <c r="R550" s="1323"/>
      <c r="S550" s="1323"/>
      <c r="T550" s="1323"/>
      <c r="U550" s="1323"/>
      <c r="V550" s="1323"/>
    </row>
    <row r="551" spans="2:22" x14ac:dyDescent="0.2">
      <c r="B551" s="1323"/>
      <c r="C551" s="1323"/>
      <c r="D551" s="365"/>
      <c r="E551" s="365"/>
      <c r="F551" s="1325"/>
      <c r="G551" s="1325"/>
      <c r="H551" s="1325"/>
      <c r="I551" s="1325"/>
      <c r="J551" s="1325"/>
      <c r="K551" s="1325"/>
      <c r="L551" s="1325"/>
      <c r="M551" s="1325"/>
      <c r="N551" s="365"/>
      <c r="O551" s="1331"/>
      <c r="P551" s="1323"/>
      <c r="Q551" s="1323"/>
      <c r="R551" s="1323"/>
      <c r="S551" s="1323"/>
      <c r="T551" s="1323"/>
      <c r="U551" s="1323"/>
      <c r="V551" s="1323"/>
    </row>
    <row r="552" spans="2:22" x14ac:dyDescent="0.2">
      <c r="B552" s="1323"/>
      <c r="C552" s="1323"/>
      <c r="D552" s="365"/>
      <c r="E552" s="365"/>
      <c r="F552" s="1325"/>
      <c r="G552" s="1325"/>
      <c r="H552" s="1325"/>
      <c r="I552" s="1325"/>
      <c r="J552" s="1325"/>
      <c r="K552" s="1325"/>
      <c r="L552" s="1325"/>
      <c r="M552" s="1325"/>
      <c r="N552" s="365"/>
      <c r="O552" s="1331"/>
      <c r="P552" s="1323"/>
      <c r="Q552" s="1323"/>
      <c r="R552" s="1323"/>
      <c r="S552" s="1323"/>
      <c r="T552" s="1323"/>
      <c r="U552" s="1323"/>
      <c r="V552" s="1323"/>
    </row>
    <row r="553" spans="2:22" x14ac:dyDescent="0.2">
      <c r="B553" s="1323"/>
      <c r="C553" s="1323"/>
      <c r="D553" s="365"/>
      <c r="E553" s="365"/>
      <c r="F553" s="1325"/>
      <c r="G553" s="1325"/>
      <c r="H553" s="1325"/>
      <c r="I553" s="1325"/>
      <c r="J553" s="1325"/>
      <c r="K553" s="1325"/>
      <c r="L553" s="1325"/>
      <c r="M553" s="1325"/>
      <c r="N553" s="365"/>
      <c r="O553" s="1331"/>
      <c r="P553" s="1323"/>
      <c r="Q553" s="1323"/>
      <c r="R553" s="1323"/>
      <c r="S553" s="1323"/>
      <c r="T553" s="1323"/>
      <c r="U553" s="1323"/>
      <c r="V553" s="1323"/>
    </row>
    <row r="554" spans="2:22" x14ac:dyDescent="0.2">
      <c r="B554" s="1323"/>
      <c r="C554" s="1323"/>
      <c r="D554" s="365"/>
      <c r="E554" s="365"/>
      <c r="F554" s="1325"/>
      <c r="G554" s="1325"/>
      <c r="H554" s="1325"/>
      <c r="I554" s="1325"/>
      <c r="J554" s="1325"/>
      <c r="K554" s="1325"/>
      <c r="L554" s="1325"/>
      <c r="M554" s="1325"/>
      <c r="N554" s="365"/>
      <c r="O554" s="1331"/>
      <c r="P554" s="1323"/>
      <c r="Q554" s="1323"/>
      <c r="R554" s="1323"/>
      <c r="S554" s="1323"/>
      <c r="T554" s="1323"/>
      <c r="U554" s="1323"/>
      <c r="V554" s="1323"/>
    </row>
    <row r="555" spans="2:22" x14ac:dyDescent="0.2">
      <c r="B555" s="1323"/>
      <c r="C555" s="1323"/>
      <c r="D555" s="365"/>
      <c r="E555" s="365"/>
      <c r="F555" s="1325"/>
      <c r="G555" s="1325"/>
      <c r="H555" s="1325"/>
      <c r="I555" s="1325"/>
      <c r="J555" s="1325"/>
      <c r="K555" s="1325"/>
      <c r="L555" s="1325"/>
      <c r="M555" s="1325"/>
      <c r="N555" s="365"/>
      <c r="O555" s="1331"/>
      <c r="P555" s="1323"/>
      <c r="Q555" s="1323"/>
      <c r="R555" s="1323"/>
      <c r="S555" s="1323"/>
      <c r="T555" s="1323"/>
      <c r="U555" s="1323"/>
      <c r="V555" s="1323"/>
    </row>
    <row r="556" spans="2:22" x14ac:dyDescent="0.2">
      <c r="B556" s="1323"/>
      <c r="C556" s="1323"/>
      <c r="D556" s="365"/>
      <c r="E556" s="365"/>
      <c r="F556" s="1325"/>
      <c r="G556" s="1325"/>
      <c r="H556" s="1325"/>
      <c r="I556" s="1325"/>
      <c r="J556" s="1325"/>
      <c r="K556" s="1325"/>
      <c r="L556" s="1325"/>
      <c r="M556" s="1325"/>
      <c r="N556" s="365"/>
      <c r="O556" s="1331"/>
      <c r="P556" s="1323"/>
      <c r="Q556" s="1323"/>
      <c r="R556" s="1323"/>
      <c r="S556" s="1323"/>
      <c r="T556" s="1323"/>
      <c r="U556" s="1323"/>
      <c r="V556" s="1323"/>
    </row>
    <row r="557" spans="2:22" x14ac:dyDescent="0.2">
      <c r="B557" s="1323"/>
      <c r="C557" s="1323"/>
      <c r="D557" s="365"/>
      <c r="E557" s="365"/>
      <c r="F557" s="1325"/>
      <c r="G557" s="1325"/>
      <c r="H557" s="1325"/>
      <c r="I557" s="1325"/>
      <c r="J557" s="1325"/>
      <c r="K557" s="1325"/>
      <c r="L557" s="1325"/>
      <c r="M557" s="1325"/>
      <c r="N557" s="365"/>
      <c r="O557" s="1331"/>
      <c r="P557" s="1323"/>
      <c r="Q557" s="1323"/>
      <c r="R557" s="1323"/>
      <c r="S557" s="1323"/>
      <c r="T557" s="1323"/>
      <c r="U557" s="1323"/>
      <c r="V557" s="1323"/>
    </row>
    <row r="558" spans="2:22" x14ac:dyDescent="0.2">
      <c r="B558" s="1323"/>
      <c r="C558" s="1323"/>
      <c r="D558" s="365"/>
      <c r="E558" s="365"/>
      <c r="F558" s="1325"/>
      <c r="G558" s="1325"/>
      <c r="H558" s="1325"/>
      <c r="I558" s="1325"/>
      <c r="J558" s="1325"/>
      <c r="K558" s="1325"/>
      <c r="L558" s="1325"/>
      <c r="M558" s="1325"/>
      <c r="N558" s="365"/>
      <c r="O558" s="1331"/>
      <c r="P558" s="1323"/>
      <c r="Q558" s="1323"/>
      <c r="R558" s="1323"/>
      <c r="S558" s="1323"/>
      <c r="T558" s="1323"/>
      <c r="U558" s="1323"/>
      <c r="V558" s="1323"/>
    </row>
    <row r="559" spans="2:22" x14ac:dyDescent="0.2">
      <c r="B559" s="1323"/>
      <c r="C559" s="1323"/>
      <c r="D559" s="365"/>
      <c r="E559" s="365"/>
      <c r="F559" s="1325"/>
      <c r="G559" s="1325"/>
      <c r="H559" s="1325"/>
      <c r="I559" s="1325"/>
      <c r="J559" s="1325"/>
      <c r="K559" s="1325"/>
      <c r="L559" s="1325"/>
      <c r="M559" s="1325"/>
      <c r="N559" s="365"/>
      <c r="O559" s="1331"/>
      <c r="P559" s="1323"/>
      <c r="Q559" s="1323"/>
      <c r="R559" s="1323"/>
      <c r="S559" s="1323"/>
      <c r="T559" s="1323"/>
      <c r="U559" s="1323"/>
      <c r="V559" s="1323"/>
    </row>
    <row r="560" spans="2:22" x14ac:dyDescent="0.2">
      <c r="B560" s="1323"/>
      <c r="C560" s="1323"/>
      <c r="D560" s="365"/>
      <c r="E560" s="365"/>
      <c r="F560" s="1325"/>
      <c r="G560" s="1325"/>
      <c r="H560" s="1325"/>
      <c r="I560" s="1325"/>
      <c r="J560" s="1325"/>
      <c r="K560" s="1325"/>
      <c r="L560" s="1325"/>
      <c r="M560" s="1325"/>
      <c r="N560" s="365"/>
      <c r="O560" s="1331"/>
      <c r="P560" s="1323"/>
      <c r="Q560" s="1323"/>
      <c r="R560" s="1323"/>
      <c r="S560" s="1323"/>
      <c r="T560" s="1323"/>
      <c r="U560" s="1323"/>
      <c r="V560" s="1323"/>
    </row>
    <row r="561" spans="2:22" x14ac:dyDescent="0.2">
      <c r="B561" s="1323"/>
      <c r="C561" s="1323"/>
      <c r="D561" s="365"/>
      <c r="E561" s="365"/>
      <c r="F561" s="1325"/>
      <c r="G561" s="1325"/>
      <c r="H561" s="1325"/>
      <c r="I561" s="1325"/>
      <c r="J561" s="1325"/>
      <c r="K561" s="1325"/>
      <c r="L561" s="1325"/>
      <c r="M561" s="1325"/>
      <c r="N561" s="365"/>
      <c r="O561" s="1331"/>
      <c r="P561" s="1323"/>
      <c r="Q561" s="1323"/>
      <c r="R561" s="1323"/>
      <c r="S561" s="1323"/>
      <c r="T561" s="1323"/>
      <c r="U561" s="1323"/>
      <c r="V561" s="1323"/>
    </row>
    <row r="562" spans="2:22" x14ac:dyDescent="0.2">
      <c r="B562" s="1323"/>
      <c r="C562" s="1323"/>
      <c r="D562" s="365"/>
      <c r="E562" s="365"/>
      <c r="F562" s="1325"/>
      <c r="G562" s="1325"/>
      <c r="H562" s="1325"/>
      <c r="I562" s="1325"/>
      <c r="J562" s="1325"/>
      <c r="K562" s="1325"/>
      <c r="L562" s="1325"/>
      <c r="M562" s="1325"/>
      <c r="N562" s="365"/>
      <c r="O562" s="1331"/>
      <c r="P562" s="1323"/>
      <c r="Q562" s="1323"/>
      <c r="R562" s="1323"/>
      <c r="S562" s="1323"/>
      <c r="T562" s="1323"/>
      <c r="U562" s="1323"/>
      <c r="V562" s="1323"/>
    </row>
    <row r="563" spans="2:22" x14ac:dyDescent="0.2">
      <c r="B563" s="1323"/>
      <c r="C563" s="1323"/>
      <c r="D563" s="365"/>
      <c r="E563" s="365"/>
      <c r="F563" s="1325"/>
      <c r="G563" s="1325"/>
      <c r="H563" s="1325"/>
      <c r="I563" s="1325"/>
      <c r="J563" s="1325"/>
      <c r="K563" s="1325"/>
      <c r="L563" s="1325"/>
      <c r="M563" s="1325"/>
      <c r="N563" s="365"/>
      <c r="O563" s="1331"/>
      <c r="P563" s="1323"/>
      <c r="Q563" s="1323"/>
      <c r="R563" s="1323"/>
      <c r="S563" s="1323"/>
      <c r="T563" s="1323"/>
      <c r="U563" s="1323"/>
      <c r="V563" s="1323"/>
    </row>
    <row r="564" spans="2:22" x14ac:dyDescent="0.2">
      <c r="B564" s="1323"/>
      <c r="C564" s="1323"/>
      <c r="D564" s="365"/>
      <c r="E564" s="365"/>
      <c r="F564" s="1325"/>
      <c r="G564" s="1325"/>
      <c r="H564" s="1325"/>
      <c r="I564" s="1325"/>
      <c r="J564" s="1325"/>
      <c r="K564" s="1325"/>
      <c r="L564" s="1325"/>
      <c r="M564" s="1325"/>
      <c r="N564" s="365"/>
      <c r="O564" s="1331"/>
      <c r="P564" s="1323"/>
      <c r="Q564" s="1323"/>
      <c r="R564" s="1323"/>
      <c r="S564" s="1323"/>
      <c r="T564" s="1323"/>
      <c r="U564" s="1323"/>
      <c r="V564" s="1323"/>
    </row>
    <row r="565" spans="2:22" x14ac:dyDescent="0.2">
      <c r="B565" s="1323"/>
      <c r="C565" s="1323"/>
      <c r="D565" s="365"/>
      <c r="E565" s="365"/>
      <c r="F565" s="1325"/>
      <c r="G565" s="1325"/>
      <c r="H565" s="1325"/>
      <c r="I565" s="1325"/>
      <c r="J565" s="1325"/>
      <c r="K565" s="1325"/>
      <c r="L565" s="1325"/>
      <c r="M565" s="1325"/>
      <c r="N565" s="365"/>
      <c r="O565" s="1331"/>
      <c r="P565" s="1323"/>
      <c r="Q565" s="1323"/>
      <c r="R565" s="1323"/>
      <c r="S565" s="1323"/>
      <c r="T565" s="1323"/>
      <c r="U565" s="1323"/>
      <c r="V565" s="1323"/>
    </row>
    <row r="566" spans="2:22" x14ac:dyDescent="0.2">
      <c r="B566" s="1323"/>
      <c r="C566" s="1323"/>
      <c r="D566" s="365"/>
      <c r="E566" s="365"/>
      <c r="F566" s="1325"/>
      <c r="G566" s="1325"/>
      <c r="H566" s="1325"/>
      <c r="I566" s="1325"/>
      <c r="J566" s="1325"/>
      <c r="K566" s="1325"/>
      <c r="L566" s="1325"/>
      <c r="M566" s="1325"/>
      <c r="N566" s="365"/>
      <c r="O566" s="1331"/>
      <c r="P566" s="1323"/>
      <c r="Q566" s="1323"/>
      <c r="R566" s="1323"/>
      <c r="S566" s="1323"/>
      <c r="T566" s="1323"/>
      <c r="U566" s="1323"/>
      <c r="V566" s="1323"/>
    </row>
    <row r="567" spans="2:22" x14ac:dyDescent="0.2">
      <c r="B567" s="1323"/>
      <c r="C567" s="1323"/>
      <c r="D567" s="365"/>
      <c r="E567" s="365"/>
      <c r="F567" s="1325"/>
      <c r="G567" s="1325"/>
      <c r="H567" s="1325"/>
      <c r="I567" s="1325"/>
      <c r="J567" s="1325"/>
      <c r="K567" s="1325"/>
      <c r="L567" s="1325"/>
      <c r="M567" s="1325"/>
      <c r="N567" s="365"/>
      <c r="O567" s="1331"/>
      <c r="P567" s="1323"/>
      <c r="Q567" s="1323"/>
      <c r="R567" s="1323"/>
      <c r="S567" s="1323"/>
      <c r="T567" s="1323"/>
      <c r="U567" s="1323"/>
      <c r="V567" s="1323"/>
    </row>
    <row r="568" spans="2:22" x14ac:dyDescent="0.2">
      <c r="B568" s="1323"/>
      <c r="C568" s="1323"/>
      <c r="D568" s="365"/>
      <c r="E568" s="365"/>
      <c r="F568" s="1325"/>
      <c r="G568" s="1325"/>
      <c r="H568" s="1325"/>
      <c r="I568" s="1325"/>
      <c r="J568" s="1325"/>
      <c r="K568" s="1325"/>
      <c r="L568" s="1325"/>
      <c r="M568" s="1325"/>
      <c r="N568" s="365"/>
      <c r="O568" s="1331"/>
      <c r="P568" s="1323"/>
      <c r="Q568" s="1323"/>
      <c r="R568" s="1323"/>
      <c r="S568" s="1323"/>
      <c r="T568" s="1323"/>
      <c r="U568" s="1323"/>
      <c r="V568" s="1323"/>
    </row>
    <row r="569" spans="2:22" x14ac:dyDescent="0.2">
      <c r="B569" s="1323"/>
      <c r="C569" s="1323"/>
      <c r="D569" s="365"/>
      <c r="E569" s="365"/>
      <c r="F569" s="1325"/>
      <c r="G569" s="1325"/>
      <c r="H569" s="1325"/>
      <c r="I569" s="1325"/>
      <c r="J569" s="1325"/>
      <c r="K569" s="1325"/>
      <c r="L569" s="1325"/>
      <c r="M569" s="1325"/>
      <c r="N569" s="365"/>
      <c r="O569" s="1331"/>
      <c r="P569" s="1323"/>
      <c r="Q569" s="1323"/>
      <c r="R569" s="1323"/>
      <c r="S569" s="1323"/>
      <c r="T569" s="1323"/>
      <c r="U569" s="1323"/>
      <c r="V569" s="1323"/>
    </row>
    <row r="570" spans="2:22" x14ac:dyDescent="0.2">
      <c r="B570" s="1323"/>
      <c r="C570" s="1323"/>
      <c r="D570" s="365"/>
      <c r="E570" s="365"/>
      <c r="F570" s="1325"/>
      <c r="G570" s="1325"/>
      <c r="H570" s="1325"/>
      <c r="I570" s="1325"/>
      <c r="J570" s="1325"/>
      <c r="K570" s="1325"/>
      <c r="L570" s="1325"/>
      <c r="M570" s="1325"/>
      <c r="N570" s="365"/>
      <c r="O570" s="1331"/>
      <c r="P570" s="1323"/>
      <c r="Q570" s="1323"/>
      <c r="R570" s="1323"/>
      <c r="S570" s="1323"/>
      <c r="T570" s="1323"/>
      <c r="U570" s="1323"/>
      <c r="V570" s="1323"/>
    </row>
    <row r="571" spans="2:22" x14ac:dyDescent="0.2">
      <c r="B571" s="1323"/>
      <c r="C571" s="1323"/>
      <c r="D571" s="365"/>
      <c r="E571" s="365"/>
      <c r="F571" s="1325"/>
      <c r="G571" s="1325"/>
      <c r="H571" s="1325"/>
      <c r="I571" s="1325"/>
      <c r="J571" s="1325"/>
      <c r="K571" s="1325"/>
      <c r="L571" s="1325"/>
      <c r="M571" s="1325"/>
      <c r="N571" s="365"/>
      <c r="O571" s="1331"/>
      <c r="P571" s="1323"/>
      <c r="Q571" s="1323"/>
      <c r="R571" s="1323"/>
      <c r="S571" s="1323"/>
      <c r="T571" s="1323"/>
      <c r="U571" s="1323"/>
      <c r="V571" s="1323"/>
    </row>
    <row r="572" spans="2:22" x14ac:dyDescent="0.2">
      <c r="B572" s="1323"/>
      <c r="C572" s="1323"/>
      <c r="D572" s="365"/>
      <c r="E572" s="365"/>
      <c r="F572" s="1325"/>
      <c r="G572" s="1325"/>
      <c r="H572" s="1325"/>
      <c r="I572" s="1325"/>
      <c r="J572" s="1325"/>
      <c r="K572" s="1325"/>
      <c r="L572" s="1325"/>
      <c r="M572" s="1325"/>
      <c r="N572" s="365"/>
      <c r="O572" s="1331"/>
      <c r="P572" s="1323"/>
      <c r="Q572" s="1323"/>
      <c r="R572" s="1323"/>
      <c r="S572" s="1323"/>
      <c r="T572" s="1323"/>
      <c r="U572" s="1323"/>
      <c r="V572" s="1323"/>
    </row>
    <row r="573" spans="2:22" x14ac:dyDescent="0.2">
      <c r="B573" s="1323"/>
      <c r="C573" s="1323"/>
      <c r="D573" s="365"/>
      <c r="E573" s="365"/>
      <c r="F573" s="1325"/>
      <c r="G573" s="1325"/>
      <c r="H573" s="1325"/>
      <c r="I573" s="1325"/>
      <c r="J573" s="1325"/>
      <c r="K573" s="1325"/>
      <c r="L573" s="1325"/>
      <c r="M573" s="1325"/>
      <c r="N573" s="365"/>
      <c r="O573" s="1331"/>
      <c r="P573" s="1323"/>
      <c r="Q573" s="1323"/>
      <c r="R573" s="1323"/>
      <c r="S573" s="1323"/>
      <c r="T573" s="1323"/>
      <c r="U573" s="1323"/>
      <c r="V573" s="1323"/>
    </row>
    <row r="574" spans="2:22" x14ac:dyDescent="0.2">
      <c r="B574" s="1323"/>
      <c r="C574" s="1323"/>
      <c r="D574" s="365"/>
      <c r="E574" s="365"/>
      <c r="F574" s="1325"/>
      <c r="G574" s="1325"/>
      <c r="H574" s="1325"/>
      <c r="I574" s="1325"/>
      <c r="J574" s="1325"/>
      <c r="K574" s="1325"/>
      <c r="L574" s="1325"/>
      <c r="M574" s="1325"/>
      <c r="N574" s="365"/>
      <c r="O574" s="1331"/>
      <c r="P574" s="1323"/>
      <c r="Q574" s="1323"/>
      <c r="R574" s="1323"/>
      <c r="S574" s="1323"/>
      <c r="T574" s="1323"/>
      <c r="U574" s="1323"/>
      <c r="V574" s="1323"/>
    </row>
    <row r="575" spans="2:22" x14ac:dyDescent="0.2">
      <c r="B575" s="1323"/>
      <c r="C575" s="1323"/>
      <c r="D575" s="365"/>
      <c r="E575" s="365"/>
      <c r="F575" s="1325"/>
      <c r="G575" s="1325"/>
      <c r="H575" s="1325"/>
      <c r="I575" s="1325"/>
      <c r="J575" s="1325"/>
      <c r="K575" s="1325"/>
      <c r="L575" s="1325"/>
      <c r="M575" s="1325"/>
      <c r="N575" s="365"/>
      <c r="O575" s="1331"/>
      <c r="P575" s="1323"/>
      <c r="Q575" s="1323"/>
      <c r="R575" s="1323"/>
      <c r="S575" s="1323"/>
      <c r="T575" s="1323"/>
      <c r="U575" s="1323"/>
      <c r="V575" s="1323"/>
    </row>
    <row r="576" spans="2:22" x14ac:dyDescent="0.2">
      <c r="B576" s="1323"/>
      <c r="C576" s="1323"/>
      <c r="D576" s="365"/>
      <c r="E576" s="365"/>
      <c r="F576" s="1325"/>
      <c r="G576" s="1325"/>
      <c r="H576" s="1325"/>
      <c r="I576" s="1325"/>
      <c r="J576" s="1325"/>
      <c r="K576" s="1325"/>
      <c r="L576" s="1325"/>
      <c r="M576" s="1325"/>
      <c r="N576" s="365"/>
      <c r="O576" s="1331"/>
      <c r="P576" s="1323"/>
      <c r="Q576" s="1323"/>
      <c r="R576" s="1323"/>
      <c r="S576" s="1323"/>
      <c r="T576" s="1323"/>
      <c r="U576" s="1323"/>
      <c r="V576" s="1323"/>
    </row>
    <row r="577" spans="2:22" x14ac:dyDescent="0.2">
      <c r="B577" s="1323"/>
      <c r="C577" s="1323"/>
      <c r="D577" s="365"/>
      <c r="E577" s="365"/>
      <c r="F577" s="1325"/>
      <c r="G577" s="1325"/>
      <c r="H577" s="1325"/>
      <c r="I577" s="1325"/>
      <c r="J577" s="1325"/>
      <c r="K577" s="1325"/>
      <c r="L577" s="1325"/>
      <c r="M577" s="1325"/>
      <c r="N577" s="365"/>
      <c r="O577" s="1331"/>
      <c r="P577" s="1323"/>
      <c r="Q577" s="1323"/>
      <c r="R577" s="1323"/>
      <c r="S577" s="1323"/>
      <c r="T577" s="1323"/>
      <c r="U577" s="1323"/>
      <c r="V577" s="1323"/>
    </row>
    <row r="578" spans="2:22" x14ac:dyDescent="0.2">
      <c r="B578" s="1323"/>
      <c r="C578" s="1323"/>
      <c r="D578" s="365"/>
      <c r="E578" s="365"/>
      <c r="F578" s="1325"/>
      <c r="G578" s="1325"/>
      <c r="H578" s="1325"/>
      <c r="I578" s="1325"/>
      <c r="J578" s="1325"/>
      <c r="K578" s="1325"/>
      <c r="L578" s="1325"/>
      <c r="M578" s="1325"/>
      <c r="N578" s="365"/>
      <c r="O578" s="1331"/>
      <c r="P578" s="1323"/>
      <c r="Q578" s="1323"/>
      <c r="R578" s="1323"/>
      <c r="S578" s="1323"/>
      <c r="T578" s="1323"/>
      <c r="U578" s="1323"/>
      <c r="V578" s="1323"/>
    </row>
    <row r="579" spans="2:22" x14ac:dyDescent="0.2">
      <c r="B579" s="1323"/>
      <c r="C579" s="1323"/>
      <c r="D579" s="365"/>
      <c r="E579" s="365"/>
      <c r="F579" s="1325"/>
      <c r="G579" s="1325"/>
      <c r="H579" s="1325"/>
      <c r="I579" s="1325"/>
      <c r="J579" s="1325"/>
      <c r="K579" s="1325"/>
      <c r="L579" s="1325"/>
      <c r="M579" s="1325"/>
      <c r="N579" s="365"/>
      <c r="O579" s="1331"/>
      <c r="P579" s="1323"/>
      <c r="Q579" s="1323"/>
      <c r="R579" s="1323"/>
      <c r="S579" s="1323"/>
      <c r="T579" s="1323"/>
      <c r="U579" s="1323"/>
      <c r="V579" s="1323"/>
    </row>
    <row r="580" spans="2:22" x14ac:dyDescent="0.2">
      <c r="B580" s="1323"/>
      <c r="C580" s="1323"/>
      <c r="D580" s="365"/>
      <c r="E580" s="365"/>
      <c r="F580" s="1325"/>
      <c r="G580" s="1325"/>
      <c r="H580" s="1325"/>
      <c r="I580" s="1325"/>
      <c r="J580" s="1325"/>
      <c r="K580" s="1325"/>
      <c r="L580" s="1325"/>
      <c r="M580" s="1325"/>
      <c r="N580" s="365"/>
      <c r="O580" s="1331"/>
      <c r="P580" s="1323"/>
      <c r="Q580" s="1323"/>
      <c r="R580" s="1323"/>
      <c r="S580" s="1323"/>
      <c r="T580" s="1323"/>
      <c r="U580" s="1323"/>
      <c r="V580" s="1323"/>
    </row>
    <row r="581" spans="2:22" x14ac:dyDescent="0.2">
      <c r="B581" s="1323"/>
      <c r="C581" s="1323"/>
      <c r="D581" s="365"/>
      <c r="E581" s="365"/>
      <c r="F581" s="1325"/>
      <c r="G581" s="1325"/>
      <c r="H581" s="1325"/>
      <c r="I581" s="1325"/>
      <c r="J581" s="1325"/>
      <c r="K581" s="1325"/>
      <c r="L581" s="1325"/>
      <c r="M581" s="1325"/>
      <c r="N581" s="365"/>
      <c r="O581" s="1331"/>
      <c r="P581" s="1323"/>
      <c r="Q581" s="1323"/>
      <c r="R581" s="1323"/>
      <c r="S581" s="1323"/>
      <c r="T581" s="1323"/>
      <c r="U581" s="1323"/>
      <c r="V581" s="1323"/>
    </row>
    <row r="582" spans="2:22" x14ac:dyDescent="0.2">
      <c r="B582" s="1323"/>
      <c r="C582" s="1323"/>
      <c r="D582" s="365"/>
      <c r="E582" s="365"/>
      <c r="F582" s="1325"/>
      <c r="G582" s="1325"/>
      <c r="H582" s="1325"/>
      <c r="I582" s="1325"/>
      <c r="J582" s="1325"/>
      <c r="K582" s="1325"/>
      <c r="L582" s="1325"/>
      <c r="M582" s="1325"/>
      <c r="N582" s="365"/>
      <c r="O582" s="1331"/>
      <c r="P582" s="1323"/>
      <c r="Q582" s="1323"/>
      <c r="R582" s="1323"/>
      <c r="S582" s="1323"/>
      <c r="T582" s="1323"/>
      <c r="U582" s="1323"/>
      <c r="V582" s="1323"/>
    </row>
    <row r="583" spans="2:22" x14ac:dyDescent="0.2">
      <c r="B583" s="1323"/>
      <c r="C583" s="1323"/>
      <c r="D583" s="365"/>
      <c r="E583" s="365"/>
      <c r="F583" s="1325"/>
      <c r="G583" s="1325"/>
      <c r="H583" s="1325"/>
      <c r="I583" s="1325"/>
      <c r="J583" s="1325"/>
      <c r="K583" s="1325"/>
      <c r="L583" s="1325"/>
      <c r="M583" s="1325"/>
      <c r="N583" s="365"/>
      <c r="O583" s="1331"/>
      <c r="P583" s="1323"/>
      <c r="Q583" s="1323"/>
      <c r="R583" s="1323"/>
      <c r="S583" s="1323"/>
      <c r="T583" s="1323"/>
      <c r="U583" s="1323"/>
      <c r="V583" s="1323"/>
    </row>
    <row r="584" spans="2:22" x14ac:dyDescent="0.2">
      <c r="B584" s="1323"/>
      <c r="C584" s="1323"/>
      <c r="D584" s="365"/>
      <c r="E584" s="365"/>
      <c r="F584" s="1325"/>
      <c r="G584" s="1325"/>
      <c r="H584" s="1325"/>
      <c r="I584" s="1325"/>
      <c r="J584" s="1325"/>
      <c r="K584" s="1325"/>
      <c r="L584" s="1325"/>
      <c r="M584" s="1325"/>
      <c r="N584" s="365"/>
      <c r="O584" s="1331"/>
      <c r="P584" s="1323"/>
      <c r="Q584" s="1323"/>
      <c r="R584" s="1323"/>
      <c r="S584" s="1323"/>
      <c r="T584" s="1323"/>
      <c r="U584" s="1323"/>
      <c r="V584" s="1323"/>
    </row>
    <row r="585" spans="2:22" x14ac:dyDescent="0.2">
      <c r="B585" s="1323"/>
      <c r="C585" s="1323"/>
      <c r="D585" s="365"/>
      <c r="E585" s="365"/>
      <c r="F585" s="1325"/>
      <c r="G585" s="1325"/>
      <c r="H585" s="1325"/>
      <c r="I585" s="1325"/>
      <c r="J585" s="1325"/>
      <c r="K585" s="1325"/>
      <c r="L585" s="1325"/>
      <c r="M585" s="1325"/>
      <c r="N585" s="365"/>
      <c r="O585" s="1331"/>
      <c r="P585" s="1323"/>
      <c r="Q585" s="1323"/>
      <c r="R585" s="1323"/>
      <c r="S585" s="1323"/>
      <c r="T585" s="1323"/>
      <c r="U585" s="1323"/>
      <c r="V585" s="1323"/>
    </row>
    <row r="586" spans="2:22" x14ac:dyDescent="0.2">
      <c r="B586" s="1323"/>
      <c r="C586" s="1323"/>
      <c r="D586" s="365"/>
      <c r="E586" s="365"/>
      <c r="F586" s="1325"/>
      <c r="G586" s="1325"/>
      <c r="H586" s="1325"/>
      <c r="I586" s="1325"/>
      <c r="J586" s="1325"/>
      <c r="K586" s="1325"/>
      <c r="L586" s="1325"/>
      <c r="M586" s="1325"/>
      <c r="N586" s="365"/>
      <c r="O586" s="1331"/>
      <c r="P586" s="1323"/>
      <c r="Q586" s="1323"/>
      <c r="R586" s="1323"/>
      <c r="S586" s="1323"/>
      <c r="T586" s="1323"/>
      <c r="U586" s="1323"/>
      <c r="V586" s="1323"/>
    </row>
    <row r="587" spans="2:22" x14ac:dyDescent="0.2">
      <c r="B587" s="1323"/>
      <c r="C587" s="1323"/>
      <c r="D587" s="365"/>
      <c r="E587" s="365"/>
      <c r="F587" s="1325"/>
      <c r="G587" s="1325"/>
      <c r="H587" s="1325"/>
      <c r="I587" s="1325"/>
      <c r="J587" s="1325"/>
      <c r="K587" s="1325"/>
      <c r="L587" s="1325"/>
      <c r="M587" s="1325"/>
      <c r="N587" s="365"/>
      <c r="O587" s="1331"/>
      <c r="P587" s="1323"/>
      <c r="Q587" s="1323"/>
      <c r="R587" s="1323"/>
      <c r="S587" s="1323"/>
      <c r="T587" s="1323"/>
      <c r="U587" s="1323"/>
      <c r="V587" s="1323"/>
    </row>
    <row r="588" spans="2:22" x14ac:dyDescent="0.2">
      <c r="B588" s="1323"/>
      <c r="C588" s="1323"/>
      <c r="D588" s="365"/>
      <c r="E588" s="365"/>
      <c r="F588" s="1325"/>
      <c r="G588" s="1325"/>
      <c r="H588" s="1325"/>
      <c r="I588" s="1325"/>
      <c r="J588" s="1325"/>
      <c r="K588" s="1325"/>
      <c r="L588" s="1325"/>
      <c r="M588" s="1325"/>
      <c r="N588" s="365"/>
      <c r="O588" s="1331"/>
      <c r="P588" s="1323"/>
      <c r="Q588" s="1323"/>
      <c r="R588" s="1323"/>
      <c r="S588" s="1323"/>
      <c r="T588" s="1323"/>
      <c r="U588" s="1323"/>
      <c r="V588" s="1323"/>
    </row>
    <row r="589" spans="2:22" x14ac:dyDescent="0.2">
      <c r="B589" s="1323"/>
      <c r="C589" s="1323"/>
      <c r="D589" s="365"/>
      <c r="E589" s="365"/>
      <c r="F589" s="1325"/>
      <c r="G589" s="1325"/>
      <c r="H589" s="1325"/>
      <c r="I589" s="1325"/>
      <c r="J589" s="1325"/>
      <c r="K589" s="1325"/>
      <c r="L589" s="1325"/>
      <c r="M589" s="1325"/>
      <c r="N589" s="365"/>
      <c r="O589" s="1331"/>
      <c r="P589" s="1323"/>
      <c r="Q589" s="1323"/>
      <c r="R589" s="1323"/>
      <c r="S589" s="1323"/>
      <c r="T589" s="1323"/>
      <c r="U589" s="1323"/>
      <c r="V589" s="1323"/>
    </row>
    <row r="590" spans="2:22" x14ac:dyDescent="0.2">
      <c r="B590" s="1323"/>
      <c r="C590" s="1323"/>
      <c r="D590" s="365"/>
      <c r="E590" s="365"/>
      <c r="F590" s="1325"/>
      <c r="G590" s="1325"/>
      <c r="H590" s="1325"/>
      <c r="I590" s="1325"/>
      <c r="J590" s="1325"/>
      <c r="K590" s="1325"/>
      <c r="L590" s="1325"/>
      <c r="M590" s="1325"/>
      <c r="N590" s="365"/>
      <c r="O590" s="1331"/>
      <c r="P590" s="1323"/>
      <c r="Q590" s="1323"/>
      <c r="R590" s="1323"/>
      <c r="S590" s="1323"/>
      <c r="T590" s="1323"/>
      <c r="U590" s="1323"/>
      <c r="V590" s="1323"/>
    </row>
    <row r="591" spans="2:22" x14ac:dyDescent="0.2">
      <c r="B591" s="1323"/>
      <c r="C591" s="1323"/>
      <c r="D591" s="365"/>
      <c r="E591" s="365"/>
      <c r="F591" s="1325"/>
      <c r="G591" s="1325"/>
      <c r="H591" s="1325"/>
      <c r="I591" s="1325"/>
      <c r="J591" s="1325"/>
      <c r="K591" s="1325"/>
      <c r="L591" s="1325"/>
      <c r="M591" s="1325"/>
      <c r="N591" s="365"/>
      <c r="O591" s="1331"/>
      <c r="P591" s="1323"/>
      <c r="Q591" s="1323"/>
      <c r="R591" s="1323"/>
      <c r="S591" s="1323"/>
      <c r="T591" s="1323"/>
      <c r="U591" s="1323"/>
      <c r="V591" s="1323"/>
    </row>
    <row r="592" spans="2:22" x14ac:dyDescent="0.2">
      <c r="B592" s="1323"/>
      <c r="C592" s="1323"/>
      <c r="D592" s="365"/>
      <c r="E592" s="365"/>
      <c r="F592" s="1325"/>
      <c r="G592" s="1325"/>
      <c r="H592" s="1325"/>
      <c r="I592" s="1325"/>
      <c r="J592" s="1325"/>
      <c r="K592" s="1325"/>
      <c r="L592" s="1325"/>
      <c r="M592" s="1325"/>
      <c r="N592" s="365"/>
      <c r="O592" s="1331"/>
      <c r="P592" s="1323"/>
      <c r="Q592" s="1323"/>
      <c r="R592" s="1323"/>
      <c r="S592" s="1323"/>
      <c r="T592" s="1323"/>
      <c r="U592" s="1323"/>
      <c r="V592" s="1323"/>
    </row>
    <row r="593" spans="2:22" x14ac:dyDescent="0.2">
      <c r="B593" s="1323"/>
      <c r="C593" s="1323"/>
      <c r="D593" s="365"/>
      <c r="E593" s="365"/>
      <c r="F593" s="1325"/>
      <c r="G593" s="1325"/>
      <c r="H593" s="1325"/>
      <c r="I593" s="1325"/>
      <c r="J593" s="1325"/>
      <c r="K593" s="1325"/>
      <c r="L593" s="1325"/>
      <c r="M593" s="1325"/>
      <c r="N593" s="365"/>
      <c r="O593" s="1331"/>
      <c r="P593" s="1323"/>
      <c r="Q593" s="1323"/>
      <c r="R593" s="1323"/>
      <c r="S593" s="1323"/>
      <c r="T593" s="1323"/>
      <c r="U593" s="1323"/>
      <c r="V593" s="1323"/>
    </row>
    <row r="594" spans="2:22" x14ac:dyDescent="0.2">
      <c r="B594" s="1323"/>
      <c r="C594" s="1323"/>
      <c r="D594" s="365"/>
      <c r="E594" s="365"/>
      <c r="F594" s="1325"/>
      <c r="G594" s="1325"/>
      <c r="H594" s="1325"/>
      <c r="I594" s="1325"/>
      <c r="J594" s="1325"/>
      <c r="K594" s="1325"/>
      <c r="L594" s="1325"/>
      <c r="M594" s="1325"/>
      <c r="N594" s="365"/>
      <c r="O594" s="1331"/>
      <c r="P594" s="1323"/>
      <c r="Q594" s="1323"/>
      <c r="R594" s="1323"/>
      <c r="S594" s="1323"/>
      <c r="T594" s="1323"/>
      <c r="U594" s="1323"/>
      <c r="V594" s="1323"/>
    </row>
    <row r="595" spans="2:22" x14ac:dyDescent="0.2">
      <c r="B595" s="1323"/>
      <c r="C595" s="1323"/>
      <c r="D595" s="365"/>
      <c r="E595" s="365"/>
      <c r="F595" s="1325"/>
      <c r="G595" s="1325"/>
      <c r="H595" s="1325"/>
      <c r="I595" s="1325"/>
      <c r="J595" s="1325"/>
      <c r="K595" s="1325"/>
      <c r="L595" s="1325"/>
      <c r="M595" s="1325"/>
      <c r="N595" s="365"/>
      <c r="O595" s="1331"/>
      <c r="P595" s="1323"/>
      <c r="Q595" s="1323"/>
      <c r="R595" s="1323"/>
      <c r="S595" s="1323"/>
      <c r="T595" s="1323"/>
      <c r="U595" s="1323"/>
      <c r="V595" s="1323"/>
    </row>
    <row r="596" spans="2:22" x14ac:dyDescent="0.2">
      <c r="B596" s="1323"/>
      <c r="C596" s="1323"/>
      <c r="D596" s="365"/>
      <c r="E596" s="365"/>
      <c r="F596" s="1325"/>
      <c r="G596" s="1325"/>
      <c r="H596" s="1325"/>
      <c r="I596" s="1325"/>
      <c r="J596" s="1325"/>
      <c r="K596" s="1325"/>
      <c r="L596" s="1325"/>
      <c r="M596" s="1325"/>
      <c r="N596" s="365"/>
      <c r="O596" s="1331"/>
      <c r="P596" s="1323"/>
      <c r="Q596" s="1323"/>
      <c r="R596" s="1323"/>
      <c r="S596" s="1323"/>
      <c r="T596" s="1323"/>
      <c r="U596" s="1323"/>
      <c r="V596" s="1323"/>
    </row>
    <row r="597" spans="2:22" x14ac:dyDescent="0.2">
      <c r="B597" s="1323"/>
      <c r="C597" s="1323"/>
      <c r="D597" s="365"/>
      <c r="E597" s="365"/>
      <c r="F597" s="1325"/>
      <c r="G597" s="1325"/>
      <c r="H597" s="1325"/>
      <c r="I597" s="1325"/>
      <c r="J597" s="1325"/>
      <c r="K597" s="1325"/>
      <c r="L597" s="1325"/>
      <c r="M597" s="1325"/>
      <c r="N597" s="365"/>
      <c r="O597" s="1331"/>
      <c r="P597" s="1323"/>
      <c r="Q597" s="1323"/>
      <c r="R597" s="1323"/>
      <c r="S597" s="1323"/>
      <c r="T597" s="1323"/>
      <c r="U597" s="1323"/>
      <c r="V597" s="1323"/>
    </row>
    <row r="598" spans="2:22" x14ac:dyDescent="0.2">
      <c r="B598" s="1323"/>
      <c r="C598" s="1323"/>
      <c r="D598" s="365"/>
      <c r="E598" s="365"/>
      <c r="F598" s="1325"/>
      <c r="G598" s="1325"/>
      <c r="H598" s="1325"/>
      <c r="I598" s="1325"/>
      <c r="J598" s="1325"/>
      <c r="K598" s="1325"/>
      <c r="L598" s="1325"/>
      <c r="M598" s="1325"/>
      <c r="N598" s="365"/>
      <c r="O598" s="1331"/>
      <c r="P598" s="1323"/>
      <c r="Q598" s="1323"/>
      <c r="R598" s="1323"/>
      <c r="S598" s="1323"/>
      <c r="T598" s="1323"/>
      <c r="U598" s="1323"/>
      <c r="V598" s="1323"/>
    </row>
    <row r="599" spans="2:22" x14ac:dyDescent="0.2">
      <c r="B599" s="1323"/>
      <c r="C599" s="1323"/>
      <c r="D599" s="365"/>
      <c r="E599" s="365"/>
      <c r="F599" s="1325"/>
      <c r="G599" s="1325"/>
      <c r="H599" s="1325"/>
      <c r="I599" s="1325"/>
      <c r="J599" s="1325"/>
      <c r="K599" s="1325"/>
      <c r="L599" s="1325"/>
      <c r="M599" s="1325"/>
      <c r="N599" s="365"/>
      <c r="O599" s="1331"/>
      <c r="P599" s="1323"/>
      <c r="Q599" s="1323"/>
      <c r="R599" s="1323"/>
      <c r="S599" s="1323"/>
      <c r="T599" s="1323"/>
      <c r="U599" s="1323"/>
      <c r="V599" s="1323"/>
    </row>
    <row r="600" spans="2:22" x14ac:dyDescent="0.2">
      <c r="B600" s="1323"/>
      <c r="C600" s="1323"/>
      <c r="D600" s="365"/>
      <c r="E600" s="365"/>
      <c r="F600" s="1325"/>
      <c r="G600" s="1325"/>
      <c r="H600" s="1325"/>
      <c r="I600" s="1325"/>
      <c r="J600" s="1325"/>
      <c r="K600" s="1325"/>
      <c r="L600" s="1325"/>
      <c r="M600" s="1325"/>
      <c r="N600" s="365"/>
      <c r="O600" s="1331"/>
      <c r="P600" s="1323"/>
      <c r="Q600" s="1323"/>
      <c r="R600" s="1323"/>
      <c r="S600" s="1323"/>
      <c r="T600" s="1323"/>
      <c r="U600" s="1323"/>
      <c r="V600" s="1323"/>
    </row>
    <row r="601" spans="2:22" x14ac:dyDescent="0.2">
      <c r="B601" s="1323"/>
      <c r="C601" s="1323"/>
      <c r="D601" s="365"/>
      <c r="E601" s="365"/>
      <c r="F601" s="1325"/>
      <c r="G601" s="1325"/>
      <c r="H601" s="1325"/>
      <c r="I601" s="1325"/>
      <c r="J601" s="1325"/>
      <c r="K601" s="1325"/>
      <c r="L601" s="1325"/>
      <c r="M601" s="1325"/>
      <c r="N601" s="365"/>
      <c r="O601" s="1331"/>
      <c r="P601" s="1323"/>
      <c r="Q601" s="1323"/>
      <c r="R601" s="1323"/>
      <c r="S601" s="1323"/>
      <c r="T601" s="1323"/>
      <c r="U601" s="1323"/>
      <c r="V601" s="1323"/>
    </row>
    <row r="602" spans="2:22" x14ac:dyDescent="0.2">
      <c r="B602" s="1323"/>
      <c r="C602" s="1323"/>
      <c r="D602" s="365"/>
      <c r="E602" s="365"/>
      <c r="F602" s="1325"/>
      <c r="G602" s="1325"/>
      <c r="H602" s="1325"/>
      <c r="I602" s="1325"/>
      <c r="J602" s="1325"/>
      <c r="K602" s="1325"/>
      <c r="L602" s="1325"/>
      <c r="M602" s="1325"/>
      <c r="N602" s="365"/>
      <c r="O602" s="1331"/>
      <c r="P602" s="1323"/>
      <c r="Q602" s="1323"/>
      <c r="R602" s="1323"/>
      <c r="S602" s="1323"/>
      <c r="T602" s="1323"/>
      <c r="U602" s="1323"/>
      <c r="V602" s="1323"/>
    </row>
    <row r="603" spans="2:22" x14ac:dyDescent="0.2">
      <c r="B603" s="1323"/>
      <c r="C603" s="1323"/>
      <c r="D603" s="365"/>
      <c r="E603" s="365"/>
      <c r="F603" s="1325"/>
      <c r="G603" s="1325"/>
      <c r="H603" s="1325"/>
      <c r="I603" s="1325"/>
      <c r="J603" s="1325"/>
      <c r="K603" s="1325"/>
      <c r="L603" s="1325"/>
      <c r="M603" s="1325"/>
      <c r="N603" s="365"/>
      <c r="O603" s="1331"/>
      <c r="P603" s="1323"/>
      <c r="Q603" s="1323"/>
      <c r="R603" s="1323"/>
      <c r="S603" s="1323"/>
      <c r="T603" s="1323"/>
      <c r="U603" s="1323"/>
      <c r="V603" s="1323"/>
    </row>
    <row r="604" spans="2:22" x14ac:dyDescent="0.2">
      <c r="B604" s="1323"/>
      <c r="C604" s="1323"/>
      <c r="D604" s="365"/>
      <c r="E604" s="365"/>
      <c r="F604" s="1325"/>
      <c r="G604" s="1325"/>
      <c r="H604" s="1325"/>
      <c r="I604" s="1325"/>
      <c r="J604" s="1325"/>
      <c r="K604" s="1325"/>
      <c r="L604" s="1325"/>
      <c r="M604" s="1325"/>
      <c r="N604" s="365"/>
      <c r="O604" s="1331"/>
      <c r="P604" s="1323"/>
      <c r="Q604" s="1323"/>
      <c r="R604" s="1323"/>
      <c r="S604" s="1323"/>
      <c r="T604" s="1323"/>
      <c r="U604" s="1323"/>
      <c r="V604" s="1323"/>
    </row>
    <row r="605" spans="2:22" x14ac:dyDescent="0.2">
      <c r="B605" s="1323"/>
      <c r="C605" s="1323"/>
      <c r="D605" s="365"/>
      <c r="E605" s="365"/>
      <c r="F605" s="1325"/>
      <c r="G605" s="1325"/>
      <c r="H605" s="1325"/>
      <c r="I605" s="1325"/>
      <c r="J605" s="1325"/>
      <c r="K605" s="1325"/>
      <c r="L605" s="1325"/>
      <c r="M605" s="1325"/>
      <c r="N605" s="365"/>
      <c r="O605" s="1331"/>
      <c r="P605" s="1323"/>
      <c r="Q605" s="1323"/>
      <c r="R605" s="1323"/>
      <c r="S605" s="1323"/>
      <c r="T605" s="1323"/>
      <c r="U605" s="1323"/>
      <c r="V605" s="1323"/>
    </row>
    <row r="606" spans="2:22" x14ac:dyDescent="0.2">
      <c r="B606" s="1323"/>
      <c r="C606" s="1323"/>
      <c r="D606" s="365"/>
      <c r="E606" s="365"/>
      <c r="F606" s="1325"/>
      <c r="G606" s="1325"/>
      <c r="H606" s="1325"/>
      <c r="I606" s="1325"/>
      <c r="J606" s="1325"/>
      <c r="K606" s="1325"/>
      <c r="L606" s="1325"/>
      <c r="M606" s="1325"/>
      <c r="N606" s="365"/>
      <c r="O606" s="1331"/>
      <c r="P606" s="1323"/>
      <c r="Q606" s="1323"/>
      <c r="R606" s="1323"/>
      <c r="S606" s="1323"/>
      <c r="T606" s="1323"/>
      <c r="U606" s="1323"/>
      <c r="V606" s="1323"/>
    </row>
    <row r="607" spans="2:22" x14ac:dyDescent="0.2">
      <c r="B607" s="1323"/>
      <c r="C607" s="1323"/>
      <c r="D607" s="365"/>
      <c r="E607" s="365"/>
      <c r="F607" s="1325"/>
      <c r="G607" s="1325"/>
      <c r="H607" s="1325"/>
      <c r="I607" s="1325"/>
      <c r="J607" s="1325"/>
      <c r="K607" s="1325"/>
      <c r="L607" s="1325"/>
      <c r="M607" s="1325"/>
      <c r="N607" s="365"/>
      <c r="O607" s="1331"/>
      <c r="P607" s="1323"/>
      <c r="Q607" s="1323"/>
      <c r="R607" s="1323"/>
      <c r="S607" s="1323"/>
      <c r="T607" s="1323"/>
      <c r="U607" s="1323"/>
      <c r="V607" s="1323"/>
    </row>
    <row r="608" spans="2:22" x14ac:dyDescent="0.2">
      <c r="B608" s="1323"/>
      <c r="C608" s="1323"/>
      <c r="D608" s="365"/>
      <c r="E608" s="365"/>
      <c r="F608" s="1325"/>
      <c r="G608" s="1325"/>
      <c r="H608" s="1325"/>
      <c r="I608" s="1325"/>
      <c r="J608" s="1325"/>
      <c r="K608" s="1325"/>
      <c r="L608" s="1325"/>
      <c r="M608" s="1325"/>
      <c r="N608" s="365"/>
      <c r="O608" s="1331"/>
      <c r="P608" s="1323"/>
      <c r="Q608" s="1323"/>
      <c r="R608" s="1323"/>
      <c r="S608" s="1323"/>
      <c r="T608" s="1323"/>
      <c r="U608" s="1323"/>
      <c r="V608" s="1323"/>
    </row>
    <row r="609" spans="2:22" x14ac:dyDescent="0.2">
      <c r="B609" s="1323"/>
      <c r="C609" s="1323"/>
      <c r="D609" s="365"/>
      <c r="E609" s="365"/>
      <c r="F609" s="1325"/>
      <c r="G609" s="1325"/>
      <c r="H609" s="1325"/>
      <c r="I609" s="1325"/>
      <c r="J609" s="1325"/>
      <c r="K609" s="1325"/>
      <c r="L609" s="1325"/>
      <c r="M609" s="1325"/>
      <c r="N609" s="365"/>
      <c r="O609" s="1331"/>
      <c r="P609" s="1323"/>
      <c r="Q609" s="1323"/>
      <c r="R609" s="1323"/>
      <c r="S609" s="1323"/>
      <c r="T609" s="1323"/>
      <c r="U609" s="1323"/>
      <c r="V609" s="1323"/>
    </row>
    <row r="610" spans="2:22" x14ac:dyDescent="0.2">
      <c r="B610" s="1323"/>
      <c r="C610" s="1323"/>
      <c r="D610" s="365"/>
      <c r="E610" s="365"/>
      <c r="F610" s="1325"/>
      <c r="G610" s="1325"/>
      <c r="H610" s="1325"/>
      <c r="I610" s="1325"/>
      <c r="J610" s="1325"/>
      <c r="K610" s="1325"/>
      <c r="L610" s="1325"/>
      <c r="M610" s="1325"/>
      <c r="N610" s="365"/>
      <c r="O610" s="1331"/>
      <c r="P610" s="1323"/>
      <c r="Q610" s="1323"/>
      <c r="R610" s="1323"/>
      <c r="S610" s="1323"/>
      <c r="T610" s="1323"/>
      <c r="U610" s="1323"/>
      <c r="V610" s="1323"/>
    </row>
    <row r="611" spans="2:22" x14ac:dyDescent="0.2">
      <c r="B611" s="1323"/>
      <c r="C611" s="1323"/>
      <c r="D611" s="365"/>
      <c r="E611" s="365"/>
      <c r="F611" s="1325"/>
      <c r="G611" s="1325"/>
      <c r="H611" s="1325"/>
      <c r="I611" s="1325"/>
      <c r="J611" s="1325"/>
      <c r="K611" s="1325"/>
      <c r="L611" s="1325"/>
      <c r="M611" s="1325"/>
      <c r="N611" s="365"/>
      <c r="O611" s="1331"/>
      <c r="P611" s="1323"/>
      <c r="Q611" s="1323"/>
      <c r="R611" s="1323"/>
      <c r="S611" s="1323"/>
      <c r="T611" s="1323"/>
      <c r="U611" s="1323"/>
      <c r="V611" s="1323"/>
    </row>
    <row r="612" spans="2:22" x14ac:dyDescent="0.2">
      <c r="B612" s="1323"/>
      <c r="C612" s="1323"/>
      <c r="D612" s="365"/>
      <c r="E612" s="365"/>
      <c r="F612" s="1325"/>
      <c r="G612" s="1325"/>
      <c r="H612" s="1325"/>
      <c r="I612" s="1325"/>
      <c r="J612" s="1325"/>
      <c r="K612" s="1325"/>
      <c r="L612" s="1325"/>
      <c r="M612" s="1325"/>
      <c r="N612" s="365"/>
      <c r="O612" s="1331"/>
      <c r="P612" s="1323"/>
      <c r="Q612" s="1323"/>
      <c r="R612" s="1323"/>
      <c r="S612" s="1323"/>
      <c r="T612" s="1323"/>
      <c r="U612" s="1323"/>
      <c r="V612" s="1323"/>
    </row>
    <row r="613" spans="2:22" x14ac:dyDescent="0.2">
      <c r="B613" s="1323"/>
      <c r="C613" s="1323"/>
      <c r="D613" s="365"/>
      <c r="E613" s="365"/>
      <c r="F613" s="1325"/>
      <c r="G613" s="1325"/>
      <c r="H613" s="1325"/>
      <c r="I613" s="1325"/>
      <c r="J613" s="1325"/>
      <c r="K613" s="1325"/>
      <c r="L613" s="1325"/>
      <c r="M613" s="1325"/>
      <c r="N613" s="365"/>
      <c r="O613" s="1331"/>
      <c r="P613" s="1323"/>
      <c r="Q613" s="1323"/>
      <c r="R613" s="1323"/>
      <c r="S613" s="1323"/>
      <c r="T613" s="1323"/>
      <c r="U613" s="1323"/>
      <c r="V613" s="1323"/>
    </row>
    <row r="614" spans="2:22" x14ac:dyDescent="0.2">
      <c r="B614" s="1323"/>
      <c r="C614" s="1323"/>
      <c r="D614" s="365"/>
      <c r="E614" s="365"/>
      <c r="F614" s="1325"/>
      <c r="G614" s="1325"/>
      <c r="H614" s="1325"/>
      <c r="I614" s="1325"/>
      <c r="J614" s="1325"/>
      <c r="K614" s="1325"/>
      <c r="L614" s="1325"/>
      <c r="M614" s="1325"/>
      <c r="N614" s="365"/>
      <c r="O614" s="1331"/>
      <c r="P614" s="1323"/>
      <c r="Q614" s="1323"/>
      <c r="R614" s="1323"/>
      <c r="S614" s="1323"/>
      <c r="T614" s="1323"/>
      <c r="U614" s="1323"/>
      <c r="V614" s="1323"/>
    </row>
    <row r="615" spans="2:22" x14ac:dyDescent="0.2">
      <c r="B615" s="1323"/>
      <c r="C615" s="1323"/>
      <c r="D615" s="365"/>
      <c r="E615" s="365"/>
      <c r="F615" s="1325"/>
      <c r="G615" s="1325"/>
      <c r="H615" s="1325"/>
      <c r="I615" s="1325"/>
      <c r="J615" s="1325"/>
      <c r="K615" s="1325"/>
      <c r="L615" s="1325"/>
      <c r="M615" s="1325"/>
      <c r="N615" s="365"/>
      <c r="O615" s="1331"/>
      <c r="P615" s="1323"/>
      <c r="Q615" s="1323"/>
      <c r="R615" s="1323"/>
      <c r="S615" s="1323"/>
      <c r="T615" s="1323"/>
      <c r="U615" s="1323"/>
      <c r="V615" s="1323"/>
    </row>
    <row r="616" spans="2:22" x14ac:dyDescent="0.2">
      <c r="B616" s="1323"/>
      <c r="C616" s="1323"/>
      <c r="D616" s="365"/>
      <c r="E616" s="365"/>
      <c r="F616" s="1325"/>
      <c r="G616" s="1325"/>
      <c r="H616" s="1325"/>
      <c r="I616" s="1325"/>
      <c r="J616" s="1325"/>
      <c r="K616" s="1325"/>
      <c r="L616" s="1325"/>
      <c r="M616" s="1325"/>
      <c r="N616" s="365"/>
      <c r="O616" s="1331"/>
      <c r="P616" s="1323"/>
      <c r="Q616" s="1323"/>
      <c r="R616" s="1323"/>
      <c r="S616" s="1323"/>
      <c r="T616" s="1323"/>
      <c r="U616" s="1323"/>
      <c r="V616" s="1323"/>
    </row>
    <row r="617" spans="2:22" x14ac:dyDescent="0.2">
      <c r="B617" s="1323"/>
      <c r="C617" s="1323"/>
      <c r="D617" s="365"/>
      <c r="E617" s="365"/>
      <c r="F617" s="1325"/>
      <c r="G617" s="1325"/>
      <c r="H617" s="1325"/>
      <c r="I617" s="1325"/>
      <c r="J617" s="1325"/>
      <c r="K617" s="1325"/>
      <c r="L617" s="1325"/>
      <c r="M617" s="1325"/>
      <c r="N617" s="365"/>
      <c r="O617" s="1331"/>
      <c r="P617" s="1323"/>
      <c r="Q617" s="1323"/>
      <c r="R617" s="1323"/>
      <c r="S617" s="1323"/>
      <c r="T617" s="1323"/>
      <c r="U617" s="1323"/>
      <c r="V617" s="1323"/>
    </row>
    <row r="618" spans="2:22" x14ac:dyDescent="0.2">
      <c r="B618" s="1323"/>
      <c r="C618" s="1323"/>
      <c r="D618" s="365"/>
      <c r="E618" s="365"/>
      <c r="F618" s="1325"/>
      <c r="G618" s="1325"/>
      <c r="H618" s="1325"/>
      <c r="I618" s="1325"/>
      <c r="J618" s="1325"/>
      <c r="K618" s="1325"/>
      <c r="L618" s="1325"/>
      <c r="M618" s="1325"/>
      <c r="N618" s="365"/>
      <c r="O618" s="1331"/>
      <c r="P618" s="1323"/>
      <c r="Q618" s="1323"/>
      <c r="R618" s="1323"/>
      <c r="S618" s="1323"/>
      <c r="T618" s="1323"/>
      <c r="U618" s="1323"/>
      <c r="V618" s="1323"/>
    </row>
    <row r="619" spans="2:22" x14ac:dyDescent="0.2">
      <c r="B619" s="1323"/>
      <c r="C619" s="1323"/>
      <c r="D619" s="365"/>
      <c r="E619" s="365"/>
      <c r="F619" s="1325"/>
      <c r="G619" s="1325"/>
      <c r="H619" s="1325"/>
      <c r="I619" s="1325"/>
      <c r="J619" s="1325"/>
      <c r="K619" s="1325"/>
      <c r="L619" s="1325"/>
      <c r="M619" s="1325"/>
      <c r="N619" s="365"/>
      <c r="O619" s="1331"/>
      <c r="P619" s="1323"/>
      <c r="Q619" s="1323"/>
      <c r="R619" s="1323"/>
      <c r="S619" s="1323"/>
      <c r="T619" s="1323"/>
      <c r="U619" s="1323"/>
      <c r="V619" s="1323"/>
    </row>
    <row r="620" spans="2:22" x14ac:dyDescent="0.2">
      <c r="B620" s="1323"/>
      <c r="C620" s="1323"/>
      <c r="D620" s="365"/>
      <c r="E620" s="365"/>
      <c r="F620" s="1325"/>
      <c r="G620" s="1325"/>
      <c r="H620" s="1325"/>
      <c r="I620" s="1325"/>
      <c r="J620" s="1325"/>
      <c r="K620" s="1325"/>
      <c r="L620" s="1325"/>
      <c r="M620" s="1325"/>
      <c r="N620" s="365"/>
      <c r="O620" s="1331"/>
      <c r="P620" s="1323"/>
      <c r="Q620" s="1323"/>
      <c r="R620" s="1323"/>
      <c r="S620" s="1323"/>
      <c r="T620" s="1323"/>
      <c r="U620" s="1323"/>
      <c r="V620" s="1323"/>
    </row>
    <row r="621" spans="2:22" x14ac:dyDescent="0.2">
      <c r="B621" s="1323"/>
      <c r="C621" s="1323"/>
      <c r="D621" s="365"/>
      <c r="E621" s="365"/>
      <c r="F621" s="1325"/>
      <c r="G621" s="1325"/>
      <c r="H621" s="1325"/>
      <c r="I621" s="1325"/>
      <c r="J621" s="1325"/>
      <c r="K621" s="1325"/>
      <c r="L621" s="1325"/>
      <c r="M621" s="1325"/>
      <c r="N621" s="365"/>
      <c r="O621" s="1331"/>
      <c r="P621" s="1323"/>
      <c r="Q621" s="1323"/>
      <c r="R621" s="1323"/>
      <c r="S621" s="1323"/>
      <c r="T621" s="1323"/>
      <c r="U621" s="1323"/>
      <c r="V621" s="1323"/>
    </row>
    <row r="622" spans="2:22" x14ac:dyDescent="0.2">
      <c r="B622" s="1323"/>
      <c r="C622" s="1323"/>
      <c r="D622" s="365"/>
      <c r="E622" s="365"/>
      <c r="F622" s="1325"/>
      <c r="G622" s="1325"/>
      <c r="H622" s="1325"/>
      <c r="I622" s="1325"/>
      <c r="J622" s="1325"/>
      <c r="K622" s="1325"/>
      <c r="L622" s="1325"/>
      <c r="M622" s="1325"/>
      <c r="N622" s="365"/>
      <c r="O622" s="1331"/>
      <c r="P622" s="1323"/>
      <c r="Q622" s="1323"/>
      <c r="R622" s="1323"/>
      <c r="S622" s="1323"/>
      <c r="T622" s="1323"/>
      <c r="U622" s="1323"/>
      <c r="V622" s="1323"/>
    </row>
    <row r="623" spans="2:22" x14ac:dyDescent="0.2">
      <c r="B623" s="1323"/>
      <c r="C623" s="1323"/>
      <c r="D623" s="365"/>
      <c r="E623" s="365"/>
      <c r="F623" s="1325"/>
      <c r="G623" s="1325"/>
      <c r="H623" s="1325"/>
      <c r="I623" s="1325"/>
      <c r="J623" s="1325"/>
      <c r="K623" s="1325"/>
      <c r="L623" s="1325"/>
      <c r="M623" s="1325"/>
      <c r="N623" s="365"/>
      <c r="O623" s="1331"/>
      <c r="P623" s="1323"/>
      <c r="Q623" s="1323"/>
      <c r="R623" s="1323"/>
      <c r="S623" s="1323"/>
      <c r="T623" s="1323"/>
      <c r="U623" s="1323"/>
      <c r="V623" s="1323"/>
    </row>
    <row r="624" spans="2:22" x14ac:dyDescent="0.2">
      <c r="B624" s="1323"/>
      <c r="C624" s="1323"/>
      <c r="D624" s="365"/>
      <c r="E624" s="365"/>
      <c r="F624" s="1325"/>
      <c r="G624" s="1325"/>
      <c r="H624" s="1325"/>
      <c r="I624" s="1325"/>
      <c r="J624" s="1325"/>
      <c r="K624" s="1325"/>
      <c r="L624" s="1325"/>
      <c r="M624" s="1325"/>
      <c r="N624" s="365"/>
      <c r="O624" s="1331"/>
      <c r="P624" s="1323"/>
      <c r="Q624" s="1323"/>
      <c r="R624" s="1323"/>
      <c r="S624" s="1323"/>
      <c r="T624" s="1323"/>
      <c r="U624" s="1323"/>
      <c r="V624" s="1323"/>
    </row>
    <row r="625" spans="2:22" x14ac:dyDescent="0.2">
      <c r="B625" s="1323"/>
      <c r="C625" s="1323"/>
      <c r="D625" s="365"/>
      <c r="E625" s="365"/>
      <c r="F625" s="1325"/>
      <c r="G625" s="1325"/>
      <c r="H625" s="1325"/>
      <c r="I625" s="1325"/>
      <c r="J625" s="1325"/>
      <c r="K625" s="1325"/>
      <c r="L625" s="1325"/>
      <c r="M625" s="1325"/>
      <c r="N625" s="365"/>
      <c r="O625" s="1331"/>
      <c r="P625" s="1323"/>
      <c r="Q625" s="1323"/>
      <c r="R625" s="1323"/>
      <c r="S625" s="1323"/>
      <c r="T625" s="1323"/>
      <c r="U625" s="1323"/>
      <c r="V625" s="1323"/>
    </row>
    <row r="626" spans="2:22" x14ac:dyDescent="0.2">
      <c r="B626" s="1323"/>
      <c r="C626" s="1323"/>
      <c r="D626" s="365"/>
      <c r="E626" s="365"/>
      <c r="F626" s="1325"/>
      <c r="G626" s="1325"/>
      <c r="H626" s="1325"/>
      <c r="I626" s="1325"/>
      <c r="J626" s="1325"/>
      <c r="K626" s="1325"/>
      <c r="L626" s="1325"/>
      <c r="M626" s="1325"/>
      <c r="N626" s="365"/>
      <c r="O626" s="1331"/>
      <c r="P626" s="1323"/>
      <c r="Q626" s="1323"/>
      <c r="R626" s="1323"/>
      <c r="S626" s="1323"/>
      <c r="T626" s="1323"/>
      <c r="U626" s="1323"/>
      <c r="V626" s="1323"/>
    </row>
    <row r="627" spans="2:22" x14ac:dyDescent="0.2">
      <c r="B627" s="1323"/>
      <c r="C627" s="1323"/>
      <c r="D627" s="365"/>
      <c r="E627" s="365"/>
      <c r="F627" s="1325"/>
      <c r="G627" s="1325"/>
      <c r="H627" s="1325"/>
      <c r="I627" s="1325"/>
      <c r="J627" s="1325"/>
      <c r="K627" s="1325"/>
      <c r="L627" s="1325"/>
      <c r="M627" s="1325"/>
      <c r="N627" s="365"/>
      <c r="O627" s="1331"/>
      <c r="P627" s="1323"/>
      <c r="Q627" s="1323"/>
      <c r="R627" s="1323"/>
      <c r="S627" s="1323"/>
      <c r="T627" s="1323"/>
      <c r="U627" s="1323"/>
      <c r="V627" s="1323"/>
    </row>
    <row r="628" spans="2:22" x14ac:dyDescent="0.2">
      <c r="B628" s="1323"/>
      <c r="C628" s="1323"/>
      <c r="D628" s="365"/>
      <c r="E628" s="365"/>
      <c r="F628" s="1325"/>
      <c r="G628" s="1325"/>
      <c r="H628" s="1325"/>
      <c r="I628" s="1325"/>
      <c r="J628" s="1325"/>
      <c r="K628" s="1325"/>
      <c r="L628" s="1325"/>
      <c r="M628" s="1325"/>
      <c r="N628" s="365"/>
      <c r="O628" s="1331"/>
      <c r="P628" s="1323"/>
      <c r="Q628" s="1323"/>
      <c r="R628" s="1323"/>
      <c r="S628" s="1323"/>
      <c r="T628" s="1323"/>
      <c r="U628" s="1323"/>
      <c r="V628" s="1323"/>
    </row>
    <row r="629" spans="2:22" x14ac:dyDescent="0.2">
      <c r="B629" s="1323"/>
      <c r="C629" s="1323"/>
      <c r="D629" s="365"/>
      <c r="E629" s="365"/>
      <c r="F629" s="1325"/>
      <c r="G629" s="1325"/>
      <c r="H629" s="1325"/>
      <c r="I629" s="1325"/>
      <c r="J629" s="1325"/>
      <c r="K629" s="1325"/>
      <c r="L629" s="1325"/>
      <c r="M629" s="1325"/>
      <c r="N629" s="365"/>
      <c r="O629" s="1331"/>
      <c r="P629" s="1323"/>
      <c r="Q629" s="1323"/>
      <c r="R629" s="1323"/>
      <c r="S629" s="1323"/>
      <c r="T629" s="1323"/>
      <c r="U629" s="1323"/>
      <c r="V629" s="1323"/>
    </row>
    <row r="630" spans="2:22" x14ac:dyDescent="0.2">
      <c r="B630" s="1323"/>
      <c r="C630" s="1323"/>
      <c r="D630" s="365"/>
      <c r="E630" s="365"/>
      <c r="F630" s="1325"/>
      <c r="G630" s="1325"/>
      <c r="H630" s="1325"/>
      <c r="I630" s="1325"/>
      <c r="J630" s="1325"/>
      <c r="K630" s="1325"/>
      <c r="L630" s="1325"/>
      <c r="M630" s="1325"/>
      <c r="N630" s="365"/>
      <c r="O630" s="1331"/>
      <c r="P630" s="1323"/>
      <c r="Q630" s="1323"/>
      <c r="R630" s="1323"/>
      <c r="S630" s="1323"/>
      <c r="T630" s="1323"/>
      <c r="U630" s="1323"/>
      <c r="V630" s="1323"/>
    </row>
    <row r="631" spans="2:22" x14ac:dyDescent="0.2">
      <c r="B631" s="1323"/>
      <c r="C631" s="1323"/>
      <c r="D631" s="365"/>
      <c r="E631" s="365"/>
      <c r="F631" s="1325"/>
      <c r="G631" s="1325"/>
      <c r="H631" s="1325"/>
      <c r="I631" s="1325"/>
      <c r="J631" s="1325"/>
      <c r="K631" s="1325"/>
      <c r="L631" s="1325"/>
      <c r="M631" s="1325"/>
      <c r="N631" s="365"/>
      <c r="O631" s="1331"/>
      <c r="P631" s="1323"/>
      <c r="Q631" s="1323"/>
      <c r="R631" s="1323"/>
      <c r="S631" s="1323"/>
      <c r="T631" s="1323"/>
      <c r="U631" s="1323"/>
      <c r="V631" s="1323"/>
    </row>
    <row r="632" spans="2:22" x14ac:dyDescent="0.2">
      <c r="B632" s="1323"/>
      <c r="C632" s="1323"/>
      <c r="D632" s="365"/>
      <c r="E632" s="365"/>
      <c r="F632" s="1325"/>
      <c r="G632" s="1325"/>
      <c r="H632" s="1325"/>
      <c r="I632" s="1325"/>
      <c r="J632" s="1325"/>
      <c r="K632" s="1325"/>
      <c r="L632" s="1325"/>
      <c r="M632" s="1325"/>
      <c r="N632" s="365"/>
      <c r="O632" s="1331"/>
      <c r="P632" s="1323"/>
      <c r="Q632" s="1323"/>
      <c r="R632" s="1323"/>
      <c r="S632" s="1323"/>
      <c r="T632" s="1323"/>
      <c r="U632" s="1323"/>
      <c r="V632" s="1323"/>
    </row>
    <row r="633" spans="2:22" x14ac:dyDescent="0.2">
      <c r="B633" s="1323"/>
      <c r="C633" s="1323"/>
      <c r="D633" s="365"/>
      <c r="E633" s="365"/>
      <c r="F633" s="1325"/>
      <c r="G633" s="1325"/>
      <c r="H633" s="1325"/>
      <c r="I633" s="1325"/>
      <c r="J633" s="1325"/>
      <c r="K633" s="1325"/>
      <c r="L633" s="1325"/>
      <c r="M633" s="1325"/>
      <c r="N633" s="365"/>
      <c r="O633" s="1331"/>
      <c r="P633" s="1323"/>
      <c r="Q633" s="1323"/>
      <c r="R633" s="1323"/>
      <c r="S633" s="1323"/>
      <c r="T633" s="1323"/>
      <c r="U633" s="1323"/>
      <c r="V633" s="1323"/>
    </row>
    <row r="634" spans="2:22" x14ac:dyDescent="0.2">
      <c r="B634" s="1323"/>
      <c r="C634" s="1323"/>
      <c r="D634" s="365"/>
      <c r="E634" s="365"/>
      <c r="F634" s="1325"/>
      <c r="G634" s="1325"/>
      <c r="H634" s="1325"/>
      <c r="I634" s="1325"/>
      <c r="J634" s="1325"/>
      <c r="K634" s="1325"/>
      <c r="L634" s="1325"/>
      <c r="M634" s="1325"/>
      <c r="N634" s="365"/>
      <c r="O634" s="1331"/>
      <c r="P634" s="1323"/>
      <c r="Q634" s="1323"/>
      <c r="R634" s="1323"/>
      <c r="S634" s="1323"/>
      <c r="T634" s="1323"/>
      <c r="U634" s="1323"/>
      <c r="V634" s="1323"/>
    </row>
    <row r="635" spans="2:22" x14ac:dyDescent="0.2">
      <c r="B635" s="1323"/>
      <c r="C635" s="1323"/>
      <c r="D635" s="365"/>
      <c r="E635" s="365"/>
      <c r="F635" s="1325"/>
      <c r="G635" s="1325"/>
      <c r="H635" s="1325"/>
      <c r="I635" s="1325"/>
      <c r="J635" s="1325"/>
      <c r="K635" s="1325"/>
      <c r="L635" s="1325"/>
      <c r="M635" s="1325"/>
      <c r="N635" s="365"/>
      <c r="O635" s="1331"/>
      <c r="P635" s="1323"/>
      <c r="Q635" s="1323"/>
      <c r="R635" s="1323"/>
      <c r="S635" s="1323"/>
      <c r="T635" s="1323"/>
      <c r="U635" s="1323"/>
      <c r="V635" s="1323"/>
    </row>
    <row r="636" spans="2:22" x14ac:dyDescent="0.2">
      <c r="B636" s="1323"/>
      <c r="C636" s="1323"/>
      <c r="D636" s="365"/>
      <c r="E636" s="365"/>
      <c r="F636" s="1325"/>
      <c r="G636" s="1325"/>
      <c r="H636" s="1325"/>
      <c r="I636" s="1325"/>
      <c r="J636" s="1325"/>
      <c r="K636" s="1325"/>
      <c r="L636" s="1325"/>
      <c r="M636" s="1325"/>
      <c r="N636" s="365"/>
      <c r="O636" s="1331"/>
      <c r="P636" s="1323"/>
      <c r="Q636" s="1323"/>
      <c r="R636" s="1323"/>
      <c r="S636" s="1323"/>
      <c r="T636" s="1323"/>
      <c r="U636" s="1323"/>
      <c r="V636" s="1323"/>
    </row>
    <row r="637" spans="2:22" x14ac:dyDescent="0.2">
      <c r="B637" s="1323"/>
      <c r="C637" s="1323"/>
      <c r="D637" s="365"/>
      <c r="E637" s="365"/>
      <c r="F637" s="1325"/>
      <c r="G637" s="1325"/>
      <c r="H637" s="1325"/>
      <c r="I637" s="1325"/>
      <c r="J637" s="1325"/>
      <c r="K637" s="1325"/>
      <c r="L637" s="1325"/>
      <c r="M637" s="1325"/>
      <c r="N637" s="365"/>
      <c r="O637" s="1331"/>
      <c r="P637" s="1323"/>
      <c r="Q637" s="1323"/>
      <c r="R637" s="1323"/>
      <c r="S637" s="1323"/>
      <c r="T637" s="1323"/>
      <c r="U637" s="1323"/>
      <c r="V637" s="1323"/>
    </row>
    <row r="638" spans="2:22" x14ac:dyDescent="0.2">
      <c r="B638" s="1323"/>
      <c r="C638" s="1323"/>
      <c r="D638" s="365"/>
      <c r="E638" s="365"/>
      <c r="F638" s="1325"/>
      <c r="G638" s="1325"/>
      <c r="H638" s="1325"/>
      <c r="I638" s="1325"/>
      <c r="J638" s="1325"/>
      <c r="K638" s="1325"/>
      <c r="L638" s="1325"/>
      <c r="M638" s="1325"/>
      <c r="N638" s="365"/>
      <c r="O638" s="1331"/>
      <c r="P638" s="1323"/>
      <c r="Q638" s="1323"/>
      <c r="R638" s="1323"/>
      <c r="S638" s="1323"/>
      <c r="T638" s="1323"/>
      <c r="U638" s="1323"/>
      <c r="V638" s="1323"/>
    </row>
    <row r="639" spans="2:22" x14ac:dyDescent="0.2">
      <c r="B639" s="1323"/>
      <c r="C639" s="1323"/>
      <c r="D639" s="365"/>
      <c r="E639" s="365"/>
      <c r="F639" s="1325"/>
      <c r="G639" s="1325"/>
      <c r="H639" s="1325"/>
      <c r="I639" s="1325"/>
      <c r="J639" s="1325"/>
      <c r="K639" s="1325"/>
      <c r="L639" s="1325"/>
      <c r="M639" s="1325"/>
      <c r="N639" s="365"/>
      <c r="O639" s="1331"/>
      <c r="P639" s="1323"/>
      <c r="Q639" s="1323"/>
      <c r="R639" s="1323"/>
      <c r="S639" s="1323"/>
      <c r="T639" s="1323"/>
      <c r="U639" s="1323"/>
      <c r="V639" s="1323"/>
    </row>
    <row r="640" spans="2:22" x14ac:dyDescent="0.2">
      <c r="B640" s="1323"/>
      <c r="C640" s="1323"/>
      <c r="D640" s="365"/>
      <c r="E640" s="365"/>
      <c r="F640" s="1325"/>
      <c r="G640" s="1325"/>
      <c r="H640" s="1325"/>
      <c r="I640" s="1325"/>
      <c r="J640" s="1325"/>
      <c r="K640" s="1325"/>
      <c r="L640" s="1325"/>
      <c r="M640" s="1325"/>
      <c r="N640" s="365"/>
      <c r="O640" s="1331"/>
      <c r="P640" s="1323"/>
      <c r="Q640" s="1323"/>
      <c r="R640" s="1323"/>
      <c r="S640" s="1323"/>
      <c r="T640" s="1323"/>
      <c r="U640" s="1323"/>
      <c r="V640" s="1323"/>
    </row>
    <row r="641" spans="2:22" x14ac:dyDescent="0.2">
      <c r="B641" s="1323"/>
      <c r="C641" s="1323"/>
      <c r="D641" s="365"/>
      <c r="E641" s="365"/>
      <c r="F641" s="1325"/>
      <c r="G641" s="1325"/>
      <c r="H641" s="1325"/>
      <c r="I641" s="1325"/>
      <c r="J641" s="1325"/>
      <c r="K641" s="1325"/>
      <c r="L641" s="1325"/>
      <c r="M641" s="1325"/>
      <c r="N641" s="365"/>
      <c r="O641" s="1331"/>
      <c r="P641" s="1323"/>
      <c r="Q641" s="1323"/>
      <c r="R641" s="1323"/>
      <c r="S641" s="1323"/>
      <c r="T641" s="1323"/>
      <c r="U641" s="1323"/>
      <c r="V641" s="1323"/>
    </row>
    <row r="642" spans="2:22" x14ac:dyDescent="0.2">
      <c r="B642" s="1323"/>
      <c r="C642" s="1323"/>
      <c r="D642" s="365"/>
      <c r="E642" s="365"/>
      <c r="F642" s="1325"/>
      <c r="G642" s="1325"/>
      <c r="H642" s="1325"/>
      <c r="I642" s="1325"/>
      <c r="J642" s="1325"/>
      <c r="K642" s="1325"/>
      <c r="L642" s="1325"/>
      <c r="M642" s="1325"/>
      <c r="N642" s="365"/>
      <c r="O642" s="1331"/>
      <c r="P642" s="1323"/>
      <c r="Q642" s="1323"/>
      <c r="R642" s="1323"/>
      <c r="S642" s="1323"/>
      <c r="T642" s="1323"/>
      <c r="U642" s="1323"/>
      <c r="V642" s="1323"/>
    </row>
    <row r="643" spans="2:22" x14ac:dyDescent="0.2">
      <c r="B643" s="1323"/>
      <c r="C643" s="1323"/>
      <c r="D643" s="365"/>
      <c r="E643" s="365"/>
      <c r="F643" s="1325"/>
      <c r="G643" s="1325"/>
      <c r="H643" s="1325"/>
      <c r="I643" s="1325"/>
      <c r="J643" s="1325"/>
      <c r="K643" s="1325"/>
      <c r="L643" s="1325"/>
      <c r="M643" s="1325"/>
      <c r="N643" s="365"/>
      <c r="O643" s="1331"/>
      <c r="P643" s="1323"/>
      <c r="Q643" s="1323"/>
      <c r="R643" s="1323"/>
      <c r="S643" s="1323"/>
      <c r="T643" s="1323"/>
      <c r="U643" s="1323"/>
      <c r="V643" s="1323"/>
    </row>
    <row r="644" spans="2:22" x14ac:dyDescent="0.2">
      <c r="B644" s="1323"/>
      <c r="C644" s="1323"/>
      <c r="D644" s="365"/>
      <c r="E644" s="365"/>
      <c r="F644" s="1325"/>
      <c r="G644" s="1325"/>
      <c r="H644" s="1325"/>
      <c r="I644" s="1325"/>
      <c r="J644" s="1325"/>
      <c r="K644" s="1325"/>
      <c r="L644" s="1325"/>
      <c r="M644" s="1325"/>
      <c r="N644" s="365"/>
      <c r="O644" s="1331"/>
      <c r="P644" s="1323"/>
      <c r="Q644" s="1323"/>
      <c r="R644" s="1323"/>
      <c r="S644" s="1323"/>
      <c r="T644" s="1323"/>
      <c r="U644" s="1323"/>
      <c r="V644" s="1323"/>
    </row>
    <row r="645" spans="2:22" x14ac:dyDescent="0.2">
      <c r="B645" s="1323"/>
      <c r="C645" s="1323"/>
      <c r="D645" s="365"/>
      <c r="E645" s="365"/>
      <c r="F645" s="1325"/>
      <c r="G645" s="1325"/>
      <c r="H645" s="1325"/>
      <c r="I645" s="1325"/>
      <c r="J645" s="1325"/>
      <c r="K645" s="1325"/>
      <c r="L645" s="1325"/>
      <c r="M645" s="1325"/>
      <c r="N645" s="365"/>
      <c r="O645" s="1331"/>
      <c r="P645" s="1323"/>
      <c r="Q645" s="1323"/>
      <c r="R645" s="1323"/>
      <c r="S645" s="1323"/>
      <c r="T645" s="1323"/>
      <c r="U645" s="1323"/>
      <c r="V645" s="1323"/>
    </row>
    <row r="646" spans="2:22" x14ac:dyDescent="0.2">
      <c r="B646" s="1323"/>
      <c r="C646" s="1323"/>
      <c r="D646" s="365"/>
      <c r="E646" s="365"/>
      <c r="F646" s="1325"/>
      <c r="G646" s="1325"/>
      <c r="H646" s="1325"/>
      <c r="I646" s="1325"/>
      <c r="J646" s="1325"/>
      <c r="K646" s="1325"/>
      <c r="L646" s="1325"/>
      <c r="M646" s="1325"/>
      <c r="N646" s="365"/>
      <c r="O646" s="1331"/>
      <c r="P646" s="1323"/>
      <c r="Q646" s="1323"/>
      <c r="R646" s="1323"/>
      <c r="S646" s="1323"/>
      <c r="T646" s="1323"/>
      <c r="U646" s="1323"/>
      <c r="V646" s="1323"/>
    </row>
    <row r="647" spans="2:22" x14ac:dyDescent="0.2">
      <c r="B647" s="1323"/>
      <c r="C647" s="1323"/>
      <c r="D647" s="365"/>
      <c r="E647" s="365"/>
      <c r="F647" s="1325"/>
      <c r="G647" s="1325"/>
      <c r="H647" s="1325"/>
      <c r="I647" s="1325"/>
      <c r="J647" s="1325"/>
      <c r="K647" s="1325"/>
      <c r="L647" s="1325"/>
      <c r="M647" s="1325"/>
      <c r="N647" s="365"/>
      <c r="O647" s="1331"/>
      <c r="P647" s="1323"/>
      <c r="Q647" s="1323"/>
      <c r="R647" s="1323"/>
      <c r="S647" s="1323"/>
      <c r="T647" s="1323"/>
      <c r="U647" s="1323"/>
      <c r="V647" s="1323"/>
    </row>
    <row r="648" spans="2:22" x14ac:dyDescent="0.2">
      <c r="B648" s="1323"/>
      <c r="C648" s="1323"/>
      <c r="D648" s="365"/>
      <c r="E648" s="365"/>
      <c r="F648" s="1325"/>
      <c r="G648" s="1325"/>
      <c r="H648" s="1325"/>
      <c r="I648" s="1325"/>
      <c r="J648" s="1325"/>
      <c r="K648" s="1325"/>
      <c r="L648" s="1325"/>
      <c r="M648" s="1325"/>
      <c r="N648" s="365"/>
      <c r="O648" s="1331"/>
      <c r="P648" s="1323"/>
      <c r="Q648" s="1323"/>
      <c r="R648" s="1323"/>
      <c r="S648" s="1323"/>
      <c r="T648" s="1323"/>
      <c r="U648" s="1323"/>
      <c r="V648" s="1323"/>
    </row>
    <row r="649" spans="2:22" x14ac:dyDescent="0.2">
      <c r="B649" s="1323"/>
      <c r="C649" s="1323"/>
      <c r="D649" s="365"/>
      <c r="E649" s="365"/>
      <c r="F649" s="1325"/>
      <c r="G649" s="1325"/>
      <c r="H649" s="1325"/>
      <c r="I649" s="1325"/>
      <c r="J649" s="1325"/>
      <c r="K649" s="1325"/>
      <c r="L649" s="1325"/>
      <c r="M649" s="1325"/>
      <c r="N649" s="365"/>
      <c r="O649" s="1331"/>
      <c r="P649" s="1323"/>
      <c r="Q649" s="1323"/>
      <c r="R649" s="1323"/>
      <c r="S649" s="1323"/>
      <c r="T649" s="1323"/>
      <c r="U649" s="1323"/>
      <c r="V649" s="1323"/>
    </row>
    <row r="650" spans="2:22" x14ac:dyDescent="0.2">
      <c r="B650" s="1323"/>
      <c r="C650" s="1323"/>
      <c r="D650" s="365"/>
      <c r="E650" s="365"/>
      <c r="F650" s="1325"/>
      <c r="G650" s="1325"/>
      <c r="H650" s="1325"/>
      <c r="I650" s="1325"/>
      <c r="J650" s="1325"/>
      <c r="K650" s="1325"/>
      <c r="L650" s="1325"/>
      <c r="M650" s="1325"/>
      <c r="N650" s="365"/>
      <c r="O650" s="1331"/>
      <c r="P650" s="1323"/>
      <c r="Q650" s="1323"/>
      <c r="R650" s="1323"/>
      <c r="S650" s="1323"/>
      <c r="T650" s="1323"/>
      <c r="U650" s="1323"/>
      <c r="V650" s="1323"/>
    </row>
    <row r="651" spans="2:22" x14ac:dyDescent="0.2">
      <c r="B651" s="1323"/>
      <c r="C651" s="1323"/>
      <c r="D651" s="365"/>
      <c r="E651" s="365"/>
      <c r="F651" s="1325"/>
      <c r="G651" s="1325"/>
      <c r="H651" s="1325"/>
      <c r="I651" s="1325"/>
      <c r="J651" s="1325"/>
      <c r="K651" s="1325"/>
      <c r="L651" s="1325"/>
      <c r="M651" s="1325"/>
      <c r="N651" s="365"/>
      <c r="O651" s="1331"/>
      <c r="P651" s="1323"/>
      <c r="Q651" s="1323"/>
      <c r="R651" s="1323"/>
      <c r="S651" s="1323"/>
      <c r="T651" s="1323"/>
      <c r="U651" s="1323"/>
      <c r="V651" s="1323"/>
    </row>
    <row r="652" spans="2:22" x14ac:dyDescent="0.2">
      <c r="B652" s="1323"/>
      <c r="C652" s="1323"/>
      <c r="D652" s="365"/>
      <c r="E652" s="365"/>
      <c r="F652" s="1325"/>
      <c r="G652" s="1325"/>
      <c r="H652" s="1325"/>
      <c r="I652" s="1325"/>
      <c r="J652" s="1325"/>
      <c r="K652" s="1325"/>
      <c r="L652" s="1325"/>
      <c r="M652" s="1325"/>
      <c r="N652" s="365"/>
      <c r="O652" s="1331"/>
      <c r="P652" s="1323"/>
      <c r="Q652" s="1323"/>
      <c r="R652" s="1323"/>
      <c r="S652" s="1323"/>
      <c r="T652" s="1323"/>
      <c r="U652" s="1323"/>
      <c r="V652" s="1323"/>
    </row>
    <row r="653" spans="2:22" x14ac:dyDescent="0.2">
      <c r="B653" s="1323"/>
      <c r="C653" s="1323"/>
      <c r="D653" s="365"/>
      <c r="E653" s="365"/>
      <c r="F653" s="1325"/>
      <c r="G653" s="1325"/>
      <c r="H653" s="1325"/>
      <c r="I653" s="1325"/>
      <c r="J653" s="1325"/>
      <c r="K653" s="1325"/>
      <c r="L653" s="1325"/>
      <c r="M653" s="1325"/>
      <c r="N653" s="365"/>
      <c r="O653" s="1331"/>
      <c r="P653" s="1323"/>
      <c r="Q653" s="1323"/>
      <c r="R653" s="1323"/>
      <c r="S653" s="1323"/>
      <c r="T653" s="1323"/>
      <c r="U653" s="1323"/>
      <c r="V653" s="1323"/>
    </row>
    <row r="654" spans="2:22" x14ac:dyDescent="0.2">
      <c r="B654" s="1323"/>
      <c r="C654" s="1323"/>
      <c r="D654" s="365"/>
      <c r="E654" s="365"/>
      <c r="F654" s="1325"/>
      <c r="G654" s="1325"/>
      <c r="H654" s="1325"/>
      <c r="I654" s="1325"/>
      <c r="J654" s="1325"/>
      <c r="K654" s="1325"/>
      <c r="L654" s="1325"/>
      <c r="M654" s="1325"/>
      <c r="N654" s="365"/>
      <c r="O654" s="1331"/>
      <c r="P654" s="1323"/>
      <c r="Q654" s="1323"/>
      <c r="R654" s="1323"/>
      <c r="S654" s="1323"/>
      <c r="T654" s="1323"/>
      <c r="U654" s="1323"/>
      <c r="V654" s="1323"/>
    </row>
    <row r="655" spans="2:22" x14ac:dyDescent="0.2">
      <c r="B655" s="1323"/>
      <c r="C655" s="1323"/>
      <c r="D655" s="365"/>
      <c r="E655" s="365"/>
      <c r="F655" s="1325"/>
      <c r="G655" s="1325"/>
      <c r="H655" s="1325"/>
      <c r="I655" s="1325"/>
      <c r="J655" s="1325"/>
      <c r="K655" s="1325"/>
      <c r="L655" s="1325"/>
      <c r="M655" s="1325"/>
      <c r="N655" s="365"/>
      <c r="O655" s="1331"/>
      <c r="P655" s="1323"/>
      <c r="Q655" s="1323"/>
      <c r="R655" s="1323"/>
      <c r="S655" s="1323"/>
      <c r="T655" s="1323"/>
      <c r="U655" s="1323"/>
      <c r="V655" s="1323"/>
    </row>
    <row r="656" spans="2:22" x14ac:dyDescent="0.2">
      <c r="B656" s="1323"/>
      <c r="C656" s="1323"/>
      <c r="D656" s="365"/>
      <c r="E656" s="365"/>
      <c r="F656" s="1325"/>
      <c r="G656" s="1325"/>
      <c r="H656" s="1325"/>
      <c r="I656" s="1325"/>
      <c r="J656" s="1325"/>
      <c r="K656" s="1325"/>
      <c r="L656" s="1325"/>
      <c r="M656" s="1325"/>
      <c r="N656" s="365"/>
      <c r="O656" s="1331"/>
      <c r="P656" s="1323"/>
      <c r="Q656" s="1323"/>
      <c r="R656" s="1323"/>
      <c r="S656" s="1323"/>
      <c r="T656" s="1323"/>
      <c r="U656" s="1323"/>
      <c r="V656" s="1323"/>
    </row>
    <row r="657" spans="2:22" x14ac:dyDescent="0.2">
      <c r="B657" s="1323"/>
      <c r="C657" s="1323"/>
      <c r="D657" s="365"/>
      <c r="E657" s="365"/>
      <c r="F657" s="1325"/>
      <c r="G657" s="1325"/>
      <c r="H657" s="1325"/>
      <c r="I657" s="1325"/>
      <c r="J657" s="1325"/>
      <c r="K657" s="1325"/>
      <c r="L657" s="1325"/>
      <c r="M657" s="1325"/>
      <c r="N657" s="365"/>
      <c r="O657" s="1331"/>
      <c r="P657" s="1323"/>
      <c r="Q657" s="1323"/>
      <c r="R657" s="1323"/>
      <c r="S657" s="1323"/>
      <c r="T657" s="1323"/>
      <c r="U657" s="1323"/>
      <c r="V657" s="1323"/>
    </row>
    <row r="658" spans="2:22" x14ac:dyDescent="0.2">
      <c r="B658" s="1323"/>
      <c r="C658" s="1323"/>
      <c r="D658" s="365"/>
      <c r="E658" s="365"/>
      <c r="F658" s="1325"/>
      <c r="G658" s="1325"/>
      <c r="H658" s="1325"/>
      <c r="I658" s="1325"/>
      <c r="J658" s="1325"/>
      <c r="K658" s="1325"/>
      <c r="L658" s="1325"/>
      <c r="M658" s="1325"/>
      <c r="N658" s="365"/>
      <c r="O658" s="1331"/>
      <c r="P658" s="1323"/>
      <c r="Q658" s="1323"/>
      <c r="R658" s="1323"/>
      <c r="S658" s="1323"/>
      <c r="T658" s="1323"/>
      <c r="U658" s="1323"/>
      <c r="V658" s="1323"/>
    </row>
    <row r="659" spans="2:22" x14ac:dyDescent="0.2">
      <c r="B659" s="1323"/>
      <c r="C659" s="1323"/>
      <c r="D659" s="365"/>
      <c r="E659" s="365"/>
      <c r="F659" s="1325"/>
      <c r="G659" s="1325"/>
      <c r="H659" s="1325"/>
      <c r="I659" s="1325"/>
      <c r="J659" s="1325"/>
      <c r="K659" s="1325"/>
      <c r="L659" s="1325"/>
      <c r="M659" s="1325"/>
      <c r="N659" s="365"/>
      <c r="O659" s="1331"/>
      <c r="P659" s="1323"/>
      <c r="Q659" s="1323"/>
      <c r="R659" s="1323"/>
      <c r="S659" s="1323"/>
      <c r="T659" s="1323"/>
      <c r="U659" s="1323"/>
      <c r="V659" s="1323"/>
    </row>
    <row r="660" spans="2:22" x14ac:dyDescent="0.2">
      <c r="B660" s="1323"/>
      <c r="C660" s="1323"/>
      <c r="D660" s="365"/>
      <c r="E660" s="365"/>
      <c r="F660" s="1325"/>
      <c r="G660" s="1325"/>
      <c r="H660" s="1325"/>
      <c r="I660" s="1325"/>
      <c r="J660" s="1325"/>
      <c r="K660" s="1325"/>
      <c r="L660" s="1325"/>
      <c r="M660" s="1325"/>
      <c r="N660" s="365"/>
      <c r="O660" s="1331"/>
      <c r="P660" s="1323"/>
      <c r="Q660" s="1323"/>
      <c r="R660" s="1323"/>
      <c r="S660" s="1323"/>
      <c r="T660" s="1323"/>
      <c r="U660" s="1323"/>
      <c r="V660" s="1323"/>
    </row>
    <row r="661" spans="2:22" x14ac:dyDescent="0.2">
      <c r="B661" s="1323"/>
      <c r="C661" s="1323"/>
      <c r="D661" s="365"/>
      <c r="E661" s="365"/>
      <c r="F661" s="1325"/>
      <c r="G661" s="1325"/>
      <c r="H661" s="1325"/>
      <c r="I661" s="1325"/>
      <c r="J661" s="1325"/>
      <c r="K661" s="1325"/>
      <c r="L661" s="1325"/>
      <c r="M661" s="1325"/>
      <c r="N661" s="365"/>
      <c r="O661" s="1331"/>
      <c r="P661" s="1323"/>
      <c r="Q661" s="1323"/>
      <c r="R661" s="1323"/>
      <c r="S661" s="1323"/>
      <c r="T661" s="1323"/>
      <c r="U661" s="1323"/>
      <c r="V661" s="1323"/>
    </row>
    <row r="662" spans="2:22" x14ac:dyDescent="0.2">
      <c r="B662" s="1323"/>
      <c r="C662" s="1323"/>
      <c r="D662" s="365"/>
      <c r="E662" s="365"/>
      <c r="F662" s="1325"/>
      <c r="G662" s="1325"/>
      <c r="H662" s="1325"/>
      <c r="I662" s="1325"/>
      <c r="J662" s="1325"/>
      <c r="K662" s="1325"/>
      <c r="L662" s="1325"/>
      <c r="M662" s="1325"/>
      <c r="N662" s="365"/>
      <c r="O662" s="1331"/>
      <c r="P662" s="1323"/>
      <c r="Q662" s="1323"/>
      <c r="R662" s="1323"/>
      <c r="S662" s="1323"/>
      <c r="T662" s="1323"/>
      <c r="U662" s="1323"/>
      <c r="V662" s="1323"/>
    </row>
    <row r="663" spans="2:22" x14ac:dyDescent="0.2">
      <c r="B663" s="1323"/>
      <c r="C663" s="1323"/>
      <c r="D663" s="365"/>
      <c r="E663" s="365"/>
      <c r="F663" s="1325"/>
      <c r="G663" s="1325"/>
      <c r="H663" s="1325"/>
      <c r="I663" s="1325"/>
      <c r="J663" s="1325"/>
      <c r="K663" s="1325"/>
      <c r="L663" s="1325"/>
      <c r="M663" s="1325"/>
      <c r="N663" s="365"/>
      <c r="O663" s="1331"/>
      <c r="P663" s="1323"/>
      <c r="Q663" s="1323"/>
      <c r="R663" s="1323"/>
      <c r="S663" s="1323"/>
      <c r="T663" s="1323"/>
      <c r="U663" s="1323"/>
      <c r="V663" s="1323"/>
    </row>
    <row r="664" spans="2:22" x14ac:dyDescent="0.2">
      <c r="B664" s="1323"/>
      <c r="C664" s="1323"/>
      <c r="D664" s="365"/>
      <c r="E664" s="365"/>
      <c r="F664" s="1325"/>
      <c r="G664" s="1325"/>
      <c r="H664" s="1325"/>
      <c r="I664" s="1325"/>
      <c r="J664" s="1325"/>
      <c r="K664" s="1325"/>
      <c r="L664" s="1325"/>
      <c r="M664" s="1325"/>
      <c r="N664" s="365"/>
      <c r="O664" s="1331"/>
      <c r="P664" s="1323"/>
      <c r="Q664" s="1323"/>
      <c r="R664" s="1323"/>
      <c r="S664" s="1323"/>
      <c r="T664" s="1323"/>
      <c r="U664" s="1323"/>
      <c r="V664" s="1323"/>
    </row>
    <row r="665" spans="2:22" x14ac:dyDescent="0.2">
      <c r="B665" s="1323"/>
      <c r="C665" s="1323"/>
      <c r="D665" s="365"/>
      <c r="E665" s="365"/>
      <c r="F665" s="1325"/>
      <c r="G665" s="1325"/>
      <c r="H665" s="1325"/>
      <c r="I665" s="1325"/>
      <c r="J665" s="1325"/>
      <c r="K665" s="1325"/>
      <c r="L665" s="1325"/>
      <c r="M665" s="1325"/>
      <c r="N665" s="365"/>
      <c r="O665" s="1331"/>
      <c r="P665" s="1323"/>
      <c r="Q665" s="1323"/>
      <c r="R665" s="1323"/>
      <c r="S665" s="1323"/>
      <c r="T665" s="1323"/>
      <c r="U665" s="1323"/>
      <c r="V665" s="1323"/>
    </row>
    <row r="666" spans="2:22" x14ac:dyDescent="0.2">
      <c r="B666" s="1323"/>
      <c r="C666" s="1323"/>
      <c r="D666" s="365"/>
      <c r="E666" s="365"/>
      <c r="F666" s="1325"/>
      <c r="G666" s="1325"/>
      <c r="H666" s="1325"/>
      <c r="I666" s="1325"/>
      <c r="J666" s="1325"/>
      <c r="K666" s="1325"/>
      <c r="L666" s="1325"/>
      <c r="M666" s="1325"/>
      <c r="N666" s="365"/>
      <c r="O666" s="1331"/>
      <c r="P666" s="1323"/>
      <c r="Q666" s="1323"/>
      <c r="R666" s="1323"/>
      <c r="S666" s="1323"/>
      <c r="T666" s="1323"/>
      <c r="U666" s="1323"/>
      <c r="V666" s="1323"/>
    </row>
    <row r="667" spans="2:22" x14ac:dyDescent="0.2">
      <c r="B667" s="1323"/>
      <c r="C667" s="1323"/>
      <c r="D667" s="365"/>
      <c r="E667" s="365"/>
      <c r="F667" s="1325"/>
      <c r="G667" s="1325"/>
      <c r="H667" s="1325"/>
      <c r="I667" s="1325"/>
      <c r="J667" s="1325"/>
      <c r="K667" s="1325"/>
      <c r="L667" s="1325"/>
      <c r="M667" s="1325"/>
      <c r="N667" s="365"/>
      <c r="O667" s="1331"/>
      <c r="P667" s="1323"/>
      <c r="Q667" s="1323"/>
      <c r="R667" s="1323"/>
      <c r="S667" s="1323"/>
      <c r="T667" s="1323"/>
      <c r="U667" s="1323"/>
      <c r="V667" s="1323"/>
    </row>
    <row r="668" spans="2:22" x14ac:dyDescent="0.2">
      <c r="B668" s="1323"/>
      <c r="C668" s="1323"/>
      <c r="D668" s="365"/>
      <c r="E668" s="365"/>
      <c r="F668" s="1325"/>
      <c r="G668" s="1325"/>
      <c r="H668" s="1325"/>
      <c r="I668" s="1325"/>
      <c r="J668" s="1325"/>
      <c r="K668" s="1325"/>
      <c r="L668" s="1325"/>
      <c r="M668" s="1325"/>
      <c r="N668" s="365"/>
      <c r="O668" s="1331"/>
      <c r="P668" s="1323"/>
      <c r="Q668" s="1323"/>
      <c r="R668" s="1323"/>
      <c r="S668" s="1323"/>
      <c r="T668" s="1323"/>
      <c r="U668" s="1323"/>
      <c r="V668" s="1323"/>
    </row>
    <row r="669" spans="2:22" x14ac:dyDescent="0.2">
      <c r="B669" s="1323"/>
      <c r="C669" s="1323"/>
      <c r="D669" s="365"/>
      <c r="E669" s="365"/>
      <c r="F669" s="1325"/>
      <c r="G669" s="1325"/>
      <c r="H669" s="1325"/>
      <c r="I669" s="1325"/>
      <c r="J669" s="1325"/>
      <c r="K669" s="1325"/>
      <c r="L669" s="1325"/>
      <c r="M669" s="1325"/>
      <c r="N669" s="365"/>
      <c r="O669" s="1331"/>
      <c r="P669" s="1323"/>
      <c r="Q669" s="1323"/>
      <c r="R669" s="1323"/>
      <c r="S669" s="1323"/>
      <c r="T669" s="1323"/>
      <c r="U669" s="1323"/>
      <c r="V669" s="1323"/>
    </row>
    <row r="670" spans="2:22" x14ac:dyDescent="0.2">
      <c r="B670" s="1323"/>
      <c r="C670" s="1323"/>
      <c r="D670" s="365"/>
      <c r="E670" s="365"/>
      <c r="F670" s="1325"/>
      <c r="G670" s="1325"/>
      <c r="H670" s="1325"/>
      <c r="I670" s="1325"/>
      <c r="J670" s="1325"/>
      <c r="K670" s="1325"/>
      <c r="L670" s="1325"/>
      <c r="M670" s="1325"/>
      <c r="N670" s="365"/>
      <c r="O670" s="1331"/>
      <c r="P670" s="1323"/>
      <c r="Q670" s="1323"/>
      <c r="R670" s="1323"/>
      <c r="S670" s="1323"/>
      <c r="T670" s="1323"/>
      <c r="U670" s="1323"/>
      <c r="V670" s="1323"/>
    </row>
    <row r="671" spans="2:22" x14ac:dyDescent="0.2">
      <c r="B671" s="1323"/>
      <c r="C671" s="1323"/>
      <c r="D671" s="365"/>
      <c r="E671" s="365"/>
      <c r="F671" s="1325"/>
      <c r="G671" s="1325"/>
      <c r="H671" s="1325"/>
      <c r="I671" s="1325"/>
      <c r="J671" s="1325"/>
      <c r="K671" s="1325"/>
      <c r="L671" s="1325"/>
      <c r="M671" s="1325"/>
      <c r="N671" s="365"/>
      <c r="O671" s="1331"/>
      <c r="P671" s="1323"/>
      <c r="Q671" s="1323"/>
      <c r="R671" s="1323"/>
      <c r="S671" s="1323"/>
      <c r="T671" s="1323"/>
      <c r="U671" s="1323"/>
      <c r="V671" s="1323"/>
    </row>
    <row r="672" spans="2:22" x14ac:dyDescent="0.2">
      <c r="B672" s="1323"/>
      <c r="C672" s="1323"/>
      <c r="D672" s="365"/>
      <c r="E672" s="365"/>
      <c r="F672" s="1325"/>
      <c r="G672" s="1325"/>
      <c r="H672" s="1325"/>
      <c r="I672" s="1325"/>
      <c r="J672" s="1325"/>
      <c r="K672" s="1325"/>
      <c r="L672" s="1325"/>
      <c r="M672" s="1325"/>
      <c r="N672" s="365"/>
      <c r="O672" s="1331"/>
      <c r="P672" s="1323"/>
      <c r="Q672" s="1323"/>
      <c r="R672" s="1323"/>
      <c r="S672" s="1323"/>
      <c r="T672" s="1323"/>
      <c r="U672" s="1323"/>
      <c r="V672" s="1323"/>
    </row>
    <row r="673" spans="2:22" x14ac:dyDescent="0.2">
      <c r="B673" s="1323"/>
      <c r="C673" s="1323"/>
      <c r="D673" s="365"/>
      <c r="E673" s="365"/>
      <c r="F673" s="1325"/>
      <c r="G673" s="1325"/>
      <c r="H673" s="1325"/>
      <c r="I673" s="1325"/>
      <c r="J673" s="1325"/>
      <c r="K673" s="1325"/>
      <c r="L673" s="1325"/>
      <c r="M673" s="1325"/>
      <c r="N673" s="365"/>
      <c r="O673" s="1331"/>
      <c r="P673" s="1323"/>
      <c r="Q673" s="1323"/>
      <c r="R673" s="1323"/>
      <c r="S673" s="1323"/>
      <c r="T673" s="1323"/>
      <c r="U673" s="1323"/>
      <c r="V673" s="1323"/>
    </row>
    <row r="674" spans="2:22" x14ac:dyDescent="0.2">
      <c r="B674" s="1323"/>
      <c r="C674" s="1323"/>
      <c r="D674" s="365"/>
      <c r="E674" s="365"/>
      <c r="F674" s="1325"/>
      <c r="G674" s="1325"/>
      <c r="H674" s="1325"/>
      <c r="I674" s="1325"/>
      <c r="J674" s="1325"/>
      <c r="K674" s="1325"/>
      <c r="L674" s="1325"/>
      <c r="M674" s="1325"/>
      <c r="N674" s="365"/>
      <c r="O674" s="1331"/>
      <c r="P674" s="1323"/>
      <c r="Q674" s="1323"/>
      <c r="R674" s="1323"/>
      <c r="S674" s="1323"/>
      <c r="T674" s="1323"/>
      <c r="U674" s="1323"/>
      <c r="V674" s="1323"/>
    </row>
    <row r="675" spans="2:22" x14ac:dyDescent="0.2">
      <c r="B675" s="1323"/>
      <c r="C675" s="1323"/>
      <c r="D675" s="365"/>
      <c r="E675" s="365"/>
      <c r="F675" s="1325"/>
      <c r="G675" s="1325"/>
      <c r="H675" s="1325"/>
      <c r="I675" s="1325"/>
      <c r="J675" s="1325"/>
      <c r="K675" s="1325"/>
      <c r="L675" s="1325"/>
      <c r="M675" s="1325"/>
      <c r="N675" s="365"/>
      <c r="O675" s="1331"/>
      <c r="P675" s="1323"/>
      <c r="Q675" s="1323"/>
      <c r="R675" s="1323"/>
      <c r="S675" s="1323"/>
      <c r="T675" s="1323"/>
      <c r="U675" s="1323"/>
      <c r="V675" s="1323"/>
    </row>
    <row r="676" spans="2:22" x14ac:dyDescent="0.2">
      <c r="B676" s="1323"/>
      <c r="C676" s="1323"/>
      <c r="D676" s="365"/>
      <c r="E676" s="365"/>
      <c r="F676" s="1325"/>
      <c r="G676" s="1325"/>
      <c r="H676" s="1325"/>
      <c r="I676" s="1325"/>
      <c r="J676" s="1325"/>
      <c r="K676" s="1325"/>
      <c r="L676" s="1325"/>
      <c r="M676" s="1325"/>
      <c r="N676" s="365"/>
      <c r="O676" s="1331"/>
      <c r="P676" s="1323"/>
      <c r="Q676" s="1323"/>
      <c r="R676" s="1323"/>
      <c r="S676" s="1323"/>
      <c r="T676" s="1323"/>
      <c r="U676" s="1323"/>
      <c r="V676" s="1323"/>
    </row>
    <row r="677" spans="2:22" x14ac:dyDescent="0.2">
      <c r="B677" s="1323"/>
      <c r="C677" s="1323"/>
      <c r="D677" s="365"/>
      <c r="E677" s="365"/>
      <c r="F677" s="1325"/>
      <c r="G677" s="1325"/>
      <c r="H677" s="1325"/>
      <c r="I677" s="1325"/>
      <c r="J677" s="1325"/>
      <c r="K677" s="1325"/>
      <c r="L677" s="1325"/>
      <c r="M677" s="1325"/>
      <c r="N677" s="365"/>
      <c r="O677" s="1331"/>
      <c r="P677" s="1323"/>
      <c r="Q677" s="1323"/>
      <c r="R677" s="1323"/>
      <c r="S677" s="1323"/>
      <c r="T677" s="1323"/>
      <c r="U677" s="1323"/>
      <c r="V677" s="1323"/>
    </row>
    <row r="678" spans="2:22" x14ac:dyDescent="0.2">
      <c r="B678" s="1323"/>
      <c r="C678" s="1323"/>
      <c r="D678" s="365"/>
      <c r="E678" s="365"/>
      <c r="F678" s="1325"/>
      <c r="G678" s="1325"/>
      <c r="H678" s="1325"/>
      <c r="I678" s="1325"/>
      <c r="J678" s="1325"/>
      <c r="K678" s="1325"/>
      <c r="L678" s="1325"/>
      <c r="M678" s="1325"/>
      <c r="N678" s="365"/>
      <c r="O678" s="1331"/>
      <c r="P678" s="1323"/>
      <c r="Q678" s="1323"/>
      <c r="R678" s="1323"/>
      <c r="S678" s="1323"/>
      <c r="T678" s="1323"/>
      <c r="U678" s="1323"/>
      <c r="V678" s="1323"/>
    </row>
    <row r="679" spans="2:22" x14ac:dyDescent="0.2">
      <c r="B679" s="1323"/>
      <c r="C679" s="1323"/>
      <c r="D679" s="365"/>
      <c r="E679" s="365"/>
      <c r="F679" s="1325"/>
      <c r="G679" s="1325"/>
      <c r="H679" s="1325"/>
      <c r="I679" s="1325"/>
      <c r="J679" s="1325"/>
      <c r="K679" s="1325"/>
      <c r="L679" s="1325"/>
      <c r="M679" s="1325"/>
      <c r="N679" s="365"/>
      <c r="O679" s="1331"/>
      <c r="P679" s="1323"/>
      <c r="Q679" s="1323"/>
      <c r="R679" s="1323"/>
      <c r="S679" s="1323"/>
      <c r="T679" s="1323"/>
      <c r="U679" s="1323"/>
      <c r="V679" s="1323"/>
    </row>
    <row r="680" spans="2:22" x14ac:dyDescent="0.2">
      <c r="B680" s="1323"/>
      <c r="C680" s="1323"/>
      <c r="D680" s="365"/>
      <c r="E680" s="365"/>
      <c r="F680" s="1325"/>
      <c r="G680" s="1325"/>
      <c r="H680" s="1325"/>
      <c r="I680" s="1325"/>
      <c r="J680" s="1325"/>
      <c r="K680" s="1325"/>
      <c r="L680" s="1325"/>
      <c r="M680" s="1325"/>
      <c r="N680" s="365"/>
      <c r="O680" s="1331"/>
      <c r="P680" s="1323"/>
      <c r="Q680" s="1323"/>
      <c r="R680" s="1323"/>
      <c r="S680" s="1323"/>
      <c r="T680" s="1323"/>
      <c r="U680" s="1323"/>
      <c r="V680" s="1323"/>
    </row>
    <row r="681" spans="2:22" x14ac:dyDescent="0.2">
      <c r="B681" s="1323"/>
      <c r="C681" s="1323"/>
      <c r="D681" s="365"/>
      <c r="E681" s="365"/>
      <c r="F681" s="1325"/>
      <c r="G681" s="1325"/>
      <c r="H681" s="1325"/>
      <c r="I681" s="1325"/>
      <c r="J681" s="1325"/>
      <c r="K681" s="1325"/>
      <c r="L681" s="1325"/>
      <c r="M681" s="1325"/>
      <c r="N681" s="365"/>
      <c r="O681" s="1331"/>
      <c r="P681" s="1323"/>
      <c r="Q681" s="1323"/>
      <c r="R681" s="1323"/>
      <c r="S681" s="1323"/>
      <c r="T681" s="1323"/>
      <c r="U681" s="1323"/>
      <c r="V681" s="1323"/>
    </row>
    <row r="682" spans="2:22" x14ac:dyDescent="0.2">
      <c r="B682" s="1323"/>
      <c r="C682" s="1323"/>
      <c r="D682" s="365"/>
      <c r="E682" s="365"/>
      <c r="F682" s="1325"/>
      <c r="G682" s="1325"/>
      <c r="H682" s="1325"/>
      <c r="I682" s="1325"/>
      <c r="J682" s="1325"/>
      <c r="K682" s="1325"/>
      <c r="L682" s="1325"/>
      <c r="M682" s="1325"/>
      <c r="N682" s="365"/>
      <c r="O682" s="1331"/>
      <c r="P682" s="1323"/>
      <c r="Q682" s="1323"/>
      <c r="R682" s="1323"/>
      <c r="S682" s="1323"/>
      <c r="T682" s="1323"/>
      <c r="U682" s="1323"/>
      <c r="V682" s="1323"/>
    </row>
    <row r="683" spans="2:22" x14ac:dyDescent="0.2">
      <c r="B683" s="1323"/>
      <c r="C683" s="1323"/>
      <c r="D683" s="365"/>
      <c r="E683" s="365"/>
      <c r="F683" s="1325"/>
      <c r="G683" s="1325"/>
      <c r="H683" s="1325"/>
      <c r="I683" s="1325"/>
      <c r="J683" s="1325"/>
      <c r="K683" s="1325"/>
      <c r="L683" s="1325"/>
      <c r="M683" s="1325"/>
      <c r="N683" s="365"/>
      <c r="O683" s="1331"/>
      <c r="P683" s="1323"/>
      <c r="Q683" s="1323"/>
      <c r="R683" s="1323"/>
      <c r="S683" s="1323"/>
      <c r="T683" s="1323"/>
      <c r="U683" s="1323"/>
      <c r="V683" s="1323"/>
    </row>
    <row r="684" spans="2:22" x14ac:dyDescent="0.2">
      <c r="B684" s="1323"/>
      <c r="C684" s="1323"/>
      <c r="D684" s="365"/>
      <c r="E684" s="365"/>
      <c r="F684" s="1325"/>
      <c r="G684" s="1325"/>
      <c r="H684" s="1325"/>
      <c r="I684" s="1325"/>
      <c r="J684" s="1325"/>
      <c r="K684" s="1325"/>
      <c r="L684" s="1325"/>
      <c r="M684" s="1325"/>
      <c r="N684" s="365"/>
      <c r="O684" s="1331"/>
      <c r="P684" s="1323"/>
      <c r="Q684" s="1323"/>
      <c r="R684" s="1323"/>
      <c r="S684" s="1323"/>
      <c r="T684" s="1323"/>
      <c r="U684" s="1323"/>
      <c r="V684" s="1323"/>
    </row>
    <row r="685" spans="2:22" x14ac:dyDescent="0.2">
      <c r="B685" s="1323"/>
      <c r="C685" s="1323"/>
      <c r="D685" s="365"/>
      <c r="E685" s="365"/>
      <c r="F685" s="1325"/>
      <c r="G685" s="1325"/>
      <c r="H685" s="1325"/>
      <c r="I685" s="1325"/>
      <c r="J685" s="1325"/>
      <c r="K685" s="1325"/>
      <c r="L685" s="1325"/>
      <c r="M685" s="1325"/>
      <c r="N685" s="365"/>
      <c r="O685" s="1331"/>
      <c r="P685" s="1323"/>
      <c r="Q685" s="1323"/>
      <c r="R685" s="1323"/>
      <c r="S685" s="1323"/>
      <c r="T685" s="1323"/>
      <c r="U685" s="1323"/>
      <c r="V685" s="1323"/>
    </row>
    <row r="686" spans="2:22" x14ac:dyDescent="0.2">
      <c r="B686" s="1323"/>
      <c r="C686" s="1323"/>
      <c r="D686" s="365"/>
      <c r="E686" s="365"/>
      <c r="F686" s="1325"/>
      <c r="G686" s="1325"/>
      <c r="H686" s="1325"/>
      <c r="I686" s="1325"/>
      <c r="J686" s="1325"/>
      <c r="K686" s="1325"/>
      <c r="L686" s="1325"/>
      <c r="M686" s="1325"/>
      <c r="N686" s="365"/>
      <c r="O686" s="1331"/>
      <c r="P686" s="1323"/>
      <c r="Q686" s="1323"/>
      <c r="R686" s="1323"/>
      <c r="S686" s="1323"/>
      <c r="T686" s="1323"/>
      <c r="U686" s="1323"/>
      <c r="V686" s="1323"/>
    </row>
    <row r="687" spans="2:22" x14ac:dyDescent="0.2">
      <c r="B687" s="1323"/>
      <c r="C687" s="1323"/>
      <c r="D687" s="365"/>
      <c r="E687" s="365"/>
      <c r="F687" s="1325"/>
      <c r="G687" s="1325"/>
      <c r="H687" s="1325"/>
      <c r="I687" s="1325"/>
      <c r="J687" s="1325"/>
      <c r="K687" s="1325"/>
      <c r="L687" s="1325"/>
      <c r="M687" s="1325"/>
      <c r="N687" s="365"/>
      <c r="O687" s="1331"/>
      <c r="P687" s="1323"/>
      <c r="Q687" s="1323"/>
      <c r="R687" s="1323"/>
      <c r="S687" s="1323"/>
      <c r="T687" s="1323"/>
      <c r="U687" s="1323"/>
      <c r="V687" s="1323"/>
    </row>
    <row r="688" spans="2:22" x14ac:dyDescent="0.2">
      <c r="B688" s="1323"/>
      <c r="C688" s="1323"/>
      <c r="D688" s="365"/>
      <c r="E688" s="365"/>
      <c r="F688" s="1325"/>
      <c r="G688" s="1325"/>
      <c r="H688" s="1325"/>
      <c r="I688" s="1325"/>
      <c r="J688" s="1325"/>
      <c r="K688" s="1325"/>
      <c r="L688" s="1325"/>
      <c r="M688" s="1325"/>
      <c r="N688" s="365"/>
      <c r="O688" s="1331"/>
      <c r="P688" s="1323"/>
      <c r="Q688" s="1323"/>
      <c r="R688" s="1323"/>
      <c r="S688" s="1323"/>
      <c r="T688" s="1323"/>
      <c r="U688" s="1323"/>
      <c r="V688" s="1323"/>
    </row>
    <row r="689" spans="2:22" x14ac:dyDescent="0.2">
      <c r="B689" s="1323"/>
      <c r="C689" s="1323"/>
      <c r="D689" s="365"/>
      <c r="E689" s="365"/>
      <c r="F689" s="1325"/>
      <c r="G689" s="1325"/>
      <c r="H689" s="1325"/>
      <c r="I689" s="1325"/>
      <c r="J689" s="1325"/>
      <c r="K689" s="1325"/>
      <c r="L689" s="1325"/>
      <c r="M689" s="1325"/>
      <c r="N689" s="365"/>
      <c r="O689" s="1331"/>
      <c r="P689" s="1323"/>
      <c r="Q689" s="1323"/>
      <c r="R689" s="1323"/>
      <c r="S689" s="1323"/>
      <c r="T689" s="1323"/>
      <c r="U689" s="1323"/>
      <c r="V689" s="1323"/>
    </row>
    <row r="690" spans="2:22" x14ac:dyDescent="0.2">
      <c r="B690" s="1323"/>
      <c r="C690" s="1323"/>
      <c r="D690" s="365"/>
      <c r="E690" s="365"/>
      <c r="F690" s="1325"/>
      <c r="G690" s="1325"/>
      <c r="H690" s="1325"/>
      <c r="I690" s="1325"/>
      <c r="J690" s="1325"/>
      <c r="K690" s="1325"/>
      <c r="L690" s="1325"/>
      <c r="M690" s="1325"/>
      <c r="N690" s="365"/>
      <c r="O690" s="1331"/>
      <c r="P690" s="1323"/>
      <c r="Q690" s="1323"/>
      <c r="R690" s="1323"/>
      <c r="S690" s="1323"/>
      <c r="T690" s="1323"/>
      <c r="U690" s="1323"/>
      <c r="V690" s="1323"/>
    </row>
    <row r="691" spans="2:22" x14ac:dyDescent="0.2">
      <c r="B691" s="1323"/>
      <c r="C691" s="1323"/>
      <c r="D691" s="365"/>
      <c r="E691" s="365"/>
      <c r="F691" s="1325"/>
      <c r="G691" s="1325"/>
      <c r="H691" s="1325"/>
      <c r="I691" s="1325"/>
      <c r="J691" s="1325"/>
      <c r="K691" s="1325"/>
      <c r="L691" s="1325"/>
      <c r="M691" s="1325"/>
      <c r="N691" s="365"/>
      <c r="O691" s="1331"/>
      <c r="P691" s="1323"/>
      <c r="Q691" s="1323"/>
      <c r="R691" s="1323"/>
      <c r="S691" s="1323"/>
      <c r="T691" s="1323"/>
      <c r="U691" s="1323"/>
      <c r="V691" s="1323"/>
    </row>
    <row r="692" spans="2:22" x14ac:dyDescent="0.2">
      <c r="B692" s="1323"/>
      <c r="C692" s="1323"/>
      <c r="D692" s="365"/>
      <c r="E692" s="365"/>
      <c r="F692" s="1325"/>
      <c r="G692" s="1325"/>
      <c r="H692" s="1325"/>
      <c r="I692" s="1325"/>
      <c r="J692" s="1325"/>
      <c r="K692" s="1325"/>
      <c r="L692" s="1325"/>
      <c r="M692" s="1325"/>
      <c r="N692" s="365"/>
      <c r="O692" s="1331"/>
      <c r="P692" s="1323"/>
      <c r="Q692" s="1323"/>
      <c r="R692" s="1323"/>
      <c r="S692" s="1323"/>
      <c r="T692" s="1323"/>
      <c r="U692" s="1323"/>
      <c r="V692" s="1323"/>
    </row>
    <row r="693" spans="2:22" x14ac:dyDescent="0.2">
      <c r="B693" s="1323"/>
      <c r="C693" s="1323"/>
      <c r="D693" s="365"/>
      <c r="E693" s="365"/>
      <c r="F693" s="1325"/>
      <c r="G693" s="1325"/>
      <c r="H693" s="1325"/>
      <c r="I693" s="1325"/>
      <c r="J693" s="1325"/>
      <c r="K693" s="1325"/>
      <c r="L693" s="1325"/>
      <c r="M693" s="1325"/>
      <c r="N693" s="365"/>
      <c r="O693" s="1331"/>
      <c r="P693" s="1323"/>
      <c r="Q693" s="1323"/>
      <c r="R693" s="1323"/>
      <c r="S693" s="1323"/>
      <c r="T693" s="1323"/>
      <c r="U693" s="1323"/>
      <c r="V693" s="1323"/>
    </row>
    <row r="694" spans="2:22" x14ac:dyDescent="0.2">
      <c r="B694" s="1323"/>
      <c r="C694" s="1323"/>
      <c r="D694" s="365"/>
      <c r="E694" s="365"/>
      <c r="F694" s="1325"/>
      <c r="G694" s="1325"/>
      <c r="H694" s="1325"/>
      <c r="I694" s="1325"/>
      <c r="J694" s="1325"/>
      <c r="K694" s="1325"/>
      <c r="L694" s="1325"/>
      <c r="M694" s="1325"/>
      <c r="N694" s="365"/>
      <c r="O694" s="1331"/>
      <c r="P694" s="1323"/>
      <c r="Q694" s="1323"/>
      <c r="R694" s="1323"/>
      <c r="S694" s="1323"/>
      <c r="T694" s="1323"/>
      <c r="U694" s="1323"/>
      <c r="V694" s="1323"/>
    </row>
    <row r="695" spans="2:22" x14ac:dyDescent="0.2">
      <c r="B695" s="1323"/>
      <c r="C695" s="1323"/>
      <c r="D695" s="365"/>
      <c r="E695" s="365"/>
      <c r="F695" s="1325"/>
      <c r="G695" s="1325"/>
      <c r="H695" s="1325"/>
      <c r="I695" s="1325"/>
      <c r="J695" s="1325"/>
      <c r="K695" s="1325"/>
      <c r="L695" s="1325"/>
      <c r="M695" s="1325"/>
      <c r="N695" s="365"/>
      <c r="O695" s="1331"/>
      <c r="P695" s="1323"/>
      <c r="Q695" s="1323"/>
      <c r="R695" s="1323"/>
      <c r="S695" s="1323"/>
      <c r="T695" s="1323"/>
      <c r="U695" s="1323"/>
      <c r="V695" s="1323"/>
    </row>
    <row r="696" spans="2:22" x14ac:dyDescent="0.2">
      <c r="B696" s="1323"/>
      <c r="C696" s="1323"/>
      <c r="D696" s="365"/>
      <c r="E696" s="365"/>
      <c r="F696" s="1325"/>
      <c r="G696" s="1325"/>
      <c r="H696" s="1325"/>
      <c r="I696" s="1325"/>
      <c r="J696" s="1325"/>
      <c r="K696" s="1325"/>
      <c r="L696" s="1325"/>
      <c r="M696" s="1325"/>
      <c r="N696" s="365"/>
      <c r="O696" s="1331"/>
      <c r="P696" s="1323"/>
      <c r="Q696" s="1323"/>
      <c r="R696" s="1323"/>
      <c r="S696" s="1323"/>
      <c r="T696" s="1323"/>
      <c r="U696" s="1323"/>
      <c r="V696" s="1323"/>
    </row>
    <row r="697" spans="2:22" x14ac:dyDescent="0.2">
      <c r="B697" s="1323"/>
      <c r="C697" s="1323"/>
      <c r="D697" s="365"/>
      <c r="E697" s="365"/>
      <c r="F697" s="1325"/>
      <c r="G697" s="1325"/>
      <c r="H697" s="1325"/>
      <c r="I697" s="1325"/>
      <c r="J697" s="1325"/>
      <c r="K697" s="1325"/>
      <c r="L697" s="1325"/>
      <c r="M697" s="1325"/>
      <c r="N697" s="365"/>
      <c r="O697" s="1331"/>
      <c r="P697" s="1323"/>
      <c r="Q697" s="1323"/>
      <c r="R697" s="1323"/>
      <c r="S697" s="1323"/>
      <c r="T697" s="1323"/>
      <c r="U697" s="1323"/>
      <c r="V697" s="1323"/>
    </row>
    <row r="698" spans="2:22" x14ac:dyDescent="0.2">
      <c r="B698" s="1323"/>
      <c r="C698" s="1323"/>
      <c r="D698" s="365"/>
      <c r="E698" s="365"/>
      <c r="F698" s="1325"/>
      <c r="G698" s="1325"/>
      <c r="H698" s="1325"/>
      <c r="I698" s="1325"/>
      <c r="J698" s="1325"/>
      <c r="K698" s="1325"/>
      <c r="L698" s="1325"/>
      <c r="M698" s="1325"/>
      <c r="N698" s="365"/>
      <c r="O698" s="1331"/>
      <c r="P698" s="1323"/>
      <c r="Q698" s="1323"/>
      <c r="R698" s="1323"/>
      <c r="S698" s="1323"/>
      <c r="T698" s="1323"/>
      <c r="U698" s="1323"/>
      <c r="V698" s="1323"/>
    </row>
    <row r="699" spans="2:22" x14ac:dyDescent="0.2">
      <c r="B699" s="1323"/>
      <c r="C699" s="1323"/>
      <c r="D699" s="365"/>
      <c r="E699" s="365"/>
      <c r="F699" s="1325"/>
      <c r="G699" s="1325"/>
      <c r="H699" s="1325"/>
      <c r="I699" s="1325"/>
      <c r="J699" s="1325"/>
      <c r="K699" s="1325"/>
      <c r="L699" s="1325"/>
      <c r="M699" s="1325"/>
      <c r="N699" s="365"/>
      <c r="O699" s="1331"/>
      <c r="P699" s="1323"/>
      <c r="Q699" s="1323"/>
      <c r="R699" s="1323"/>
      <c r="S699" s="1323"/>
      <c r="T699" s="1323"/>
      <c r="U699" s="1323"/>
      <c r="V699" s="1323"/>
    </row>
    <row r="700" spans="2:22" x14ac:dyDescent="0.2">
      <c r="B700" s="1323"/>
      <c r="C700" s="1323"/>
      <c r="D700" s="365"/>
      <c r="E700" s="365"/>
      <c r="F700" s="1325"/>
      <c r="G700" s="1325"/>
      <c r="H700" s="1325"/>
      <c r="I700" s="1325"/>
      <c r="J700" s="1325"/>
      <c r="K700" s="1325"/>
      <c r="L700" s="1325"/>
      <c r="M700" s="1325"/>
      <c r="N700" s="365"/>
      <c r="O700" s="1331"/>
      <c r="P700" s="1323"/>
      <c r="Q700" s="1323"/>
      <c r="R700" s="1323"/>
      <c r="S700" s="1323"/>
      <c r="T700" s="1323"/>
      <c r="U700" s="1323"/>
      <c r="V700" s="1323"/>
    </row>
    <row r="701" spans="2:22" x14ac:dyDescent="0.2">
      <c r="B701" s="1323"/>
      <c r="C701" s="1323"/>
      <c r="D701" s="365"/>
      <c r="E701" s="365"/>
      <c r="F701" s="1325"/>
      <c r="G701" s="1325"/>
      <c r="H701" s="1325"/>
      <c r="I701" s="1325"/>
      <c r="J701" s="1325"/>
      <c r="K701" s="1325"/>
      <c r="L701" s="1325"/>
      <c r="M701" s="1325"/>
      <c r="N701" s="365"/>
      <c r="O701" s="1331"/>
      <c r="P701" s="1323"/>
      <c r="Q701" s="1323"/>
      <c r="R701" s="1323"/>
      <c r="S701" s="1323"/>
      <c r="T701" s="1323"/>
      <c r="U701" s="1323"/>
      <c r="V701" s="1323"/>
    </row>
    <row r="702" spans="2:22" x14ac:dyDescent="0.2">
      <c r="B702" s="1323"/>
      <c r="C702" s="1323"/>
      <c r="D702" s="365"/>
      <c r="E702" s="365"/>
      <c r="F702" s="1325"/>
      <c r="G702" s="1325"/>
      <c r="H702" s="1325"/>
      <c r="I702" s="1325"/>
      <c r="J702" s="1325"/>
      <c r="K702" s="1325"/>
      <c r="L702" s="1325"/>
      <c r="M702" s="1325"/>
      <c r="N702" s="365"/>
      <c r="O702" s="1331"/>
      <c r="P702" s="1323"/>
      <c r="Q702" s="1323"/>
      <c r="R702" s="1323"/>
      <c r="S702" s="1323"/>
      <c r="T702" s="1323"/>
      <c r="U702" s="1323"/>
      <c r="V702" s="1323"/>
    </row>
    <row r="703" spans="2:22" x14ac:dyDescent="0.2">
      <c r="B703" s="1323"/>
      <c r="C703" s="1323"/>
      <c r="D703" s="365"/>
      <c r="E703" s="365"/>
      <c r="F703" s="1325"/>
      <c r="G703" s="1325"/>
      <c r="H703" s="1325"/>
      <c r="I703" s="1325"/>
      <c r="J703" s="1325"/>
      <c r="K703" s="1325"/>
      <c r="L703" s="1325"/>
      <c r="M703" s="1325"/>
      <c r="N703" s="365"/>
      <c r="O703" s="1331"/>
      <c r="P703" s="1323"/>
      <c r="Q703" s="1323"/>
      <c r="R703" s="1323"/>
      <c r="S703" s="1323"/>
      <c r="T703" s="1323"/>
      <c r="U703" s="1323"/>
      <c r="V703" s="1323"/>
    </row>
    <row r="704" spans="2:22" x14ac:dyDescent="0.2">
      <c r="B704" s="1323"/>
      <c r="C704" s="1323"/>
      <c r="D704" s="365"/>
      <c r="E704" s="365"/>
      <c r="F704" s="1325"/>
      <c r="G704" s="1325"/>
      <c r="H704" s="1325"/>
      <c r="I704" s="1325"/>
      <c r="J704" s="1325"/>
      <c r="K704" s="1325"/>
      <c r="L704" s="1325"/>
      <c r="M704" s="1325"/>
      <c r="N704" s="365"/>
      <c r="O704" s="1331"/>
      <c r="P704" s="1323"/>
      <c r="Q704" s="1323"/>
      <c r="R704" s="1323"/>
      <c r="S704" s="1323"/>
      <c r="T704" s="1323"/>
      <c r="U704" s="1323"/>
      <c r="V704" s="1323"/>
    </row>
    <row r="705" spans="2:22" x14ac:dyDescent="0.2">
      <c r="B705" s="1323"/>
      <c r="C705" s="1323"/>
      <c r="D705" s="365"/>
      <c r="E705" s="365"/>
      <c r="F705" s="1325"/>
      <c r="G705" s="1325"/>
      <c r="H705" s="1325"/>
      <c r="I705" s="1325"/>
      <c r="J705" s="1325"/>
      <c r="K705" s="1325"/>
      <c r="L705" s="1325"/>
      <c r="M705" s="1325"/>
      <c r="N705" s="365"/>
      <c r="O705" s="1331"/>
      <c r="P705" s="1323"/>
      <c r="Q705" s="1323"/>
      <c r="R705" s="1323"/>
      <c r="S705" s="1323"/>
      <c r="T705" s="1323"/>
      <c r="U705" s="1323"/>
      <c r="V705" s="1323"/>
    </row>
    <row r="706" spans="2:22" x14ac:dyDescent="0.2">
      <c r="B706" s="1323"/>
      <c r="C706" s="1323"/>
      <c r="D706" s="365"/>
      <c r="E706" s="365"/>
      <c r="F706" s="1325"/>
      <c r="G706" s="1325"/>
      <c r="H706" s="1325"/>
      <c r="I706" s="1325"/>
      <c r="J706" s="1325"/>
      <c r="K706" s="1325"/>
      <c r="L706" s="1325"/>
      <c r="M706" s="1325"/>
      <c r="N706" s="365"/>
      <c r="O706" s="1331"/>
      <c r="P706" s="1323"/>
      <c r="Q706" s="1323"/>
      <c r="R706" s="1323"/>
      <c r="S706" s="1323"/>
      <c r="T706" s="1323"/>
      <c r="U706" s="1323"/>
      <c r="V706" s="1323"/>
    </row>
    <row r="707" spans="2:22" x14ac:dyDescent="0.2">
      <c r="B707" s="1323"/>
      <c r="C707" s="1323"/>
      <c r="D707" s="365"/>
      <c r="E707" s="365"/>
      <c r="F707" s="1325"/>
      <c r="G707" s="1325"/>
      <c r="H707" s="1325"/>
      <c r="I707" s="1325"/>
      <c r="J707" s="1325"/>
      <c r="K707" s="1325"/>
      <c r="L707" s="1325"/>
      <c r="M707" s="1325"/>
      <c r="N707" s="365"/>
      <c r="O707" s="1331"/>
      <c r="P707" s="1323"/>
      <c r="Q707" s="1323"/>
      <c r="R707" s="1323"/>
      <c r="S707" s="1323"/>
      <c r="T707" s="1323"/>
      <c r="U707" s="1323"/>
      <c r="V707" s="1323"/>
    </row>
    <row r="708" spans="2:22" x14ac:dyDescent="0.2">
      <c r="B708" s="1323"/>
      <c r="C708" s="1323"/>
      <c r="D708" s="365"/>
      <c r="E708" s="365"/>
      <c r="F708" s="1325"/>
      <c r="G708" s="1325"/>
      <c r="H708" s="1325"/>
      <c r="I708" s="1325"/>
      <c r="J708" s="1325"/>
      <c r="K708" s="1325"/>
      <c r="L708" s="1325"/>
      <c r="M708" s="1325"/>
      <c r="N708" s="365"/>
      <c r="O708" s="1331"/>
      <c r="P708" s="1323"/>
      <c r="Q708" s="1323"/>
      <c r="R708" s="1323"/>
      <c r="S708" s="1323"/>
      <c r="T708" s="1323"/>
      <c r="U708" s="1323"/>
      <c r="V708" s="1323"/>
    </row>
    <row r="709" spans="2:22" x14ac:dyDescent="0.2">
      <c r="B709" s="1323"/>
      <c r="C709" s="1323"/>
      <c r="D709" s="365"/>
      <c r="E709" s="365"/>
      <c r="F709" s="1325"/>
      <c r="G709" s="1325"/>
      <c r="H709" s="1325"/>
      <c r="I709" s="1325"/>
      <c r="J709" s="1325"/>
      <c r="K709" s="1325"/>
      <c r="L709" s="1325"/>
      <c r="M709" s="1325"/>
      <c r="N709" s="365"/>
      <c r="O709" s="1331"/>
      <c r="P709" s="1323"/>
      <c r="Q709" s="1323"/>
      <c r="R709" s="1323"/>
      <c r="S709" s="1323"/>
      <c r="T709" s="1323"/>
      <c r="U709" s="1323"/>
      <c r="V709" s="1323"/>
    </row>
    <row r="710" spans="2:22" x14ac:dyDescent="0.2">
      <c r="B710" s="1323"/>
      <c r="C710" s="1323"/>
      <c r="D710" s="365"/>
      <c r="E710" s="365"/>
      <c r="F710" s="1325"/>
      <c r="G710" s="1325"/>
      <c r="H710" s="1325"/>
      <c r="I710" s="1325"/>
      <c r="J710" s="1325"/>
      <c r="K710" s="1325"/>
      <c r="L710" s="1325"/>
      <c r="M710" s="1325"/>
      <c r="N710" s="365"/>
      <c r="O710" s="1331"/>
      <c r="P710" s="1323"/>
      <c r="Q710" s="1323"/>
      <c r="R710" s="1323"/>
      <c r="S710" s="1323"/>
      <c r="T710" s="1323"/>
      <c r="U710" s="1323"/>
      <c r="V710" s="1323"/>
    </row>
    <row r="711" spans="2:22" x14ac:dyDescent="0.2">
      <c r="B711" s="1323"/>
      <c r="C711" s="1323"/>
      <c r="D711" s="365"/>
      <c r="E711" s="365"/>
      <c r="F711" s="1325"/>
      <c r="G711" s="1325"/>
      <c r="H711" s="1325"/>
      <c r="I711" s="1325"/>
      <c r="J711" s="1325"/>
      <c r="K711" s="1325"/>
      <c r="L711" s="1325"/>
      <c r="M711" s="1325"/>
      <c r="N711" s="365"/>
      <c r="O711" s="1331"/>
      <c r="P711" s="1323"/>
      <c r="Q711" s="1323"/>
      <c r="R711" s="1323"/>
      <c r="S711" s="1323"/>
      <c r="T711" s="1323"/>
      <c r="U711" s="1323"/>
      <c r="V711" s="1323"/>
    </row>
    <row r="712" spans="2:22" x14ac:dyDescent="0.2">
      <c r="B712" s="1323"/>
      <c r="C712" s="1323"/>
      <c r="D712" s="365"/>
      <c r="E712" s="365"/>
      <c r="F712" s="1325"/>
      <c r="G712" s="1325"/>
      <c r="H712" s="1325"/>
      <c r="I712" s="1325"/>
      <c r="J712" s="1325"/>
      <c r="K712" s="1325"/>
      <c r="L712" s="1325"/>
      <c r="M712" s="1325"/>
      <c r="N712" s="365"/>
      <c r="O712" s="1331"/>
      <c r="P712" s="1323"/>
      <c r="Q712" s="1323"/>
      <c r="R712" s="1323"/>
      <c r="S712" s="1323"/>
      <c r="T712" s="1323"/>
      <c r="U712" s="1323"/>
      <c r="V712" s="1323"/>
    </row>
    <row r="713" spans="2:22" x14ac:dyDescent="0.2">
      <c r="B713" s="1323"/>
      <c r="C713" s="1323"/>
      <c r="D713" s="365"/>
      <c r="E713" s="365"/>
      <c r="F713" s="1325"/>
      <c r="G713" s="1325"/>
      <c r="H713" s="1325"/>
      <c r="I713" s="1325"/>
      <c r="J713" s="1325"/>
      <c r="K713" s="1325"/>
      <c r="L713" s="1325"/>
      <c r="M713" s="1325"/>
      <c r="N713" s="365"/>
      <c r="O713" s="1331"/>
      <c r="P713" s="1323"/>
      <c r="Q713" s="1323"/>
      <c r="R713" s="1323"/>
      <c r="S713" s="1323"/>
      <c r="T713" s="1323"/>
      <c r="U713" s="1323"/>
      <c r="V713" s="1323"/>
    </row>
    <row r="714" spans="2:22" x14ac:dyDescent="0.2">
      <c r="B714" s="1323"/>
      <c r="C714" s="1323"/>
      <c r="D714" s="365"/>
      <c r="E714" s="365"/>
      <c r="F714" s="1325"/>
      <c r="G714" s="1325"/>
      <c r="H714" s="1325"/>
      <c r="I714" s="1325"/>
      <c r="J714" s="1325"/>
      <c r="K714" s="1325"/>
      <c r="L714" s="1325"/>
      <c r="M714" s="1325"/>
      <c r="N714" s="365"/>
      <c r="O714" s="1331"/>
      <c r="P714" s="1323"/>
      <c r="Q714" s="1323"/>
      <c r="R714" s="1323"/>
      <c r="S714" s="1323"/>
      <c r="T714" s="1323"/>
      <c r="U714" s="1323"/>
      <c r="V714" s="1323"/>
    </row>
    <row r="715" spans="2:22" x14ac:dyDescent="0.2">
      <c r="B715" s="1323"/>
      <c r="C715" s="1323"/>
      <c r="D715" s="365"/>
      <c r="E715" s="365"/>
      <c r="F715" s="1325"/>
      <c r="G715" s="1325"/>
      <c r="H715" s="1325"/>
      <c r="I715" s="1325"/>
      <c r="J715" s="1325"/>
      <c r="K715" s="1325"/>
      <c r="L715" s="1325"/>
      <c r="M715" s="1325"/>
      <c r="N715" s="365"/>
      <c r="O715" s="1331"/>
      <c r="P715" s="1323"/>
      <c r="Q715" s="1323"/>
      <c r="R715" s="1323"/>
      <c r="S715" s="1323"/>
      <c r="T715" s="1323"/>
      <c r="U715" s="1323"/>
      <c r="V715" s="1323"/>
    </row>
    <row r="716" spans="2:22" x14ac:dyDescent="0.2">
      <c r="B716" s="1323"/>
      <c r="C716" s="1323"/>
      <c r="D716" s="365"/>
      <c r="E716" s="365"/>
      <c r="F716" s="1325"/>
      <c r="G716" s="1325"/>
      <c r="H716" s="1325"/>
      <c r="I716" s="1325"/>
      <c r="J716" s="1325"/>
      <c r="K716" s="1325"/>
      <c r="L716" s="1325"/>
      <c r="M716" s="1325"/>
      <c r="N716" s="365"/>
      <c r="O716" s="1331"/>
      <c r="P716" s="1323"/>
      <c r="Q716" s="1323"/>
      <c r="R716" s="1323"/>
      <c r="S716" s="1323"/>
      <c r="T716" s="1323"/>
      <c r="U716" s="1323"/>
      <c r="V716" s="1323"/>
    </row>
    <row r="717" spans="2:22" x14ac:dyDescent="0.2">
      <c r="B717" s="1323"/>
      <c r="C717" s="1323"/>
      <c r="D717" s="365"/>
      <c r="E717" s="365"/>
      <c r="F717" s="1325"/>
      <c r="G717" s="1325"/>
      <c r="H717" s="1325"/>
      <c r="I717" s="1325"/>
      <c r="J717" s="1325"/>
      <c r="K717" s="1325"/>
      <c r="L717" s="1325"/>
      <c r="M717" s="1325"/>
      <c r="N717" s="365"/>
      <c r="O717" s="1331"/>
      <c r="P717" s="1323"/>
      <c r="Q717" s="1323"/>
      <c r="R717" s="1323"/>
      <c r="S717" s="1323"/>
      <c r="T717" s="1323"/>
      <c r="U717" s="1323"/>
      <c r="V717" s="1323"/>
    </row>
    <row r="718" spans="2:22" x14ac:dyDescent="0.2">
      <c r="B718" s="1323"/>
      <c r="C718" s="1323"/>
      <c r="D718" s="365"/>
      <c r="E718" s="365"/>
      <c r="F718" s="1325"/>
      <c r="G718" s="1325"/>
      <c r="H718" s="1325"/>
      <c r="I718" s="1325"/>
      <c r="J718" s="1325"/>
      <c r="K718" s="1325"/>
      <c r="L718" s="1325"/>
      <c r="M718" s="1325"/>
      <c r="N718" s="365"/>
      <c r="O718" s="1331"/>
      <c r="P718" s="1323"/>
      <c r="Q718" s="1323"/>
      <c r="R718" s="1323"/>
      <c r="S718" s="1323"/>
      <c r="T718" s="1323"/>
      <c r="U718" s="1323"/>
      <c r="V718" s="1323"/>
    </row>
    <row r="719" spans="2:22" x14ac:dyDescent="0.2">
      <c r="B719" s="1323"/>
      <c r="C719" s="1323"/>
      <c r="D719" s="365"/>
      <c r="E719" s="365"/>
      <c r="F719" s="1325"/>
      <c r="G719" s="1325"/>
      <c r="H719" s="1325"/>
      <c r="I719" s="1325"/>
      <c r="J719" s="1325"/>
      <c r="K719" s="1325"/>
      <c r="L719" s="1325"/>
      <c r="M719" s="1325"/>
      <c r="N719" s="365"/>
      <c r="O719" s="1331"/>
      <c r="P719" s="1323"/>
      <c r="Q719" s="1323"/>
      <c r="R719" s="1323"/>
      <c r="S719" s="1323"/>
      <c r="T719" s="1323"/>
      <c r="U719" s="1323"/>
      <c r="V719" s="1323"/>
    </row>
    <row r="720" spans="2:22" x14ac:dyDescent="0.2">
      <c r="B720" s="1323"/>
      <c r="C720" s="1323"/>
      <c r="D720" s="365"/>
      <c r="E720" s="365"/>
      <c r="F720" s="1325"/>
      <c r="G720" s="1325"/>
      <c r="H720" s="1325"/>
      <c r="I720" s="1325"/>
      <c r="J720" s="1325"/>
      <c r="K720" s="1325"/>
      <c r="L720" s="1325"/>
      <c r="M720" s="1325"/>
      <c r="N720" s="365"/>
      <c r="O720" s="1331"/>
      <c r="P720" s="1323"/>
      <c r="Q720" s="1323"/>
      <c r="R720" s="1323"/>
      <c r="S720" s="1323"/>
      <c r="T720" s="1323"/>
      <c r="U720" s="1323"/>
      <c r="V720" s="1323"/>
    </row>
    <row r="721" spans="2:22" x14ac:dyDescent="0.2">
      <c r="B721" s="1323"/>
      <c r="C721" s="1323"/>
      <c r="D721" s="365"/>
      <c r="E721" s="365"/>
      <c r="F721" s="1325"/>
      <c r="G721" s="1325"/>
      <c r="H721" s="1325"/>
      <c r="I721" s="1325"/>
      <c r="J721" s="1325"/>
      <c r="K721" s="1325"/>
      <c r="L721" s="1325"/>
      <c r="M721" s="1325"/>
      <c r="N721" s="365"/>
      <c r="O721" s="1331"/>
      <c r="P721" s="1323"/>
      <c r="Q721" s="1323"/>
      <c r="R721" s="1323"/>
      <c r="S721" s="1323"/>
      <c r="T721" s="1323"/>
      <c r="U721" s="1323"/>
      <c r="V721" s="1323"/>
    </row>
    <row r="722" spans="2:22" x14ac:dyDescent="0.2">
      <c r="B722" s="1323"/>
      <c r="C722" s="1323"/>
      <c r="D722" s="365"/>
      <c r="E722" s="365"/>
      <c r="F722" s="1325"/>
      <c r="G722" s="1325"/>
      <c r="H722" s="1325"/>
      <c r="I722" s="1325"/>
      <c r="J722" s="1325"/>
      <c r="K722" s="1325"/>
      <c r="L722" s="1325"/>
      <c r="M722" s="1325"/>
      <c r="N722" s="365"/>
      <c r="O722" s="1331"/>
      <c r="P722" s="1323"/>
      <c r="Q722" s="1323"/>
      <c r="R722" s="1323"/>
      <c r="S722" s="1323"/>
      <c r="T722" s="1323"/>
      <c r="U722" s="1323"/>
      <c r="V722" s="1323"/>
    </row>
    <row r="723" spans="2:22" x14ac:dyDescent="0.2">
      <c r="B723" s="1323"/>
      <c r="C723" s="1323"/>
      <c r="D723" s="365"/>
      <c r="E723" s="365"/>
      <c r="F723" s="1325"/>
      <c r="G723" s="1325"/>
      <c r="H723" s="1325"/>
      <c r="I723" s="1325"/>
      <c r="J723" s="1325"/>
      <c r="K723" s="1325"/>
      <c r="L723" s="1325"/>
      <c r="M723" s="1325"/>
      <c r="N723" s="365"/>
      <c r="O723" s="1331"/>
      <c r="P723" s="1323"/>
      <c r="Q723" s="1323"/>
      <c r="R723" s="1323"/>
      <c r="S723" s="1323"/>
      <c r="T723" s="1323"/>
      <c r="U723" s="1323"/>
      <c r="V723" s="1323"/>
    </row>
    <row r="724" spans="2:22" x14ac:dyDescent="0.2">
      <c r="B724" s="1323"/>
      <c r="C724" s="1323"/>
      <c r="D724" s="365"/>
      <c r="E724" s="365"/>
      <c r="F724" s="1325"/>
      <c r="G724" s="1325"/>
      <c r="H724" s="1325"/>
      <c r="I724" s="1325"/>
      <c r="J724" s="1325"/>
      <c r="K724" s="1325"/>
      <c r="L724" s="1325"/>
      <c r="M724" s="1325"/>
      <c r="N724" s="365"/>
      <c r="O724" s="1331"/>
      <c r="P724" s="1323"/>
      <c r="Q724" s="1323"/>
      <c r="R724" s="1323"/>
      <c r="S724" s="1323"/>
      <c r="T724" s="1323"/>
      <c r="U724" s="1323"/>
      <c r="V724" s="1323"/>
    </row>
    <row r="725" spans="2:22" x14ac:dyDescent="0.2">
      <c r="B725" s="1323"/>
      <c r="C725" s="1323"/>
      <c r="D725" s="365"/>
      <c r="E725" s="365"/>
      <c r="F725" s="1325"/>
      <c r="G725" s="1325"/>
      <c r="H725" s="1325"/>
      <c r="I725" s="1325"/>
      <c r="J725" s="1325"/>
      <c r="K725" s="1325"/>
      <c r="L725" s="1325"/>
      <c r="M725" s="1325"/>
      <c r="N725" s="365"/>
      <c r="O725" s="1331"/>
      <c r="P725" s="1323"/>
      <c r="Q725" s="1323"/>
      <c r="R725" s="1323"/>
      <c r="S725" s="1323"/>
      <c r="T725" s="1323"/>
      <c r="U725" s="1323"/>
      <c r="V725" s="1323"/>
    </row>
    <row r="726" spans="2:22" x14ac:dyDescent="0.2">
      <c r="B726" s="1323"/>
      <c r="C726" s="1323"/>
      <c r="D726" s="365"/>
      <c r="E726" s="365"/>
      <c r="F726" s="1325"/>
      <c r="G726" s="1325"/>
      <c r="H726" s="1325"/>
      <c r="I726" s="1325"/>
      <c r="J726" s="1325"/>
      <c r="K726" s="1325"/>
      <c r="L726" s="1325"/>
      <c r="M726" s="1325"/>
      <c r="N726" s="365"/>
      <c r="O726" s="1331"/>
      <c r="P726" s="1323"/>
      <c r="Q726" s="1323"/>
      <c r="R726" s="1323"/>
      <c r="S726" s="1323"/>
      <c r="T726" s="1323"/>
      <c r="U726" s="1323"/>
      <c r="V726" s="1323"/>
    </row>
    <row r="727" spans="2:22" x14ac:dyDescent="0.2">
      <c r="B727" s="1323"/>
      <c r="C727" s="1323"/>
      <c r="D727" s="365"/>
      <c r="E727" s="365"/>
      <c r="F727" s="1325"/>
      <c r="G727" s="1325"/>
      <c r="H727" s="1325"/>
      <c r="I727" s="1325"/>
      <c r="J727" s="1325"/>
      <c r="K727" s="1325"/>
      <c r="L727" s="1325"/>
      <c r="M727" s="1325"/>
      <c r="N727" s="365"/>
      <c r="O727" s="1331"/>
      <c r="P727" s="1323"/>
      <c r="Q727" s="1323"/>
      <c r="R727" s="1323"/>
      <c r="S727" s="1323"/>
      <c r="T727" s="1323"/>
      <c r="U727" s="1323"/>
      <c r="V727" s="1323"/>
    </row>
    <row r="728" spans="2:22" x14ac:dyDescent="0.2">
      <c r="B728" s="1323"/>
      <c r="C728" s="1323"/>
      <c r="D728" s="365"/>
      <c r="E728" s="365"/>
      <c r="F728" s="1325"/>
      <c r="G728" s="1325"/>
      <c r="H728" s="1325"/>
      <c r="I728" s="1325"/>
      <c r="J728" s="1325"/>
      <c r="K728" s="1325"/>
      <c r="L728" s="1325"/>
      <c r="M728" s="1325"/>
      <c r="N728" s="365"/>
      <c r="O728" s="1331"/>
      <c r="P728" s="1323"/>
      <c r="Q728" s="1323"/>
      <c r="R728" s="1323"/>
      <c r="S728" s="1323"/>
      <c r="T728" s="1323"/>
      <c r="U728" s="1323"/>
      <c r="V728" s="1323"/>
    </row>
    <row r="729" spans="2:22" x14ac:dyDescent="0.2">
      <c r="B729" s="1323"/>
      <c r="C729" s="1323"/>
      <c r="D729" s="365"/>
      <c r="E729" s="365"/>
      <c r="F729" s="1325"/>
      <c r="G729" s="1325"/>
      <c r="H729" s="1325"/>
      <c r="I729" s="1325"/>
      <c r="J729" s="1325"/>
      <c r="K729" s="1325"/>
      <c r="L729" s="1325"/>
      <c r="M729" s="1325"/>
      <c r="N729" s="365"/>
      <c r="O729" s="1331"/>
      <c r="P729" s="1323"/>
      <c r="Q729" s="1323"/>
      <c r="R729" s="1323"/>
      <c r="S729" s="1323"/>
      <c r="T729" s="1323"/>
      <c r="U729" s="1323"/>
      <c r="V729" s="1323"/>
    </row>
    <row r="730" spans="2:22" x14ac:dyDescent="0.2">
      <c r="B730" s="1323"/>
      <c r="C730" s="1323"/>
      <c r="D730" s="365"/>
      <c r="E730" s="365"/>
      <c r="F730" s="1325"/>
      <c r="G730" s="1325"/>
      <c r="H730" s="1325"/>
      <c r="I730" s="1325"/>
      <c r="J730" s="1325"/>
      <c r="K730" s="1325"/>
      <c r="L730" s="1325"/>
      <c r="M730" s="1325"/>
      <c r="N730" s="365"/>
      <c r="O730" s="1331"/>
      <c r="P730" s="1323"/>
      <c r="Q730" s="1323"/>
      <c r="R730" s="1323"/>
      <c r="S730" s="1323"/>
      <c r="T730" s="1323"/>
      <c r="U730" s="1323"/>
      <c r="V730" s="1323"/>
    </row>
    <row r="731" spans="2:22" x14ac:dyDescent="0.2">
      <c r="B731" s="1323"/>
      <c r="C731" s="1323"/>
      <c r="D731" s="365"/>
      <c r="E731" s="365"/>
      <c r="F731" s="1325"/>
      <c r="G731" s="1325"/>
      <c r="H731" s="1325"/>
      <c r="I731" s="1325"/>
      <c r="J731" s="1325"/>
      <c r="K731" s="1325"/>
      <c r="L731" s="1325"/>
      <c r="M731" s="1325"/>
      <c r="N731" s="365"/>
      <c r="O731" s="1331"/>
      <c r="P731" s="1323"/>
      <c r="Q731" s="1323"/>
      <c r="R731" s="1323"/>
      <c r="S731" s="1323"/>
      <c r="T731" s="1323"/>
      <c r="U731" s="1323"/>
      <c r="V731" s="1323"/>
    </row>
    <row r="732" spans="2:22" x14ac:dyDescent="0.2">
      <c r="B732" s="1323"/>
      <c r="C732" s="1323"/>
      <c r="D732" s="365"/>
      <c r="E732" s="365"/>
      <c r="F732" s="1325"/>
      <c r="G732" s="1325"/>
      <c r="H732" s="1325"/>
      <c r="I732" s="1325"/>
      <c r="J732" s="1325"/>
      <c r="K732" s="1325"/>
      <c r="L732" s="1325"/>
      <c r="M732" s="1325"/>
      <c r="N732" s="365"/>
      <c r="O732" s="1331"/>
      <c r="P732" s="1323"/>
      <c r="Q732" s="1323"/>
      <c r="R732" s="1323"/>
      <c r="S732" s="1323"/>
      <c r="T732" s="1323"/>
      <c r="U732" s="1323"/>
      <c r="V732" s="1323"/>
    </row>
    <row r="733" spans="2:22" x14ac:dyDescent="0.2">
      <c r="B733" s="1323"/>
      <c r="C733" s="1323"/>
      <c r="D733" s="365"/>
      <c r="E733" s="365"/>
      <c r="F733" s="1325"/>
      <c r="G733" s="1325"/>
      <c r="H733" s="1325"/>
      <c r="I733" s="1325"/>
      <c r="J733" s="1325"/>
      <c r="K733" s="1325"/>
      <c r="L733" s="1325"/>
      <c r="M733" s="1325"/>
      <c r="N733" s="365"/>
      <c r="O733" s="1331"/>
      <c r="P733" s="1323"/>
      <c r="Q733" s="1323"/>
      <c r="R733" s="1323"/>
      <c r="S733" s="1323"/>
      <c r="T733" s="1323"/>
      <c r="U733" s="1323"/>
      <c r="V733" s="1323"/>
    </row>
    <row r="734" spans="2:22" x14ac:dyDescent="0.2">
      <c r="B734" s="1323"/>
      <c r="C734" s="1323"/>
      <c r="D734" s="365"/>
      <c r="E734" s="365"/>
      <c r="F734" s="1325"/>
      <c r="G734" s="1325"/>
      <c r="H734" s="1325"/>
      <c r="I734" s="1325"/>
      <c r="J734" s="1325"/>
      <c r="K734" s="1325"/>
      <c r="L734" s="1325"/>
      <c r="M734" s="1325"/>
      <c r="N734" s="365"/>
      <c r="O734" s="1331"/>
      <c r="P734" s="1323"/>
      <c r="Q734" s="1323"/>
      <c r="R734" s="1323"/>
      <c r="S734" s="1323"/>
      <c r="T734" s="1323"/>
      <c r="U734" s="1323"/>
      <c r="V734" s="1323"/>
    </row>
    <row r="735" spans="2:22" x14ac:dyDescent="0.2">
      <c r="B735" s="1323"/>
      <c r="C735" s="1323"/>
      <c r="D735" s="365"/>
      <c r="E735" s="365"/>
      <c r="F735" s="1325"/>
      <c r="G735" s="1325"/>
      <c r="H735" s="1325"/>
      <c r="I735" s="1325"/>
      <c r="J735" s="1325"/>
      <c r="K735" s="1325"/>
      <c r="L735" s="1325"/>
      <c r="M735" s="1325"/>
      <c r="N735" s="365"/>
      <c r="O735" s="1331"/>
      <c r="P735" s="1323"/>
      <c r="Q735" s="1323"/>
      <c r="R735" s="1323"/>
      <c r="S735" s="1323"/>
      <c r="T735" s="1323"/>
      <c r="U735" s="1323"/>
      <c r="V735" s="1323"/>
    </row>
    <row r="736" spans="2:22" x14ac:dyDescent="0.2">
      <c r="B736" s="1323"/>
      <c r="C736" s="1323"/>
      <c r="D736" s="365"/>
      <c r="E736" s="365"/>
      <c r="F736" s="1325"/>
      <c r="G736" s="1325"/>
      <c r="H736" s="1325"/>
      <c r="I736" s="1325"/>
      <c r="J736" s="1325"/>
      <c r="K736" s="1325"/>
      <c r="L736" s="1325"/>
      <c r="M736" s="1325"/>
      <c r="N736" s="365"/>
      <c r="O736" s="1331"/>
      <c r="P736" s="1323"/>
      <c r="Q736" s="1323"/>
      <c r="R736" s="1323"/>
      <c r="S736" s="1323"/>
      <c r="T736" s="1323"/>
      <c r="U736" s="1323"/>
      <c r="V736" s="1323"/>
    </row>
    <row r="737" spans="2:22" x14ac:dyDescent="0.2">
      <c r="B737" s="1323"/>
      <c r="C737" s="1323"/>
      <c r="D737" s="365"/>
      <c r="E737" s="365"/>
      <c r="F737" s="1325"/>
      <c r="G737" s="1325"/>
      <c r="H737" s="1325"/>
      <c r="I737" s="1325"/>
      <c r="J737" s="1325"/>
      <c r="K737" s="1325"/>
      <c r="L737" s="1325"/>
      <c r="M737" s="1325"/>
      <c r="N737" s="365"/>
      <c r="O737" s="1331"/>
      <c r="P737" s="1323"/>
      <c r="Q737" s="1323"/>
      <c r="R737" s="1323"/>
      <c r="S737" s="1323"/>
      <c r="T737" s="1323"/>
      <c r="U737" s="1323"/>
      <c r="V737" s="1323"/>
    </row>
    <row r="738" spans="2:22" x14ac:dyDescent="0.2">
      <c r="B738" s="1323"/>
      <c r="C738" s="1323"/>
      <c r="D738" s="365"/>
      <c r="E738" s="365"/>
      <c r="F738" s="1325"/>
      <c r="G738" s="1325"/>
      <c r="H738" s="1325"/>
      <c r="I738" s="1325"/>
      <c r="J738" s="1325"/>
      <c r="K738" s="1325"/>
      <c r="L738" s="1325"/>
      <c r="M738" s="1325"/>
      <c r="N738" s="365"/>
      <c r="O738" s="1331"/>
      <c r="P738" s="1323"/>
      <c r="Q738" s="1323"/>
      <c r="R738" s="1323"/>
      <c r="S738" s="1323"/>
      <c r="T738" s="1323"/>
      <c r="U738" s="1323"/>
      <c r="V738" s="1323"/>
    </row>
    <row r="739" spans="2:22" x14ac:dyDescent="0.2">
      <c r="B739" s="1323"/>
      <c r="C739" s="1323"/>
      <c r="D739" s="365"/>
      <c r="E739" s="365"/>
      <c r="F739" s="1325"/>
      <c r="G739" s="1325"/>
      <c r="H739" s="1325"/>
      <c r="I739" s="1325"/>
      <c r="J739" s="1325"/>
      <c r="K739" s="1325"/>
      <c r="L739" s="1325"/>
      <c r="M739" s="1325"/>
      <c r="N739" s="365"/>
      <c r="O739" s="1331"/>
      <c r="P739" s="1323"/>
      <c r="Q739" s="1323"/>
      <c r="R739" s="1323"/>
      <c r="S739" s="1323"/>
      <c r="T739" s="1323"/>
      <c r="U739" s="1323"/>
      <c r="V739" s="1323"/>
    </row>
    <row r="740" spans="2:22" x14ac:dyDescent="0.2">
      <c r="B740" s="1323"/>
      <c r="C740" s="1323"/>
      <c r="D740" s="365"/>
      <c r="E740" s="365"/>
      <c r="F740" s="1325"/>
      <c r="G740" s="1325"/>
      <c r="H740" s="1325"/>
      <c r="I740" s="1325"/>
      <c r="J740" s="1325"/>
      <c r="K740" s="1325"/>
      <c r="L740" s="1325"/>
      <c r="M740" s="1325"/>
      <c r="N740" s="365"/>
      <c r="O740" s="1331"/>
      <c r="P740" s="1323"/>
      <c r="Q740" s="1323"/>
      <c r="R740" s="1323"/>
      <c r="S740" s="1323"/>
      <c r="T740" s="1323"/>
      <c r="U740" s="1323"/>
      <c r="V740" s="1323"/>
    </row>
    <row r="741" spans="2:22" x14ac:dyDescent="0.2">
      <c r="B741" s="1323"/>
      <c r="C741" s="1323"/>
      <c r="D741" s="365"/>
      <c r="E741" s="365"/>
      <c r="F741" s="1325"/>
      <c r="G741" s="1325"/>
      <c r="H741" s="1325"/>
      <c r="I741" s="1325"/>
      <c r="J741" s="1325"/>
      <c r="K741" s="1325"/>
      <c r="L741" s="1325"/>
      <c r="M741" s="1325"/>
      <c r="N741" s="365"/>
      <c r="O741" s="1331"/>
      <c r="P741" s="1323"/>
      <c r="Q741" s="1323"/>
      <c r="R741" s="1323"/>
      <c r="S741" s="1323"/>
      <c r="T741" s="1323"/>
      <c r="U741" s="1323"/>
      <c r="V741" s="1323"/>
    </row>
    <row r="742" spans="2:22" x14ac:dyDescent="0.2">
      <c r="B742" s="1323"/>
      <c r="C742" s="1323"/>
      <c r="D742" s="365"/>
      <c r="E742" s="365"/>
      <c r="F742" s="1325"/>
      <c r="G742" s="1325"/>
      <c r="H742" s="1325"/>
      <c r="I742" s="1325"/>
      <c r="J742" s="1325"/>
      <c r="K742" s="1325"/>
      <c r="L742" s="1325"/>
      <c r="M742" s="1325"/>
      <c r="N742" s="365"/>
      <c r="O742" s="1331"/>
      <c r="P742" s="1323"/>
      <c r="Q742" s="1323"/>
      <c r="R742" s="1323"/>
      <c r="S742" s="1323"/>
      <c r="T742" s="1323"/>
      <c r="U742" s="1323"/>
      <c r="V742" s="1323"/>
    </row>
    <row r="743" spans="2:22" x14ac:dyDescent="0.2">
      <c r="B743" s="1323"/>
      <c r="C743" s="1323"/>
      <c r="D743" s="365"/>
      <c r="E743" s="365"/>
      <c r="F743" s="1325"/>
      <c r="G743" s="1325"/>
      <c r="H743" s="1325"/>
      <c r="I743" s="1325"/>
      <c r="J743" s="1325"/>
      <c r="K743" s="1325"/>
      <c r="L743" s="1325"/>
      <c r="M743" s="1325"/>
      <c r="N743" s="365"/>
      <c r="O743" s="1331"/>
      <c r="P743" s="1323"/>
      <c r="Q743" s="1323"/>
      <c r="R743" s="1323"/>
      <c r="S743" s="1323"/>
      <c r="T743" s="1323"/>
      <c r="U743" s="1323"/>
      <c r="V743" s="1323"/>
    </row>
    <row r="744" spans="2:22" x14ac:dyDescent="0.2">
      <c r="B744" s="1323"/>
      <c r="C744" s="1323"/>
      <c r="D744" s="365"/>
      <c r="E744" s="365"/>
      <c r="F744" s="1325"/>
      <c r="G744" s="1325"/>
      <c r="H744" s="1325"/>
      <c r="I744" s="1325"/>
      <c r="J744" s="1325"/>
      <c r="K744" s="1325"/>
      <c r="L744" s="1325"/>
      <c r="M744" s="1325"/>
      <c r="N744" s="365"/>
      <c r="O744" s="1331"/>
      <c r="P744" s="1323"/>
      <c r="Q744" s="1323"/>
      <c r="R744" s="1323"/>
      <c r="S744" s="1323"/>
      <c r="T744" s="1323"/>
      <c r="U744" s="1323"/>
      <c r="V744" s="1323"/>
    </row>
    <row r="745" spans="2:22" x14ac:dyDescent="0.2">
      <c r="B745" s="1323"/>
      <c r="C745" s="1323"/>
      <c r="D745" s="365"/>
      <c r="E745" s="365"/>
      <c r="F745" s="1325"/>
      <c r="G745" s="1325"/>
      <c r="H745" s="1325"/>
      <c r="I745" s="1325"/>
      <c r="J745" s="1325"/>
      <c r="K745" s="1325"/>
      <c r="L745" s="1325"/>
      <c r="M745" s="1325"/>
      <c r="N745" s="365"/>
      <c r="O745" s="1331"/>
      <c r="P745" s="1323"/>
      <c r="Q745" s="1323"/>
      <c r="R745" s="1323"/>
      <c r="S745" s="1323"/>
      <c r="T745" s="1323"/>
      <c r="U745" s="1323"/>
      <c r="V745" s="1323"/>
    </row>
    <row r="746" spans="2:22" x14ac:dyDescent="0.2">
      <c r="B746" s="1323"/>
      <c r="C746" s="1323"/>
      <c r="D746" s="365"/>
      <c r="E746" s="365"/>
      <c r="F746" s="1325"/>
      <c r="G746" s="1325"/>
      <c r="H746" s="1325"/>
      <c r="I746" s="1325"/>
      <c r="J746" s="1325"/>
      <c r="K746" s="1325"/>
      <c r="L746" s="1325"/>
      <c r="M746" s="1325"/>
      <c r="N746" s="365"/>
      <c r="O746" s="1331"/>
      <c r="P746" s="1323"/>
      <c r="Q746" s="1323"/>
      <c r="R746" s="1323"/>
      <c r="S746" s="1323"/>
      <c r="T746" s="1323"/>
      <c r="U746" s="1323"/>
      <c r="V746" s="1323"/>
    </row>
    <row r="747" spans="2:22" x14ac:dyDescent="0.2">
      <c r="B747" s="1323"/>
      <c r="C747" s="1323"/>
      <c r="D747" s="365"/>
      <c r="E747" s="365"/>
      <c r="F747" s="1325"/>
      <c r="G747" s="1325"/>
      <c r="H747" s="1325"/>
      <c r="I747" s="1325"/>
      <c r="J747" s="1325"/>
      <c r="K747" s="1325"/>
      <c r="L747" s="1325"/>
      <c r="M747" s="1325"/>
      <c r="N747" s="365"/>
      <c r="O747" s="1331"/>
      <c r="P747" s="1323"/>
      <c r="Q747" s="1323"/>
      <c r="R747" s="1323"/>
      <c r="S747" s="1323"/>
      <c r="T747" s="1323"/>
      <c r="U747" s="1323"/>
      <c r="V747" s="1323"/>
    </row>
    <row r="748" spans="2:22" x14ac:dyDescent="0.2">
      <c r="B748" s="1323"/>
      <c r="C748" s="1323"/>
      <c r="D748" s="365"/>
      <c r="E748" s="365"/>
      <c r="F748" s="1325"/>
      <c r="G748" s="1325"/>
      <c r="H748" s="1325"/>
      <c r="I748" s="1325"/>
      <c r="J748" s="1325"/>
      <c r="K748" s="1325"/>
      <c r="L748" s="1325"/>
      <c r="M748" s="1325"/>
      <c r="N748" s="365"/>
      <c r="O748" s="1331"/>
      <c r="P748" s="1323"/>
      <c r="Q748" s="1323"/>
      <c r="R748" s="1323"/>
      <c r="S748" s="1323"/>
      <c r="T748" s="1323"/>
      <c r="U748" s="1323"/>
      <c r="V748" s="1323"/>
    </row>
    <row r="749" spans="2:22" x14ac:dyDescent="0.2">
      <c r="B749" s="1323"/>
      <c r="C749" s="1323"/>
      <c r="D749" s="365"/>
      <c r="E749" s="365"/>
      <c r="F749" s="1325"/>
      <c r="G749" s="1325"/>
      <c r="H749" s="1325"/>
      <c r="I749" s="1325"/>
      <c r="J749" s="1325"/>
      <c r="K749" s="1325"/>
      <c r="L749" s="1325"/>
      <c r="M749" s="1325"/>
      <c r="N749" s="365"/>
      <c r="O749" s="1331"/>
      <c r="P749" s="1323"/>
      <c r="Q749" s="1323"/>
      <c r="R749" s="1323"/>
      <c r="S749" s="1323"/>
      <c r="T749" s="1323"/>
      <c r="U749" s="1323"/>
      <c r="V749" s="1323"/>
    </row>
    <row r="750" spans="2:22" x14ac:dyDescent="0.2">
      <c r="B750" s="1323"/>
      <c r="C750" s="1323"/>
      <c r="D750" s="365"/>
      <c r="E750" s="365"/>
      <c r="F750" s="1325"/>
      <c r="G750" s="1325"/>
      <c r="H750" s="1325"/>
      <c r="I750" s="1325"/>
      <c r="J750" s="1325"/>
      <c r="K750" s="1325"/>
      <c r="L750" s="1325"/>
      <c r="M750" s="1325"/>
      <c r="N750" s="365"/>
      <c r="O750" s="1331"/>
      <c r="P750" s="1323"/>
      <c r="Q750" s="1323"/>
      <c r="R750" s="1323"/>
      <c r="S750" s="1323"/>
      <c r="T750" s="1323"/>
      <c r="U750" s="1323"/>
      <c r="V750" s="1323"/>
    </row>
    <row r="751" spans="2:22" x14ac:dyDescent="0.2">
      <c r="B751" s="1323"/>
      <c r="C751" s="1323"/>
      <c r="D751" s="365"/>
      <c r="E751" s="365"/>
      <c r="F751" s="1325"/>
      <c r="G751" s="1325"/>
      <c r="H751" s="1325"/>
      <c r="I751" s="1325"/>
      <c r="J751" s="1325"/>
      <c r="K751" s="1325"/>
      <c r="L751" s="1325"/>
      <c r="M751" s="1325"/>
      <c r="N751" s="365"/>
      <c r="O751" s="1331"/>
      <c r="P751" s="1323"/>
      <c r="Q751" s="1323"/>
      <c r="R751" s="1323"/>
      <c r="S751" s="1323"/>
      <c r="T751" s="1323"/>
      <c r="U751" s="1323"/>
      <c r="V751" s="1323"/>
    </row>
    <row r="752" spans="2:22" x14ac:dyDescent="0.2">
      <c r="B752" s="1323"/>
      <c r="C752" s="1323"/>
      <c r="D752" s="365"/>
      <c r="E752" s="365"/>
      <c r="F752" s="1325"/>
      <c r="G752" s="1325"/>
      <c r="H752" s="1325"/>
      <c r="I752" s="1325"/>
      <c r="J752" s="1325"/>
      <c r="K752" s="1325"/>
      <c r="L752" s="1325"/>
      <c r="M752" s="1325"/>
      <c r="N752" s="365"/>
      <c r="O752" s="1331"/>
      <c r="P752" s="1323"/>
      <c r="Q752" s="1323"/>
      <c r="R752" s="1323"/>
      <c r="S752" s="1323"/>
      <c r="T752" s="1323"/>
      <c r="U752" s="1323"/>
      <c r="V752" s="1323"/>
    </row>
    <row r="753" spans="2:22" x14ac:dyDescent="0.2">
      <c r="B753" s="1323"/>
      <c r="C753" s="1323"/>
      <c r="D753" s="365"/>
      <c r="E753" s="365"/>
      <c r="F753" s="1325"/>
      <c r="G753" s="1325"/>
      <c r="H753" s="1325"/>
      <c r="I753" s="1325"/>
      <c r="J753" s="1325"/>
      <c r="K753" s="1325"/>
      <c r="L753" s="1325"/>
      <c r="M753" s="1325"/>
      <c r="N753" s="365"/>
      <c r="O753" s="1331"/>
      <c r="P753" s="1323"/>
      <c r="Q753" s="1323"/>
      <c r="R753" s="1323"/>
      <c r="S753" s="1323"/>
      <c r="T753" s="1323"/>
      <c r="U753" s="1323"/>
      <c r="V753" s="1323"/>
    </row>
    <row r="754" spans="2:22" x14ac:dyDescent="0.2">
      <c r="B754" s="1323"/>
      <c r="C754" s="1323"/>
      <c r="D754" s="365"/>
      <c r="E754" s="365"/>
      <c r="F754" s="1325"/>
      <c r="G754" s="1325"/>
      <c r="H754" s="1325"/>
      <c r="I754" s="1325"/>
      <c r="J754" s="1325"/>
      <c r="K754" s="1325"/>
      <c r="L754" s="1325"/>
      <c r="M754" s="1325"/>
      <c r="N754" s="365"/>
      <c r="O754" s="1331"/>
      <c r="P754" s="1323"/>
      <c r="Q754" s="1323"/>
      <c r="R754" s="1323"/>
      <c r="S754" s="1323"/>
      <c r="T754" s="1323"/>
      <c r="U754" s="1323"/>
      <c r="V754" s="1323"/>
    </row>
    <row r="755" spans="2:22" x14ac:dyDescent="0.2">
      <c r="B755" s="1323"/>
      <c r="C755" s="1323"/>
      <c r="D755" s="365"/>
      <c r="E755" s="365"/>
      <c r="F755" s="1325"/>
      <c r="G755" s="1325"/>
      <c r="H755" s="1325"/>
      <c r="I755" s="1325"/>
      <c r="J755" s="1325"/>
      <c r="K755" s="1325"/>
      <c r="L755" s="1325"/>
      <c r="M755" s="1325"/>
      <c r="N755" s="365"/>
      <c r="O755" s="1331"/>
      <c r="P755" s="1323"/>
      <c r="Q755" s="1323"/>
      <c r="R755" s="1323"/>
      <c r="S755" s="1323"/>
      <c r="T755" s="1323"/>
      <c r="U755" s="1323"/>
      <c r="V755" s="1323"/>
    </row>
    <row r="756" spans="2:22" x14ac:dyDescent="0.2">
      <c r="B756" s="1323"/>
      <c r="C756" s="1323"/>
      <c r="D756" s="365"/>
      <c r="E756" s="365"/>
      <c r="F756" s="1325"/>
      <c r="G756" s="1325"/>
      <c r="H756" s="1325"/>
      <c r="I756" s="1325"/>
      <c r="J756" s="1325"/>
      <c r="K756" s="1325"/>
      <c r="L756" s="1325"/>
      <c r="M756" s="1325"/>
      <c r="N756" s="365"/>
      <c r="O756" s="1331"/>
      <c r="P756" s="1323"/>
      <c r="Q756" s="1323"/>
      <c r="R756" s="1323"/>
      <c r="S756" s="1323"/>
      <c r="T756" s="1323"/>
      <c r="U756" s="1323"/>
      <c r="V756" s="1323"/>
    </row>
    <row r="757" spans="2:22" x14ac:dyDescent="0.2">
      <c r="B757" s="1323"/>
      <c r="C757" s="1323"/>
      <c r="D757" s="365"/>
      <c r="E757" s="365"/>
      <c r="F757" s="1325"/>
      <c r="G757" s="1325"/>
      <c r="H757" s="1325"/>
      <c r="I757" s="1325"/>
      <c r="J757" s="1325"/>
      <c r="K757" s="1325"/>
      <c r="L757" s="1325"/>
      <c r="M757" s="1325"/>
      <c r="N757" s="365"/>
      <c r="O757" s="1331"/>
      <c r="P757" s="1323"/>
      <c r="Q757" s="1323"/>
      <c r="R757" s="1323"/>
      <c r="S757" s="1323"/>
      <c r="T757" s="1323"/>
      <c r="U757" s="1323"/>
      <c r="V757" s="1323"/>
    </row>
    <row r="758" spans="2:22" x14ac:dyDescent="0.2">
      <c r="B758" s="1323"/>
      <c r="C758" s="1323"/>
      <c r="D758" s="365"/>
      <c r="E758" s="365"/>
      <c r="F758" s="1325"/>
      <c r="G758" s="1325"/>
      <c r="H758" s="1325"/>
      <c r="I758" s="1325"/>
      <c r="J758" s="1325"/>
      <c r="K758" s="1325"/>
      <c r="L758" s="1325"/>
      <c r="M758" s="1325"/>
      <c r="N758" s="365"/>
      <c r="O758" s="1331"/>
      <c r="P758" s="1323"/>
      <c r="Q758" s="1323"/>
      <c r="R758" s="1323"/>
      <c r="S758" s="1323"/>
      <c r="T758" s="1323"/>
      <c r="U758" s="1323"/>
      <c r="V758" s="1323"/>
    </row>
    <row r="759" spans="2:22" x14ac:dyDescent="0.2">
      <c r="B759" s="1323"/>
      <c r="C759" s="1323"/>
      <c r="D759" s="365"/>
      <c r="E759" s="365"/>
      <c r="F759" s="1325"/>
      <c r="G759" s="1325"/>
      <c r="H759" s="1325"/>
      <c r="I759" s="1325"/>
      <c r="J759" s="1325"/>
      <c r="K759" s="1325"/>
      <c r="L759" s="1325"/>
      <c r="M759" s="1325"/>
      <c r="N759" s="365"/>
      <c r="O759" s="1331"/>
      <c r="P759" s="1323"/>
      <c r="Q759" s="1323"/>
      <c r="R759" s="1323"/>
      <c r="S759" s="1323"/>
      <c r="T759" s="1323"/>
      <c r="U759" s="1323"/>
      <c r="V759" s="1323"/>
    </row>
    <row r="760" spans="2:22" x14ac:dyDescent="0.2">
      <c r="B760" s="1323"/>
      <c r="C760" s="1323"/>
      <c r="D760" s="365"/>
      <c r="E760" s="365"/>
      <c r="F760" s="1325"/>
      <c r="G760" s="1325"/>
      <c r="H760" s="1325"/>
      <c r="I760" s="1325"/>
      <c r="J760" s="1325"/>
      <c r="K760" s="1325"/>
      <c r="L760" s="1325"/>
      <c r="M760" s="1325"/>
      <c r="N760" s="365"/>
      <c r="O760" s="1331"/>
      <c r="P760" s="1323"/>
      <c r="Q760" s="1323"/>
      <c r="R760" s="1323"/>
      <c r="S760" s="1323"/>
      <c r="T760" s="1323"/>
      <c r="U760" s="1323"/>
      <c r="V760" s="1323"/>
    </row>
    <row r="761" spans="2:22" x14ac:dyDescent="0.2">
      <c r="B761" s="1323"/>
      <c r="C761" s="1323"/>
      <c r="D761" s="365"/>
      <c r="E761" s="365"/>
      <c r="F761" s="1325"/>
      <c r="G761" s="1325"/>
      <c r="H761" s="1325"/>
      <c r="I761" s="1325"/>
      <c r="J761" s="1325"/>
      <c r="K761" s="1325"/>
      <c r="L761" s="1325"/>
      <c r="M761" s="1325"/>
      <c r="N761" s="365"/>
      <c r="O761" s="1331"/>
      <c r="P761" s="1323"/>
      <c r="Q761" s="1323"/>
      <c r="R761" s="1323"/>
      <c r="S761" s="1323"/>
      <c r="T761" s="1323"/>
      <c r="U761" s="1323"/>
      <c r="V761" s="1323"/>
    </row>
    <row r="762" spans="2:22" x14ac:dyDescent="0.2">
      <c r="B762" s="1323"/>
      <c r="C762" s="1323"/>
      <c r="D762" s="365"/>
      <c r="E762" s="365"/>
      <c r="F762" s="1325"/>
      <c r="G762" s="1325"/>
      <c r="H762" s="1325"/>
      <c r="I762" s="1325"/>
      <c r="J762" s="1325"/>
      <c r="K762" s="1325"/>
      <c r="L762" s="1325"/>
      <c r="M762" s="1325"/>
      <c r="N762" s="365"/>
      <c r="O762" s="1331"/>
      <c r="P762" s="1323"/>
      <c r="Q762" s="1323"/>
      <c r="R762" s="1323"/>
      <c r="S762" s="1323"/>
      <c r="T762" s="1323"/>
      <c r="U762" s="1323"/>
      <c r="V762" s="1323"/>
    </row>
    <row r="763" spans="2:22" x14ac:dyDescent="0.2">
      <c r="B763" s="1323"/>
      <c r="C763" s="1323"/>
      <c r="D763" s="365"/>
      <c r="E763" s="365"/>
      <c r="F763" s="1325"/>
      <c r="G763" s="1325"/>
      <c r="H763" s="1325"/>
      <c r="I763" s="1325"/>
      <c r="J763" s="1325"/>
      <c r="K763" s="1325"/>
      <c r="L763" s="1325"/>
      <c r="M763" s="1325"/>
      <c r="N763" s="365"/>
      <c r="O763" s="1331"/>
      <c r="P763" s="1323"/>
      <c r="Q763" s="1323"/>
      <c r="R763" s="1323"/>
      <c r="S763" s="1323"/>
      <c r="T763" s="1323"/>
      <c r="U763" s="1323"/>
      <c r="V763" s="1323"/>
    </row>
    <row r="764" spans="2:22" x14ac:dyDescent="0.2">
      <c r="B764" s="1323"/>
      <c r="C764" s="1323"/>
      <c r="D764" s="365"/>
      <c r="E764" s="365"/>
      <c r="F764" s="1325"/>
      <c r="G764" s="1325"/>
      <c r="H764" s="1325"/>
      <c r="I764" s="1325"/>
      <c r="J764" s="1325"/>
      <c r="K764" s="1325"/>
      <c r="L764" s="1325"/>
      <c r="M764" s="1325"/>
      <c r="N764" s="365"/>
      <c r="O764" s="1331"/>
      <c r="P764" s="1323"/>
      <c r="Q764" s="1323"/>
      <c r="R764" s="1323"/>
      <c r="S764" s="1323"/>
      <c r="T764" s="1323"/>
      <c r="U764" s="1323"/>
      <c r="V764" s="1323"/>
    </row>
    <row r="765" spans="2:22" x14ac:dyDescent="0.2">
      <c r="B765" s="1323"/>
      <c r="C765" s="1323"/>
      <c r="D765" s="365"/>
      <c r="E765" s="365"/>
      <c r="F765" s="1325"/>
      <c r="G765" s="1325"/>
      <c r="H765" s="1325"/>
      <c r="I765" s="1325"/>
      <c r="J765" s="1325"/>
      <c r="K765" s="1325"/>
      <c r="L765" s="1325"/>
      <c r="M765" s="1325"/>
      <c r="N765" s="365"/>
      <c r="O765" s="1331"/>
      <c r="P765" s="1323"/>
      <c r="Q765" s="1323"/>
      <c r="R765" s="1323"/>
      <c r="S765" s="1323"/>
      <c r="T765" s="1323"/>
      <c r="U765" s="1323"/>
      <c r="V765" s="1323"/>
    </row>
    <row r="766" spans="2:22" x14ac:dyDescent="0.2">
      <c r="B766" s="1323"/>
      <c r="C766" s="1323"/>
      <c r="D766" s="365"/>
      <c r="E766" s="365"/>
      <c r="F766" s="1325"/>
      <c r="G766" s="1325"/>
      <c r="H766" s="1325"/>
      <c r="I766" s="1325"/>
      <c r="J766" s="1325"/>
      <c r="K766" s="1325"/>
      <c r="L766" s="1325"/>
      <c r="M766" s="1325"/>
      <c r="N766" s="365"/>
      <c r="O766" s="1331"/>
      <c r="P766" s="1323"/>
      <c r="Q766" s="1323"/>
      <c r="R766" s="1323"/>
      <c r="S766" s="1323"/>
      <c r="T766" s="1323"/>
      <c r="U766" s="1323"/>
      <c r="V766" s="1323"/>
    </row>
    <row r="767" spans="2:22" x14ac:dyDescent="0.2">
      <c r="B767" s="1323"/>
      <c r="C767" s="1323"/>
      <c r="D767" s="365"/>
      <c r="E767" s="365"/>
      <c r="F767" s="1325"/>
      <c r="G767" s="1325"/>
      <c r="H767" s="1325"/>
      <c r="I767" s="1325"/>
      <c r="J767" s="1325"/>
      <c r="K767" s="1325"/>
      <c r="L767" s="1325"/>
      <c r="M767" s="1325"/>
      <c r="N767" s="365"/>
      <c r="O767" s="1331"/>
      <c r="P767" s="1323"/>
      <c r="Q767" s="1323"/>
      <c r="R767" s="1323"/>
      <c r="S767" s="1323"/>
      <c r="T767" s="1323"/>
      <c r="U767" s="1323"/>
      <c r="V767" s="1323"/>
    </row>
    <row r="768" spans="2:22" x14ac:dyDescent="0.2">
      <c r="B768" s="1323"/>
      <c r="C768" s="1323"/>
      <c r="D768" s="365"/>
      <c r="E768" s="365"/>
      <c r="F768" s="1325"/>
      <c r="G768" s="1325"/>
      <c r="H768" s="1325"/>
      <c r="I768" s="1325"/>
      <c r="J768" s="1325"/>
      <c r="K768" s="1325"/>
      <c r="L768" s="1325"/>
      <c r="M768" s="1325"/>
      <c r="N768" s="365"/>
      <c r="O768" s="1331"/>
      <c r="P768" s="1323"/>
      <c r="Q768" s="1323"/>
      <c r="R768" s="1323"/>
      <c r="S768" s="1323"/>
      <c r="T768" s="1323"/>
      <c r="U768" s="1323"/>
      <c r="V768" s="1323"/>
    </row>
    <row r="769" spans="2:22" x14ac:dyDescent="0.2">
      <c r="B769" s="1323"/>
      <c r="C769" s="1323"/>
      <c r="D769" s="365"/>
      <c r="E769" s="365"/>
      <c r="F769" s="1325"/>
      <c r="G769" s="1325"/>
      <c r="H769" s="1325"/>
      <c r="I769" s="1325"/>
      <c r="J769" s="1325"/>
      <c r="K769" s="1325"/>
      <c r="L769" s="1325"/>
      <c r="M769" s="1325"/>
      <c r="N769" s="365"/>
      <c r="O769" s="1331"/>
      <c r="P769" s="1323"/>
      <c r="Q769" s="1323"/>
      <c r="R769" s="1323"/>
      <c r="S769" s="1323"/>
      <c r="T769" s="1323"/>
      <c r="U769" s="1323"/>
      <c r="V769" s="1323"/>
    </row>
    <row r="770" spans="2:22" x14ac:dyDescent="0.2">
      <c r="B770" s="1323"/>
      <c r="C770" s="1323"/>
      <c r="D770" s="365"/>
      <c r="E770" s="365"/>
      <c r="F770" s="1325"/>
      <c r="G770" s="1325"/>
      <c r="H770" s="1325"/>
      <c r="I770" s="1325"/>
      <c r="J770" s="1325"/>
      <c r="K770" s="1325"/>
      <c r="L770" s="1325"/>
      <c r="M770" s="1325"/>
      <c r="N770" s="365"/>
      <c r="O770" s="1331"/>
      <c r="P770" s="1323"/>
      <c r="Q770" s="1323"/>
      <c r="R770" s="1323"/>
      <c r="S770" s="1323"/>
      <c r="T770" s="1323"/>
      <c r="U770" s="1323"/>
      <c r="V770" s="1323"/>
    </row>
    <row r="771" spans="2:22" x14ac:dyDescent="0.2">
      <c r="B771" s="1323"/>
      <c r="C771" s="1323"/>
      <c r="D771" s="365"/>
      <c r="E771" s="365"/>
      <c r="F771" s="1325"/>
      <c r="G771" s="1325"/>
      <c r="H771" s="1325"/>
      <c r="I771" s="1325"/>
      <c r="J771" s="1325"/>
      <c r="K771" s="1325"/>
      <c r="L771" s="1325"/>
      <c r="M771" s="1325"/>
      <c r="N771" s="365"/>
      <c r="O771" s="1331"/>
      <c r="P771" s="1323"/>
      <c r="Q771" s="1323"/>
      <c r="R771" s="1323"/>
      <c r="S771" s="1323"/>
      <c r="T771" s="1323"/>
      <c r="U771" s="1323"/>
      <c r="V771" s="1323"/>
    </row>
    <row r="772" spans="2:22" x14ac:dyDescent="0.2">
      <c r="B772" s="1323"/>
      <c r="C772" s="1323"/>
      <c r="D772" s="365"/>
      <c r="E772" s="365"/>
      <c r="F772" s="1325"/>
      <c r="G772" s="1325"/>
      <c r="H772" s="1325"/>
      <c r="I772" s="1325"/>
      <c r="J772" s="1325"/>
      <c r="K772" s="1325"/>
      <c r="L772" s="1325"/>
      <c r="M772" s="1325"/>
      <c r="N772" s="365"/>
      <c r="O772" s="1331"/>
      <c r="P772" s="1323"/>
      <c r="Q772" s="1323"/>
      <c r="R772" s="1323"/>
      <c r="S772" s="1323"/>
      <c r="T772" s="1323"/>
      <c r="U772" s="1323"/>
      <c r="V772" s="1323"/>
    </row>
    <row r="773" spans="2:22" x14ac:dyDescent="0.2">
      <c r="B773" s="1323"/>
      <c r="C773" s="1323"/>
      <c r="D773" s="365"/>
      <c r="E773" s="365"/>
      <c r="F773" s="1325"/>
      <c r="G773" s="1325"/>
      <c r="H773" s="1325"/>
      <c r="I773" s="1325"/>
      <c r="J773" s="1325"/>
      <c r="K773" s="1325"/>
      <c r="L773" s="1325"/>
      <c r="M773" s="1325"/>
      <c r="N773" s="365"/>
      <c r="O773" s="1331"/>
      <c r="P773" s="1323"/>
      <c r="Q773" s="1323"/>
      <c r="R773" s="1323"/>
      <c r="S773" s="1323"/>
      <c r="T773" s="1323"/>
      <c r="U773" s="1323"/>
      <c r="V773" s="1323"/>
    </row>
    <row r="774" spans="2:22" x14ac:dyDescent="0.2">
      <c r="B774" s="1323"/>
      <c r="C774" s="1323"/>
      <c r="D774" s="365"/>
      <c r="E774" s="365"/>
      <c r="F774" s="1325"/>
      <c r="G774" s="1325"/>
      <c r="H774" s="1325"/>
      <c r="I774" s="1325"/>
      <c r="J774" s="1325"/>
      <c r="K774" s="1325"/>
      <c r="L774" s="1325"/>
      <c r="M774" s="1325"/>
      <c r="N774" s="365"/>
      <c r="O774" s="1331"/>
      <c r="P774" s="1323"/>
      <c r="Q774" s="1323"/>
      <c r="R774" s="1323"/>
      <c r="S774" s="1323"/>
      <c r="T774" s="1323"/>
      <c r="U774" s="1323"/>
      <c r="V774" s="1323"/>
    </row>
    <row r="775" spans="2:22" x14ac:dyDescent="0.2">
      <c r="B775" s="1323"/>
      <c r="C775" s="1323"/>
      <c r="D775" s="365"/>
      <c r="E775" s="365"/>
      <c r="F775" s="1325"/>
      <c r="G775" s="1325"/>
      <c r="H775" s="1325"/>
      <c r="I775" s="1325"/>
      <c r="J775" s="1325"/>
      <c r="K775" s="1325"/>
      <c r="L775" s="1325"/>
      <c r="M775" s="1325"/>
      <c r="N775" s="365"/>
      <c r="O775" s="1331"/>
      <c r="P775" s="1323"/>
      <c r="Q775" s="1323"/>
      <c r="R775" s="1323"/>
      <c r="S775" s="1323"/>
      <c r="T775" s="1323"/>
      <c r="U775" s="1323"/>
      <c r="V775" s="1323"/>
    </row>
    <row r="776" spans="2:22" x14ac:dyDescent="0.2">
      <c r="B776" s="1323"/>
      <c r="C776" s="1323"/>
      <c r="D776" s="365"/>
      <c r="E776" s="365"/>
      <c r="F776" s="1325"/>
      <c r="G776" s="1325"/>
      <c r="H776" s="1325"/>
      <c r="I776" s="1325"/>
      <c r="J776" s="1325"/>
      <c r="K776" s="1325"/>
      <c r="L776" s="1325"/>
      <c r="M776" s="1325"/>
      <c r="N776" s="365"/>
      <c r="O776" s="1331"/>
      <c r="P776" s="1323"/>
      <c r="Q776" s="1323"/>
      <c r="R776" s="1323"/>
      <c r="S776" s="1323"/>
      <c r="T776" s="1323"/>
      <c r="U776" s="1323"/>
      <c r="V776" s="1323"/>
    </row>
    <row r="777" spans="2:22" x14ac:dyDescent="0.2">
      <c r="B777" s="1323"/>
      <c r="C777" s="1323"/>
      <c r="D777" s="365"/>
      <c r="E777" s="365"/>
      <c r="F777" s="1325"/>
      <c r="G777" s="1325"/>
      <c r="H777" s="1325"/>
      <c r="I777" s="1325"/>
      <c r="J777" s="1325"/>
      <c r="K777" s="1325"/>
      <c r="L777" s="1325"/>
      <c r="M777" s="1325"/>
      <c r="N777" s="365"/>
      <c r="O777" s="1331"/>
      <c r="P777" s="1323"/>
      <c r="Q777" s="1323"/>
      <c r="R777" s="1323"/>
      <c r="S777" s="1323"/>
      <c r="T777" s="1323"/>
      <c r="U777" s="1323"/>
      <c r="V777" s="1323"/>
    </row>
    <row r="778" spans="2:22" x14ac:dyDescent="0.2">
      <c r="B778" s="1323"/>
      <c r="C778" s="1323"/>
      <c r="D778" s="365"/>
      <c r="E778" s="365"/>
      <c r="F778" s="1325"/>
      <c r="G778" s="1325"/>
      <c r="H778" s="1325"/>
      <c r="I778" s="1325"/>
      <c r="J778" s="1325"/>
      <c r="K778" s="1325"/>
      <c r="L778" s="1325"/>
      <c r="M778" s="1325"/>
      <c r="N778" s="365"/>
      <c r="O778" s="1331"/>
      <c r="P778" s="1323"/>
      <c r="Q778" s="1323"/>
      <c r="R778" s="1323"/>
      <c r="S778" s="1323"/>
      <c r="T778" s="1323"/>
      <c r="U778" s="1323"/>
      <c r="V778" s="1323"/>
    </row>
    <row r="779" spans="2:22" x14ac:dyDescent="0.2">
      <c r="B779" s="1323"/>
      <c r="C779" s="1323"/>
      <c r="D779" s="365"/>
      <c r="E779" s="365"/>
      <c r="F779" s="1325"/>
      <c r="G779" s="1325"/>
      <c r="H779" s="1325"/>
      <c r="I779" s="1325"/>
      <c r="J779" s="1325"/>
      <c r="K779" s="1325"/>
      <c r="L779" s="1325"/>
      <c r="M779" s="1325"/>
      <c r="N779" s="365"/>
      <c r="O779" s="1331"/>
      <c r="P779" s="1323"/>
      <c r="Q779" s="1323"/>
      <c r="R779" s="1323"/>
      <c r="S779" s="1323"/>
      <c r="T779" s="1323"/>
      <c r="U779" s="1323"/>
      <c r="V779" s="1323"/>
    </row>
    <row r="780" spans="2:22" x14ac:dyDescent="0.2">
      <c r="B780" s="1323"/>
      <c r="C780" s="1323"/>
      <c r="D780" s="365"/>
      <c r="E780" s="365"/>
      <c r="F780" s="1325"/>
      <c r="G780" s="1325"/>
      <c r="H780" s="1325"/>
      <c r="I780" s="1325"/>
      <c r="J780" s="1325"/>
      <c r="K780" s="1325"/>
      <c r="L780" s="1325"/>
      <c r="M780" s="1325"/>
      <c r="N780" s="365"/>
      <c r="O780" s="1331"/>
      <c r="P780" s="1323"/>
      <c r="Q780" s="1323"/>
      <c r="R780" s="1323"/>
      <c r="S780" s="1323"/>
      <c r="T780" s="1323"/>
      <c r="U780" s="1323"/>
      <c r="V780" s="1323"/>
    </row>
    <row r="781" spans="2:22" x14ac:dyDescent="0.2">
      <c r="B781" s="1323"/>
      <c r="C781" s="1323"/>
      <c r="D781" s="365"/>
      <c r="E781" s="365"/>
      <c r="F781" s="1325"/>
      <c r="G781" s="1325"/>
      <c r="H781" s="1325"/>
      <c r="I781" s="1325"/>
      <c r="J781" s="1325"/>
      <c r="K781" s="1325"/>
      <c r="L781" s="1325"/>
      <c r="M781" s="1325"/>
      <c r="N781" s="365"/>
      <c r="O781" s="1331"/>
      <c r="P781" s="1323"/>
      <c r="Q781" s="1323"/>
      <c r="R781" s="1323"/>
      <c r="S781" s="1323"/>
      <c r="T781" s="1323"/>
      <c r="U781" s="1323"/>
      <c r="V781" s="1323"/>
    </row>
    <row r="782" spans="2:22" x14ac:dyDescent="0.2">
      <c r="B782" s="1323"/>
      <c r="C782" s="1323"/>
      <c r="D782" s="365"/>
      <c r="E782" s="365"/>
      <c r="F782" s="1325"/>
      <c r="G782" s="1325"/>
      <c r="H782" s="1325"/>
      <c r="I782" s="1325"/>
      <c r="J782" s="1325"/>
      <c r="K782" s="1325"/>
      <c r="L782" s="1325"/>
      <c r="M782" s="1325"/>
      <c r="N782" s="365"/>
      <c r="O782" s="1331"/>
      <c r="P782" s="1323"/>
      <c r="Q782" s="1323"/>
      <c r="R782" s="1323"/>
      <c r="S782" s="1323"/>
      <c r="T782" s="1323"/>
      <c r="U782" s="1323"/>
      <c r="V782" s="1323"/>
    </row>
    <row r="783" spans="2:22" x14ac:dyDescent="0.2">
      <c r="B783" s="1323"/>
      <c r="C783" s="1323"/>
      <c r="D783" s="365"/>
      <c r="E783" s="365"/>
      <c r="F783" s="1325"/>
      <c r="G783" s="1325"/>
      <c r="H783" s="1325"/>
      <c r="I783" s="1325"/>
      <c r="J783" s="1325"/>
      <c r="K783" s="1325"/>
      <c r="L783" s="1325"/>
      <c r="M783" s="1325"/>
      <c r="N783" s="365"/>
      <c r="O783" s="1331"/>
      <c r="P783" s="1323"/>
      <c r="Q783" s="1323"/>
      <c r="R783" s="1323"/>
      <c r="S783" s="1323"/>
      <c r="T783" s="1323"/>
      <c r="U783" s="1323"/>
      <c r="V783" s="1323"/>
    </row>
    <row r="784" spans="2:22" x14ac:dyDescent="0.2">
      <c r="B784" s="1323"/>
      <c r="C784" s="1323"/>
      <c r="D784" s="365"/>
      <c r="E784" s="365"/>
      <c r="F784" s="1325"/>
      <c r="G784" s="1325"/>
      <c r="H784" s="1325"/>
      <c r="I784" s="1325"/>
      <c r="J784" s="1325"/>
      <c r="K784" s="1325"/>
      <c r="L784" s="1325"/>
      <c r="M784" s="1325"/>
      <c r="N784" s="365"/>
      <c r="O784" s="1331"/>
      <c r="P784" s="1323"/>
      <c r="Q784" s="1323"/>
      <c r="R784" s="1323"/>
      <c r="S784" s="1323"/>
      <c r="T784" s="1323"/>
      <c r="U784" s="1323"/>
      <c r="V784" s="1323"/>
    </row>
    <row r="785" spans="2:22" x14ac:dyDescent="0.2">
      <c r="B785" s="1323"/>
      <c r="C785" s="1323"/>
      <c r="D785" s="365"/>
      <c r="E785" s="365"/>
      <c r="F785" s="1325"/>
      <c r="G785" s="1325"/>
      <c r="H785" s="1325"/>
      <c r="I785" s="1325"/>
      <c r="J785" s="1325"/>
      <c r="K785" s="1325"/>
      <c r="L785" s="1325"/>
      <c r="M785" s="1325"/>
      <c r="N785" s="365"/>
      <c r="O785" s="1331"/>
      <c r="P785" s="1323"/>
      <c r="Q785" s="1323"/>
      <c r="R785" s="1323"/>
      <c r="S785" s="1323"/>
      <c r="T785" s="1323"/>
      <c r="U785" s="1323"/>
      <c r="V785" s="1323"/>
    </row>
    <row r="786" spans="2:22" x14ac:dyDescent="0.2">
      <c r="B786" s="1323"/>
      <c r="C786" s="1323"/>
      <c r="D786" s="365"/>
      <c r="E786" s="365"/>
      <c r="F786" s="1325"/>
      <c r="G786" s="1325"/>
      <c r="H786" s="1325"/>
      <c r="I786" s="1325"/>
      <c r="J786" s="1325"/>
      <c r="K786" s="1325"/>
      <c r="L786" s="1325"/>
      <c r="M786" s="1325"/>
      <c r="N786" s="365"/>
      <c r="O786" s="1331"/>
      <c r="P786" s="1323"/>
      <c r="Q786" s="1323"/>
      <c r="R786" s="1323"/>
      <c r="S786" s="1323"/>
      <c r="T786" s="1323"/>
      <c r="U786" s="1323"/>
      <c r="V786" s="1323"/>
    </row>
    <row r="787" spans="2:22" x14ac:dyDescent="0.2">
      <c r="B787" s="1323"/>
      <c r="C787" s="1323"/>
      <c r="D787" s="365"/>
      <c r="E787" s="365"/>
      <c r="F787" s="1325"/>
      <c r="G787" s="1325"/>
      <c r="H787" s="1325"/>
      <c r="I787" s="1325"/>
      <c r="J787" s="1325"/>
      <c r="K787" s="1325"/>
      <c r="L787" s="1325"/>
      <c r="M787" s="1325"/>
      <c r="N787" s="365"/>
      <c r="O787" s="1331"/>
      <c r="P787" s="1323"/>
      <c r="Q787" s="1323"/>
      <c r="R787" s="1323"/>
      <c r="S787" s="1323"/>
      <c r="T787" s="1323"/>
      <c r="U787" s="1323"/>
      <c r="V787" s="1323"/>
    </row>
    <row r="788" spans="2:22" x14ac:dyDescent="0.2">
      <c r="B788" s="1323"/>
      <c r="C788" s="1323"/>
      <c r="D788" s="365"/>
      <c r="E788" s="365"/>
      <c r="F788" s="1325"/>
      <c r="G788" s="1325"/>
      <c r="H788" s="1325"/>
      <c r="I788" s="1325"/>
      <c r="J788" s="1325"/>
      <c r="K788" s="1325"/>
      <c r="L788" s="1325"/>
      <c r="M788" s="1325"/>
      <c r="N788" s="365"/>
      <c r="O788" s="1331"/>
      <c r="P788" s="1323"/>
      <c r="Q788" s="1323"/>
      <c r="R788" s="1323"/>
      <c r="S788" s="1323"/>
      <c r="T788" s="1323"/>
      <c r="U788" s="1323"/>
      <c r="V788" s="1323"/>
    </row>
    <row r="789" spans="2:22" x14ac:dyDescent="0.2">
      <c r="B789" s="1323"/>
      <c r="C789" s="1323"/>
      <c r="D789" s="365"/>
      <c r="E789" s="365"/>
      <c r="F789" s="1325"/>
      <c r="G789" s="1325"/>
      <c r="H789" s="1325"/>
      <c r="I789" s="1325"/>
      <c r="J789" s="1325"/>
      <c r="K789" s="1325"/>
      <c r="L789" s="1325"/>
      <c r="M789" s="1325"/>
      <c r="N789" s="365"/>
      <c r="O789" s="1331"/>
      <c r="P789" s="1323"/>
      <c r="Q789" s="1323"/>
      <c r="R789" s="1323"/>
      <c r="S789" s="1323"/>
      <c r="T789" s="1323"/>
      <c r="U789" s="1323"/>
      <c r="V789" s="1323"/>
    </row>
    <row r="790" spans="2:22" x14ac:dyDescent="0.2">
      <c r="B790" s="1323"/>
      <c r="C790" s="1323"/>
      <c r="D790" s="365"/>
      <c r="E790" s="365"/>
      <c r="F790" s="1325"/>
      <c r="G790" s="1325"/>
      <c r="H790" s="1325"/>
      <c r="I790" s="1325"/>
      <c r="J790" s="1325"/>
      <c r="K790" s="1325"/>
      <c r="L790" s="1325"/>
      <c r="M790" s="1325"/>
      <c r="N790" s="365"/>
      <c r="O790" s="1331"/>
      <c r="P790" s="1323"/>
      <c r="Q790" s="1323"/>
      <c r="R790" s="1323"/>
      <c r="S790" s="1323"/>
      <c r="T790" s="1323"/>
      <c r="U790" s="1323"/>
      <c r="V790" s="1323"/>
    </row>
    <row r="791" spans="2:22" x14ac:dyDescent="0.2">
      <c r="B791" s="1323"/>
      <c r="C791" s="1323"/>
      <c r="D791" s="365"/>
      <c r="E791" s="365"/>
      <c r="F791" s="1325"/>
      <c r="G791" s="1325"/>
      <c r="H791" s="1325"/>
      <c r="I791" s="1325"/>
      <c r="J791" s="1325"/>
      <c r="K791" s="1325"/>
      <c r="L791" s="1325"/>
      <c r="M791" s="1325"/>
      <c r="N791" s="365"/>
      <c r="O791" s="1331"/>
      <c r="P791" s="1323"/>
      <c r="Q791" s="1323"/>
      <c r="R791" s="1323"/>
      <c r="S791" s="1323"/>
      <c r="T791" s="1323"/>
      <c r="U791" s="1323"/>
      <c r="V791" s="1323"/>
    </row>
    <row r="792" spans="2:22" x14ac:dyDescent="0.2">
      <c r="B792" s="1323"/>
      <c r="C792" s="1323"/>
      <c r="D792" s="365"/>
      <c r="E792" s="365"/>
      <c r="F792" s="1325"/>
      <c r="G792" s="1325"/>
      <c r="H792" s="1325"/>
      <c r="I792" s="1325"/>
      <c r="J792" s="1325"/>
      <c r="K792" s="1325"/>
      <c r="L792" s="1325"/>
      <c r="M792" s="1325"/>
      <c r="N792" s="365"/>
      <c r="O792" s="1331"/>
      <c r="P792" s="1323"/>
      <c r="Q792" s="1323"/>
      <c r="R792" s="1323"/>
      <c r="S792" s="1323"/>
      <c r="T792" s="1323"/>
      <c r="U792" s="1323"/>
      <c r="V792" s="1323"/>
    </row>
    <row r="793" spans="2:22" x14ac:dyDescent="0.2">
      <c r="B793" s="1323"/>
      <c r="C793" s="1323"/>
      <c r="D793" s="365"/>
      <c r="E793" s="365"/>
      <c r="F793" s="1325"/>
      <c r="G793" s="1325"/>
      <c r="H793" s="1325"/>
      <c r="I793" s="1325"/>
      <c r="J793" s="1325"/>
      <c r="K793" s="1325"/>
      <c r="L793" s="1325"/>
      <c r="M793" s="1325"/>
      <c r="N793" s="365"/>
      <c r="O793" s="1331"/>
      <c r="P793" s="1323"/>
      <c r="Q793" s="1323"/>
      <c r="R793" s="1323"/>
      <c r="S793" s="1323"/>
      <c r="T793" s="1323"/>
      <c r="U793" s="1323"/>
      <c r="V793" s="1323"/>
    </row>
    <row r="794" spans="2:22" x14ac:dyDescent="0.2">
      <c r="B794" s="1323"/>
      <c r="C794" s="1323"/>
      <c r="D794" s="365"/>
      <c r="E794" s="365"/>
      <c r="F794" s="1325"/>
      <c r="G794" s="1325"/>
      <c r="H794" s="1325"/>
      <c r="I794" s="1325"/>
      <c r="J794" s="1325"/>
      <c r="K794" s="1325"/>
      <c r="L794" s="1325"/>
      <c r="M794" s="1325"/>
      <c r="N794" s="365"/>
      <c r="O794" s="1331"/>
      <c r="P794" s="1323"/>
      <c r="Q794" s="1323"/>
      <c r="R794" s="1323"/>
      <c r="S794" s="1323"/>
      <c r="T794" s="1323"/>
      <c r="U794" s="1323"/>
      <c r="V794" s="1323"/>
    </row>
    <row r="795" spans="2:22" x14ac:dyDescent="0.2">
      <c r="B795" s="1323"/>
      <c r="C795" s="1323"/>
      <c r="D795" s="365"/>
      <c r="E795" s="365"/>
      <c r="F795" s="1325"/>
      <c r="G795" s="1325"/>
      <c r="H795" s="1325"/>
      <c r="I795" s="1325"/>
      <c r="J795" s="1325"/>
      <c r="K795" s="1325"/>
      <c r="L795" s="1325"/>
      <c r="M795" s="1325"/>
      <c r="N795" s="365"/>
      <c r="O795" s="1331"/>
      <c r="P795" s="1323"/>
      <c r="Q795" s="1323"/>
      <c r="R795" s="1323"/>
      <c r="S795" s="1323"/>
      <c r="T795" s="1323"/>
      <c r="U795" s="1323"/>
      <c r="V795" s="1323"/>
    </row>
    <row r="796" spans="2:22" x14ac:dyDescent="0.2">
      <c r="B796" s="1323"/>
      <c r="C796" s="1323"/>
      <c r="D796" s="365"/>
      <c r="E796" s="365"/>
      <c r="F796" s="1325"/>
      <c r="G796" s="1325"/>
      <c r="H796" s="1325"/>
      <c r="I796" s="1325"/>
      <c r="J796" s="1325"/>
      <c r="K796" s="1325"/>
      <c r="L796" s="1325"/>
      <c r="M796" s="1325"/>
      <c r="N796" s="365"/>
      <c r="O796" s="1331"/>
      <c r="P796" s="1323"/>
      <c r="Q796" s="1323"/>
      <c r="R796" s="1323"/>
      <c r="S796" s="1323"/>
      <c r="T796" s="1323"/>
      <c r="U796" s="1323"/>
      <c r="V796" s="1323"/>
    </row>
    <row r="797" spans="2:22" x14ac:dyDescent="0.2">
      <c r="B797" s="1323"/>
      <c r="C797" s="1323"/>
      <c r="D797" s="365"/>
      <c r="E797" s="365"/>
      <c r="F797" s="1325"/>
      <c r="G797" s="1325"/>
      <c r="H797" s="1325"/>
      <c r="I797" s="1325"/>
      <c r="J797" s="1325"/>
      <c r="K797" s="1325"/>
      <c r="L797" s="1325"/>
      <c r="M797" s="1325"/>
      <c r="N797" s="365"/>
      <c r="O797" s="1331"/>
      <c r="P797" s="1323"/>
      <c r="Q797" s="1323"/>
      <c r="R797" s="1323"/>
      <c r="S797" s="1323"/>
      <c r="T797" s="1323"/>
      <c r="U797" s="1323"/>
      <c r="V797" s="1323"/>
    </row>
    <row r="798" spans="2:22" x14ac:dyDescent="0.2">
      <c r="B798" s="1323"/>
      <c r="C798" s="1323"/>
      <c r="D798" s="365"/>
      <c r="E798" s="365"/>
      <c r="F798" s="1325"/>
      <c r="G798" s="1325"/>
      <c r="H798" s="1325"/>
      <c r="I798" s="1325"/>
      <c r="J798" s="1325"/>
      <c r="K798" s="1325"/>
      <c r="L798" s="1325"/>
      <c r="M798" s="1325"/>
      <c r="N798" s="365"/>
      <c r="O798" s="1331"/>
      <c r="P798" s="1323"/>
      <c r="Q798" s="1323"/>
      <c r="R798" s="1323"/>
      <c r="S798" s="1323"/>
      <c r="T798" s="1323"/>
      <c r="U798" s="1323"/>
      <c r="V798" s="1323"/>
    </row>
    <row r="799" spans="2:22" x14ac:dyDescent="0.2">
      <c r="B799" s="1323"/>
      <c r="C799" s="1323"/>
      <c r="D799" s="365"/>
      <c r="E799" s="365"/>
      <c r="F799" s="1325"/>
      <c r="G799" s="1325"/>
      <c r="H799" s="1325"/>
      <c r="I799" s="1325"/>
      <c r="J799" s="1325"/>
      <c r="K799" s="1325"/>
      <c r="L799" s="1325"/>
      <c r="M799" s="1325"/>
      <c r="N799" s="365"/>
      <c r="O799" s="1331"/>
      <c r="P799" s="1323"/>
      <c r="Q799" s="1323"/>
      <c r="R799" s="1323"/>
      <c r="S799" s="1323"/>
      <c r="T799" s="1323"/>
      <c r="U799" s="1323"/>
      <c r="V799" s="1323"/>
    </row>
    <row r="800" spans="2:22" x14ac:dyDescent="0.2">
      <c r="B800" s="1323"/>
      <c r="C800" s="1323"/>
      <c r="D800" s="365"/>
      <c r="E800" s="365"/>
      <c r="F800" s="1325"/>
      <c r="G800" s="1325"/>
      <c r="H800" s="1325"/>
      <c r="I800" s="1325"/>
      <c r="J800" s="1325"/>
      <c r="K800" s="1325"/>
      <c r="L800" s="1325"/>
      <c r="M800" s="1325"/>
      <c r="N800" s="365"/>
      <c r="O800" s="1331"/>
      <c r="P800" s="1323"/>
      <c r="Q800" s="1323"/>
      <c r="R800" s="1323"/>
      <c r="S800" s="1323"/>
      <c r="T800" s="1323"/>
      <c r="U800" s="1323"/>
      <c r="V800" s="1323"/>
    </row>
    <row r="801" spans="2:22" x14ac:dyDescent="0.2">
      <c r="B801" s="1323"/>
      <c r="C801" s="1323"/>
      <c r="D801" s="365"/>
      <c r="E801" s="365"/>
      <c r="F801" s="1325"/>
      <c r="G801" s="1325"/>
      <c r="H801" s="1325"/>
      <c r="I801" s="1325"/>
      <c r="J801" s="1325"/>
      <c r="K801" s="1325"/>
      <c r="L801" s="1325"/>
      <c r="M801" s="1325"/>
      <c r="N801" s="365"/>
      <c r="O801" s="1331"/>
      <c r="P801" s="1323"/>
      <c r="Q801" s="1323"/>
      <c r="R801" s="1323"/>
      <c r="S801" s="1323"/>
      <c r="T801" s="1323"/>
      <c r="U801" s="1323"/>
      <c r="V801" s="1323"/>
    </row>
    <row r="802" spans="2:22" x14ac:dyDescent="0.2">
      <c r="B802" s="1323"/>
      <c r="C802" s="1323"/>
      <c r="D802" s="365"/>
      <c r="E802" s="365"/>
      <c r="F802" s="1325"/>
      <c r="G802" s="1325"/>
      <c r="H802" s="1325"/>
      <c r="I802" s="1325"/>
      <c r="J802" s="1325"/>
      <c r="K802" s="1325"/>
      <c r="L802" s="1325"/>
      <c r="M802" s="1325"/>
      <c r="N802" s="365"/>
      <c r="O802" s="1331"/>
      <c r="P802" s="1323"/>
      <c r="Q802" s="1323"/>
      <c r="R802" s="1323"/>
      <c r="S802" s="1323"/>
      <c r="T802" s="1323"/>
      <c r="U802" s="1323"/>
      <c r="V802" s="1323"/>
    </row>
    <row r="803" spans="2:22" x14ac:dyDescent="0.2">
      <c r="B803" s="1323"/>
      <c r="C803" s="1323"/>
      <c r="D803" s="365"/>
      <c r="E803" s="365"/>
      <c r="F803" s="1325"/>
      <c r="G803" s="1325"/>
      <c r="H803" s="1325"/>
      <c r="I803" s="1325"/>
      <c r="J803" s="1325"/>
      <c r="K803" s="1325"/>
      <c r="L803" s="1325"/>
      <c r="M803" s="1325"/>
      <c r="N803" s="365"/>
      <c r="O803" s="1331"/>
      <c r="P803" s="1323"/>
      <c r="Q803" s="1323"/>
      <c r="R803" s="1323"/>
      <c r="S803" s="1323"/>
      <c r="T803" s="1323"/>
      <c r="U803" s="1323"/>
      <c r="V803" s="1323"/>
    </row>
    <row r="804" spans="2:22" x14ac:dyDescent="0.2">
      <c r="B804" s="1323"/>
      <c r="C804" s="1323"/>
      <c r="D804" s="365"/>
      <c r="E804" s="365"/>
      <c r="F804" s="1325"/>
      <c r="G804" s="1325"/>
      <c r="H804" s="1325"/>
      <c r="I804" s="1325"/>
      <c r="J804" s="1325"/>
      <c r="K804" s="1325"/>
      <c r="L804" s="1325"/>
      <c r="M804" s="1325"/>
      <c r="N804" s="365"/>
      <c r="O804" s="1331"/>
      <c r="P804" s="1323"/>
      <c r="Q804" s="1323"/>
      <c r="R804" s="1323"/>
      <c r="S804" s="1323"/>
      <c r="T804" s="1323"/>
      <c r="U804" s="1323"/>
      <c r="V804" s="1323"/>
    </row>
    <row r="805" spans="2:22" x14ac:dyDescent="0.2">
      <c r="B805" s="1323"/>
      <c r="C805" s="1323"/>
      <c r="D805" s="365"/>
      <c r="E805" s="365"/>
      <c r="F805" s="1325"/>
      <c r="G805" s="1325"/>
      <c r="H805" s="1325"/>
      <c r="I805" s="1325"/>
      <c r="J805" s="1325"/>
      <c r="K805" s="1325"/>
      <c r="L805" s="1325"/>
      <c r="M805" s="1325"/>
      <c r="N805" s="365"/>
      <c r="O805" s="1331"/>
      <c r="P805" s="1323"/>
      <c r="Q805" s="1323"/>
      <c r="R805" s="1323"/>
      <c r="S805" s="1323"/>
      <c r="T805" s="1323"/>
      <c r="U805" s="1323"/>
      <c r="V805" s="1323"/>
    </row>
    <row r="806" spans="2:22" x14ac:dyDescent="0.2">
      <c r="B806" s="1323"/>
      <c r="C806" s="1323"/>
      <c r="D806" s="365"/>
      <c r="E806" s="365"/>
      <c r="F806" s="1325"/>
      <c r="G806" s="1325"/>
      <c r="H806" s="1325"/>
      <c r="I806" s="1325"/>
      <c r="J806" s="1325"/>
      <c r="K806" s="1325"/>
      <c r="L806" s="1325"/>
      <c r="M806" s="1325"/>
      <c r="N806" s="365"/>
      <c r="O806" s="1331"/>
      <c r="P806" s="1323"/>
      <c r="Q806" s="1323"/>
      <c r="R806" s="1323"/>
      <c r="S806" s="1323"/>
      <c r="T806" s="1323"/>
      <c r="U806" s="1323"/>
      <c r="V806" s="1323"/>
    </row>
    <row r="807" spans="2:22" x14ac:dyDescent="0.2">
      <c r="B807" s="1323"/>
      <c r="C807" s="1323"/>
      <c r="D807" s="365"/>
      <c r="E807" s="365"/>
      <c r="F807" s="1325"/>
      <c r="G807" s="1325"/>
      <c r="H807" s="1325"/>
      <c r="I807" s="1325"/>
      <c r="J807" s="1325"/>
      <c r="K807" s="1325"/>
      <c r="L807" s="1325"/>
      <c r="M807" s="1325"/>
      <c r="N807" s="365"/>
      <c r="O807" s="1331"/>
      <c r="P807" s="1323"/>
      <c r="Q807" s="1323"/>
      <c r="R807" s="1323"/>
      <c r="S807" s="1323"/>
      <c r="T807" s="1323"/>
      <c r="U807" s="1323"/>
      <c r="V807" s="1323"/>
    </row>
    <row r="808" spans="2:22" x14ac:dyDescent="0.2">
      <c r="B808" s="1323"/>
      <c r="C808" s="1323"/>
      <c r="D808" s="365"/>
      <c r="E808" s="365"/>
      <c r="F808" s="1325"/>
      <c r="G808" s="1325"/>
      <c r="H808" s="1325"/>
      <c r="I808" s="1325"/>
      <c r="J808" s="1325"/>
      <c r="K808" s="1325"/>
      <c r="L808" s="1325"/>
      <c r="M808" s="1325"/>
      <c r="N808" s="365"/>
      <c r="O808" s="1331"/>
      <c r="P808" s="1323"/>
      <c r="Q808" s="1323"/>
      <c r="R808" s="1323"/>
      <c r="S808" s="1323"/>
      <c r="T808" s="1323"/>
      <c r="U808" s="1323"/>
      <c r="V808" s="1323"/>
    </row>
    <row r="809" spans="2:22" x14ac:dyDescent="0.2">
      <c r="B809" s="1323"/>
      <c r="C809" s="1323"/>
      <c r="D809" s="365"/>
      <c r="E809" s="365"/>
      <c r="F809" s="1325"/>
      <c r="G809" s="1325"/>
      <c r="H809" s="1325"/>
      <c r="I809" s="1325"/>
      <c r="J809" s="1325"/>
      <c r="K809" s="1325"/>
      <c r="L809" s="1325"/>
      <c r="M809" s="1325"/>
      <c r="N809" s="365"/>
      <c r="O809" s="1331"/>
      <c r="P809" s="1323"/>
      <c r="Q809" s="1323"/>
      <c r="R809" s="1323"/>
      <c r="S809" s="1323"/>
      <c r="T809" s="1323"/>
      <c r="U809" s="1323"/>
      <c r="V809" s="1323"/>
    </row>
    <row r="810" spans="2:22" x14ac:dyDescent="0.2">
      <c r="B810" s="1323"/>
      <c r="C810" s="1323"/>
      <c r="D810" s="365"/>
      <c r="E810" s="365"/>
      <c r="F810" s="1325"/>
      <c r="G810" s="1325"/>
      <c r="H810" s="1325"/>
      <c r="I810" s="1325"/>
      <c r="J810" s="1325"/>
      <c r="K810" s="1325"/>
      <c r="L810" s="1325"/>
      <c r="M810" s="1325"/>
      <c r="N810" s="365"/>
      <c r="O810" s="1331"/>
      <c r="P810" s="1323"/>
      <c r="Q810" s="1323"/>
      <c r="R810" s="1323"/>
      <c r="S810" s="1323"/>
      <c r="T810" s="1323"/>
      <c r="U810" s="1323"/>
      <c r="V810" s="1323"/>
    </row>
    <row r="811" spans="2:22" x14ac:dyDescent="0.2">
      <c r="B811" s="1323"/>
      <c r="C811" s="1323"/>
      <c r="D811" s="365"/>
      <c r="E811" s="365"/>
      <c r="F811" s="1325"/>
      <c r="G811" s="1325"/>
      <c r="H811" s="1325"/>
      <c r="I811" s="1325"/>
      <c r="J811" s="1325"/>
      <c r="K811" s="1325"/>
      <c r="L811" s="1325"/>
      <c r="M811" s="1325"/>
      <c r="N811" s="365"/>
      <c r="O811" s="1331"/>
      <c r="P811" s="1323"/>
      <c r="Q811" s="1323"/>
      <c r="R811" s="1323"/>
      <c r="S811" s="1323"/>
      <c r="T811" s="1323"/>
      <c r="U811" s="1323"/>
      <c r="V811" s="1323"/>
    </row>
    <row r="812" spans="2:22" x14ac:dyDescent="0.2">
      <c r="B812" s="1323"/>
      <c r="C812" s="1323"/>
      <c r="D812" s="365"/>
      <c r="E812" s="365"/>
      <c r="F812" s="1325"/>
      <c r="G812" s="1325"/>
      <c r="H812" s="1325"/>
      <c r="I812" s="1325"/>
      <c r="J812" s="1325"/>
      <c r="K812" s="1325"/>
      <c r="L812" s="1325"/>
      <c r="M812" s="1325"/>
      <c r="N812" s="365"/>
      <c r="O812" s="1331"/>
      <c r="P812" s="1323"/>
      <c r="Q812" s="1323"/>
      <c r="R812" s="1323"/>
      <c r="S812" s="1323"/>
      <c r="T812" s="1323"/>
      <c r="U812" s="1323"/>
      <c r="V812" s="1323"/>
    </row>
    <row r="813" spans="2:22" x14ac:dyDescent="0.2">
      <c r="B813" s="1323"/>
      <c r="C813" s="1323"/>
      <c r="D813" s="365"/>
      <c r="E813" s="365"/>
      <c r="F813" s="1325"/>
      <c r="G813" s="1325"/>
      <c r="H813" s="1325"/>
      <c r="I813" s="1325"/>
      <c r="J813" s="1325"/>
      <c r="K813" s="1325"/>
      <c r="L813" s="1325"/>
      <c r="M813" s="1325"/>
      <c r="N813" s="365"/>
      <c r="O813" s="1331"/>
      <c r="P813" s="1323"/>
      <c r="Q813" s="1323"/>
      <c r="R813" s="1323"/>
      <c r="S813" s="1323"/>
      <c r="T813" s="1323"/>
      <c r="U813" s="1323"/>
      <c r="V813" s="1323"/>
    </row>
    <row r="814" spans="2:22" x14ac:dyDescent="0.2">
      <c r="B814" s="1323"/>
      <c r="C814" s="1323"/>
      <c r="D814" s="365"/>
      <c r="E814" s="365"/>
      <c r="F814" s="1325"/>
      <c r="G814" s="1325"/>
      <c r="H814" s="1325"/>
      <c r="I814" s="1325"/>
      <c r="J814" s="1325"/>
      <c r="K814" s="1325"/>
      <c r="L814" s="1325"/>
      <c r="M814" s="1325"/>
      <c r="N814" s="365"/>
      <c r="O814" s="1331"/>
      <c r="P814" s="1323"/>
      <c r="Q814" s="1323"/>
      <c r="R814" s="1323"/>
      <c r="S814" s="1323"/>
      <c r="T814" s="1323"/>
      <c r="U814" s="1323"/>
      <c r="V814" s="1323"/>
    </row>
    <row r="815" spans="2:22" x14ac:dyDescent="0.2">
      <c r="B815" s="1323"/>
      <c r="C815" s="1323"/>
      <c r="D815" s="365"/>
      <c r="E815" s="365"/>
      <c r="F815" s="1325"/>
      <c r="G815" s="1325"/>
      <c r="H815" s="1325"/>
      <c r="I815" s="1325"/>
      <c r="J815" s="1325"/>
      <c r="K815" s="1325"/>
      <c r="L815" s="1325"/>
      <c r="M815" s="1325"/>
      <c r="N815" s="365"/>
      <c r="O815" s="1331"/>
      <c r="P815" s="1323"/>
      <c r="Q815" s="1323"/>
      <c r="R815" s="1323"/>
      <c r="S815" s="1323"/>
      <c r="T815" s="1323"/>
      <c r="U815" s="1323"/>
      <c r="V815" s="1323"/>
    </row>
    <row r="816" spans="2:22" x14ac:dyDescent="0.2">
      <c r="B816" s="1323"/>
      <c r="C816" s="1323"/>
      <c r="D816" s="365"/>
      <c r="E816" s="365"/>
      <c r="F816" s="1325"/>
      <c r="G816" s="1325"/>
      <c r="H816" s="1325"/>
      <c r="I816" s="1325"/>
      <c r="J816" s="1325"/>
      <c r="K816" s="1325"/>
      <c r="L816" s="1325"/>
      <c r="M816" s="1325"/>
      <c r="N816" s="365"/>
      <c r="O816" s="1331"/>
      <c r="P816" s="1323"/>
      <c r="Q816" s="1323"/>
      <c r="R816" s="1323"/>
      <c r="S816" s="1323"/>
      <c r="T816" s="1323"/>
      <c r="U816" s="1323"/>
      <c r="V816" s="1323"/>
    </row>
    <row r="817" spans="2:22" x14ac:dyDescent="0.2">
      <c r="B817" s="1323"/>
      <c r="C817" s="1323"/>
      <c r="D817" s="365"/>
      <c r="E817" s="365"/>
      <c r="F817" s="1325"/>
      <c r="G817" s="1325"/>
      <c r="H817" s="1325"/>
      <c r="I817" s="1325"/>
      <c r="J817" s="1325"/>
      <c r="K817" s="1325"/>
      <c r="L817" s="1325"/>
      <c r="M817" s="1325"/>
      <c r="N817" s="365"/>
      <c r="O817" s="1331"/>
      <c r="P817" s="1323"/>
      <c r="Q817" s="1323"/>
      <c r="R817" s="1323"/>
      <c r="S817" s="1323"/>
      <c r="T817" s="1323"/>
      <c r="U817" s="1323"/>
      <c r="V817" s="1323"/>
    </row>
    <row r="818" spans="2:22" x14ac:dyDescent="0.2">
      <c r="B818" s="1323"/>
      <c r="C818" s="1323"/>
      <c r="D818" s="365"/>
      <c r="E818" s="365"/>
      <c r="F818" s="1325"/>
      <c r="G818" s="1325"/>
      <c r="H818" s="1325"/>
      <c r="I818" s="1325"/>
      <c r="J818" s="1325"/>
      <c r="K818" s="1325"/>
      <c r="L818" s="1325"/>
      <c r="M818" s="1325"/>
      <c r="N818" s="365"/>
      <c r="O818" s="1331"/>
      <c r="P818" s="1323"/>
      <c r="Q818" s="1323"/>
      <c r="R818" s="1323"/>
      <c r="S818" s="1323"/>
      <c r="T818" s="1323"/>
      <c r="U818" s="1323"/>
      <c r="V818" s="1323"/>
    </row>
    <row r="819" spans="2:22" x14ac:dyDescent="0.2">
      <c r="B819" s="1323"/>
      <c r="C819" s="1323"/>
      <c r="D819" s="365"/>
      <c r="E819" s="365"/>
      <c r="F819" s="1325"/>
      <c r="G819" s="1325"/>
      <c r="H819" s="1325"/>
      <c r="I819" s="1325"/>
      <c r="J819" s="1325"/>
      <c r="K819" s="1325"/>
      <c r="L819" s="1325"/>
      <c r="M819" s="1325"/>
      <c r="N819" s="365"/>
      <c r="O819" s="1331"/>
      <c r="P819" s="1323"/>
      <c r="Q819" s="1323"/>
      <c r="R819" s="1323"/>
      <c r="S819" s="1323"/>
      <c r="T819" s="1323"/>
      <c r="U819" s="1323"/>
      <c r="V819" s="1323"/>
    </row>
    <row r="820" spans="2:22" x14ac:dyDescent="0.2">
      <c r="B820" s="1323"/>
      <c r="C820" s="1323"/>
      <c r="D820" s="365"/>
      <c r="E820" s="365"/>
      <c r="F820" s="1325"/>
      <c r="G820" s="1325"/>
      <c r="H820" s="1325"/>
      <c r="I820" s="1325"/>
      <c r="J820" s="1325"/>
      <c r="K820" s="1325"/>
      <c r="L820" s="1325"/>
      <c r="M820" s="1325"/>
      <c r="N820" s="365"/>
      <c r="O820" s="1331"/>
      <c r="P820" s="1323"/>
      <c r="Q820" s="1323"/>
      <c r="R820" s="1323"/>
      <c r="S820" s="1323"/>
      <c r="T820" s="1323"/>
      <c r="U820" s="1323"/>
      <c r="V820" s="1323"/>
    </row>
    <row r="821" spans="2:22" x14ac:dyDescent="0.2">
      <c r="B821" s="1323"/>
      <c r="C821" s="1323"/>
      <c r="D821" s="365"/>
      <c r="E821" s="365"/>
      <c r="F821" s="1325"/>
      <c r="G821" s="1325"/>
      <c r="H821" s="1325"/>
      <c r="I821" s="1325"/>
      <c r="J821" s="1325"/>
      <c r="K821" s="1325"/>
      <c r="L821" s="1325"/>
      <c r="M821" s="1325"/>
      <c r="N821" s="365"/>
      <c r="O821" s="1331"/>
      <c r="P821" s="1323"/>
      <c r="Q821" s="1323"/>
      <c r="R821" s="1323"/>
      <c r="S821" s="1323"/>
      <c r="T821" s="1323"/>
      <c r="U821" s="1323"/>
      <c r="V821" s="1323"/>
    </row>
    <row r="822" spans="2:22" x14ac:dyDescent="0.2">
      <c r="B822" s="1323"/>
      <c r="C822" s="1323"/>
      <c r="D822" s="365"/>
      <c r="E822" s="365"/>
      <c r="F822" s="1325"/>
      <c r="G822" s="1325"/>
      <c r="H822" s="1325"/>
      <c r="I822" s="1325"/>
      <c r="J822" s="1325"/>
      <c r="K822" s="1325"/>
      <c r="L822" s="1325"/>
      <c r="M822" s="1325"/>
      <c r="N822" s="365"/>
      <c r="O822" s="1331"/>
      <c r="P822" s="1323"/>
      <c r="Q822" s="1323"/>
      <c r="R822" s="1323"/>
      <c r="S822" s="1323"/>
      <c r="T822" s="1323"/>
      <c r="U822" s="1323"/>
      <c r="V822" s="1323"/>
    </row>
    <row r="823" spans="2:22" x14ac:dyDescent="0.2">
      <c r="B823" s="1323"/>
      <c r="C823" s="1323"/>
      <c r="D823" s="365"/>
      <c r="E823" s="365"/>
      <c r="F823" s="1325"/>
      <c r="G823" s="1325"/>
      <c r="H823" s="1325"/>
      <c r="I823" s="1325"/>
      <c r="J823" s="1325"/>
      <c r="K823" s="1325"/>
      <c r="L823" s="1325"/>
      <c r="M823" s="1325"/>
      <c r="N823" s="365"/>
      <c r="O823" s="1331"/>
      <c r="P823" s="1323"/>
      <c r="Q823" s="1323"/>
      <c r="R823" s="1323"/>
      <c r="S823" s="1323"/>
      <c r="T823" s="1323"/>
      <c r="U823" s="1323"/>
      <c r="V823" s="1323"/>
    </row>
    <row r="824" spans="2:22" x14ac:dyDescent="0.2">
      <c r="B824" s="1323"/>
      <c r="C824" s="1323"/>
      <c r="D824" s="365"/>
      <c r="E824" s="365"/>
      <c r="F824" s="1325"/>
      <c r="G824" s="1325"/>
      <c r="H824" s="1325"/>
      <c r="I824" s="1325"/>
      <c r="J824" s="1325"/>
      <c r="K824" s="1325"/>
      <c r="L824" s="1325"/>
      <c r="M824" s="1325"/>
      <c r="N824" s="365"/>
      <c r="O824" s="1331"/>
      <c r="P824" s="1323"/>
      <c r="Q824" s="1323"/>
      <c r="R824" s="1323"/>
      <c r="S824" s="1323"/>
      <c r="T824" s="1323"/>
      <c r="U824" s="1323"/>
      <c r="V824" s="1323"/>
    </row>
    <row r="825" spans="2:22" x14ac:dyDescent="0.2">
      <c r="B825" s="1323"/>
      <c r="C825" s="1323"/>
      <c r="D825" s="365"/>
      <c r="E825" s="365"/>
      <c r="F825" s="1325"/>
      <c r="G825" s="1325"/>
      <c r="H825" s="1325"/>
      <c r="I825" s="1325"/>
      <c r="J825" s="1325"/>
      <c r="K825" s="1325"/>
      <c r="L825" s="1325"/>
      <c r="M825" s="1325"/>
      <c r="N825" s="365"/>
      <c r="O825" s="1331"/>
      <c r="P825" s="1323"/>
      <c r="Q825" s="1323"/>
      <c r="R825" s="1323"/>
      <c r="S825" s="1323"/>
      <c r="T825" s="1323"/>
      <c r="U825" s="1323"/>
      <c r="V825" s="1323"/>
    </row>
    <row r="826" spans="2:22" x14ac:dyDescent="0.2">
      <c r="B826" s="1323"/>
      <c r="C826" s="1323"/>
      <c r="D826" s="365"/>
      <c r="E826" s="365"/>
      <c r="F826" s="1325"/>
      <c r="G826" s="1325"/>
      <c r="H826" s="1325"/>
      <c r="I826" s="1325"/>
      <c r="J826" s="1325"/>
      <c r="K826" s="1325"/>
      <c r="L826" s="1325"/>
      <c r="M826" s="1325"/>
      <c r="N826" s="365"/>
      <c r="O826" s="1331"/>
      <c r="P826" s="1323"/>
      <c r="Q826" s="1323"/>
      <c r="R826" s="1323"/>
      <c r="S826" s="1323"/>
      <c r="T826" s="1323"/>
      <c r="U826" s="1323"/>
      <c r="V826" s="1323"/>
    </row>
    <row r="827" spans="2:22" x14ac:dyDescent="0.2">
      <c r="B827" s="1323"/>
      <c r="C827" s="1323"/>
      <c r="D827" s="365"/>
      <c r="E827" s="365"/>
      <c r="F827" s="1325"/>
      <c r="G827" s="1325"/>
      <c r="H827" s="1325"/>
      <c r="I827" s="1325"/>
      <c r="J827" s="1325"/>
      <c r="K827" s="1325"/>
      <c r="L827" s="1325"/>
      <c r="M827" s="1325"/>
      <c r="N827" s="365"/>
      <c r="O827" s="1331"/>
      <c r="P827" s="1323"/>
      <c r="Q827" s="1323"/>
      <c r="R827" s="1323"/>
      <c r="S827" s="1323"/>
      <c r="T827" s="1323"/>
      <c r="U827" s="1323"/>
      <c r="V827" s="1323"/>
    </row>
    <row r="828" spans="2:22" x14ac:dyDescent="0.2">
      <c r="B828" s="1323"/>
      <c r="C828" s="1323"/>
      <c r="D828" s="365"/>
      <c r="E828" s="365"/>
      <c r="F828" s="1325"/>
      <c r="G828" s="1325"/>
      <c r="H828" s="1325"/>
      <c r="I828" s="1325"/>
      <c r="J828" s="1325"/>
      <c r="K828" s="1325"/>
      <c r="L828" s="1325"/>
      <c r="M828" s="1325"/>
      <c r="N828" s="365"/>
      <c r="O828" s="1331"/>
      <c r="P828" s="1323"/>
      <c r="Q828" s="1323"/>
      <c r="R828" s="1323"/>
      <c r="S828" s="1323"/>
      <c r="T828" s="1323"/>
      <c r="U828" s="1323"/>
      <c r="V828" s="1323"/>
    </row>
    <row r="829" spans="2:22" x14ac:dyDescent="0.2">
      <c r="B829" s="1323"/>
      <c r="C829" s="1323"/>
      <c r="D829" s="365"/>
      <c r="E829" s="365"/>
      <c r="F829" s="1325"/>
      <c r="G829" s="1325"/>
      <c r="H829" s="1325"/>
      <c r="I829" s="1325"/>
      <c r="J829" s="1325"/>
      <c r="K829" s="1325"/>
      <c r="L829" s="1325"/>
      <c r="M829" s="1325"/>
      <c r="N829" s="365"/>
      <c r="O829" s="1331"/>
      <c r="P829" s="1323"/>
      <c r="Q829" s="1323"/>
      <c r="R829" s="1323"/>
      <c r="S829" s="1323"/>
      <c r="T829" s="1323"/>
      <c r="U829" s="1323"/>
      <c r="V829" s="1323"/>
    </row>
    <row r="830" spans="2:22" x14ac:dyDescent="0.2">
      <c r="B830" s="1323"/>
      <c r="C830" s="1323"/>
      <c r="D830" s="365"/>
      <c r="E830" s="365"/>
      <c r="F830" s="1325"/>
      <c r="G830" s="1325"/>
      <c r="H830" s="1325"/>
      <c r="I830" s="1325"/>
      <c r="J830" s="1325"/>
      <c r="K830" s="1325"/>
      <c r="L830" s="1325"/>
      <c r="M830" s="1325"/>
      <c r="N830" s="365"/>
      <c r="O830" s="1331"/>
      <c r="P830" s="1323"/>
      <c r="Q830" s="1323"/>
      <c r="R830" s="1323"/>
      <c r="S830" s="1323"/>
      <c r="T830" s="1323"/>
      <c r="U830" s="1323"/>
      <c r="V830" s="1323"/>
    </row>
    <row r="831" spans="2:22" x14ac:dyDescent="0.2">
      <c r="B831" s="1323"/>
      <c r="C831" s="1323"/>
      <c r="D831" s="365"/>
      <c r="E831" s="365"/>
      <c r="F831" s="1325"/>
      <c r="G831" s="1325"/>
      <c r="H831" s="1325"/>
      <c r="I831" s="1325"/>
      <c r="J831" s="1325"/>
      <c r="K831" s="1325"/>
      <c r="L831" s="1325"/>
      <c r="M831" s="1325"/>
      <c r="N831" s="365"/>
      <c r="O831" s="1331"/>
      <c r="P831" s="1323"/>
      <c r="Q831" s="1323"/>
      <c r="R831" s="1323"/>
      <c r="S831" s="1323"/>
      <c r="T831" s="1323"/>
      <c r="U831" s="1323"/>
      <c r="V831" s="1323"/>
    </row>
    <row r="832" spans="2:22" x14ac:dyDescent="0.2">
      <c r="B832" s="1323"/>
      <c r="C832" s="1323"/>
      <c r="D832" s="365"/>
      <c r="E832" s="365"/>
      <c r="F832" s="1325"/>
      <c r="G832" s="1325"/>
      <c r="H832" s="1325"/>
      <c r="I832" s="1325"/>
      <c r="J832" s="1325"/>
      <c r="K832" s="1325"/>
      <c r="L832" s="1325"/>
      <c r="M832" s="1325"/>
      <c r="N832" s="365"/>
      <c r="O832" s="1331"/>
      <c r="P832" s="1323"/>
      <c r="Q832" s="1323"/>
      <c r="R832" s="1323"/>
      <c r="S832" s="1323"/>
      <c r="T832" s="1323"/>
      <c r="U832" s="1323"/>
      <c r="V832" s="1323"/>
    </row>
    <row r="833" spans="2:22" x14ac:dyDescent="0.2">
      <c r="B833" s="1323"/>
      <c r="C833" s="1323"/>
      <c r="D833" s="365"/>
      <c r="E833" s="365"/>
      <c r="F833" s="1325"/>
      <c r="G833" s="1325"/>
      <c r="H833" s="1325"/>
      <c r="I833" s="1325"/>
      <c r="J833" s="1325"/>
      <c r="K833" s="1325"/>
      <c r="L833" s="1325"/>
      <c r="M833" s="1325"/>
      <c r="N833" s="365"/>
      <c r="O833" s="1331"/>
      <c r="P833" s="1323"/>
      <c r="Q833" s="1323"/>
      <c r="R833" s="1323"/>
      <c r="S833" s="1323"/>
      <c r="T833" s="1323"/>
      <c r="U833" s="1323"/>
      <c r="V833" s="1323"/>
    </row>
    <row r="834" spans="2:22" x14ac:dyDescent="0.2">
      <c r="B834" s="1323"/>
      <c r="C834" s="1323"/>
      <c r="D834" s="365"/>
      <c r="E834" s="365"/>
      <c r="F834" s="1325"/>
      <c r="G834" s="1325"/>
      <c r="H834" s="1325"/>
      <c r="I834" s="1325"/>
      <c r="J834" s="1325"/>
      <c r="K834" s="1325"/>
      <c r="L834" s="1325"/>
      <c r="M834" s="1325"/>
      <c r="N834" s="365"/>
      <c r="O834" s="1331"/>
      <c r="P834" s="1323"/>
      <c r="Q834" s="1323"/>
      <c r="R834" s="1323"/>
      <c r="S834" s="1323"/>
      <c r="T834" s="1323"/>
      <c r="U834" s="1323"/>
      <c r="V834" s="1323"/>
    </row>
    <row r="835" spans="2:22" x14ac:dyDescent="0.2">
      <c r="B835" s="1323"/>
      <c r="C835" s="1323"/>
      <c r="D835" s="365"/>
      <c r="E835" s="365"/>
      <c r="F835" s="1325"/>
      <c r="G835" s="1325"/>
      <c r="H835" s="1325"/>
      <c r="I835" s="1325"/>
      <c r="J835" s="1325"/>
      <c r="K835" s="1325"/>
      <c r="L835" s="1325"/>
      <c r="M835" s="1325"/>
      <c r="N835" s="365"/>
      <c r="O835" s="1331"/>
      <c r="P835" s="1323"/>
      <c r="Q835" s="1323"/>
      <c r="R835" s="1323"/>
      <c r="S835" s="1323"/>
      <c r="T835" s="1323"/>
      <c r="U835" s="1323"/>
      <c r="V835" s="1323"/>
    </row>
    <row r="836" spans="2:22" x14ac:dyDescent="0.2">
      <c r="B836" s="1323"/>
      <c r="C836" s="1323"/>
      <c r="D836" s="365"/>
      <c r="E836" s="365"/>
      <c r="F836" s="1325"/>
      <c r="G836" s="1325"/>
      <c r="H836" s="1325"/>
      <c r="I836" s="1325"/>
      <c r="J836" s="1325"/>
      <c r="K836" s="1325"/>
      <c r="L836" s="1325"/>
      <c r="M836" s="1325"/>
      <c r="N836" s="365"/>
      <c r="O836" s="1331"/>
      <c r="P836" s="1323"/>
      <c r="Q836" s="1323"/>
      <c r="R836" s="1323"/>
      <c r="S836" s="1323"/>
      <c r="T836" s="1323"/>
      <c r="U836" s="1323"/>
      <c r="V836" s="1323"/>
    </row>
    <row r="837" spans="2:22" x14ac:dyDescent="0.2">
      <c r="B837" s="1323"/>
      <c r="C837" s="1323"/>
      <c r="D837" s="365"/>
      <c r="E837" s="365"/>
      <c r="F837" s="1325"/>
      <c r="G837" s="1325"/>
      <c r="H837" s="1325"/>
      <c r="I837" s="1325"/>
      <c r="J837" s="1325"/>
      <c r="K837" s="1325"/>
      <c r="L837" s="1325"/>
      <c r="M837" s="1325"/>
      <c r="N837" s="365"/>
      <c r="O837" s="1331"/>
      <c r="P837" s="1323"/>
      <c r="Q837" s="1323"/>
      <c r="R837" s="1323"/>
      <c r="S837" s="1323"/>
      <c r="T837" s="1323"/>
      <c r="U837" s="1323"/>
      <c r="V837" s="1323"/>
    </row>
    <row r="838" spans="2:22" x14ac:dyDescent="0.2">
      <c r="B838" s="1323"/>
      <c r="C838" s="1323"/>
      <c r="D838" s="365"/>
      <c r="E838" s="365"/>
      <c r="F838" s="1325"/>
      <c r="G838" s="1325"/>
      <c r="H838" s="1325"/>
      <c r="I838" s="1325"/>
      <c r="J838" s="1325"/>
      <c r="K838" s="1325"/>
      <c r="L838" s="1325"/>
      <c r="M838" s="1325"/>
      <c r="N838" s="365"/>
      <c r="O838" s="1331"/>
      <c r="P838" s="1323"/>
      <c r="Q838" s="1323"/>
      <c r="R838" s="1323"/>
      <c r="S838" s="1323"/>
      <c r="T838" s="1323"/>
      <c r="U838" s="1323"/>
      <c r="V838" s="1323"/>
    </row>
    <row r="839" spans="2:22" x14ac:dyDescent="0.2">
      <c r="B839" s="1323"/>
      <c r="C839" s="1323"/>
      <c r="D839" s="365"/>
      <c r="E839" s="365"/>
      <c r="F839" s="1325"/>
      <c r="G839" s="1325"/>
      <c r="H839" s="1325"/>
      <c r="I839" s="1325"/>
      <c r="J839" s="1325"/>
      <c r="K839" s="1325"/>
      <c r="L839" s="1325"/>
      <c r="M839" s="1325"/>
      <c r="N839" s="365"/>
      <c r="O839" s="1331"/>
      <c r="P839" s="1323"/>
      <c r="Q839" s="1323"/>
      <c r="R839" s="1323"/>
      <c r="S839" s="1323"/>
      <c r="T839" s="1323"/>
      <c r="U839" s="1323"/>
      <c r="V839" s="1323"/>
    </row>
    <row r="840" spans="2:22" x14ac:dyDescent="0.2">
      <c r="B840" s="1323"/>
      <c r="C840" s="1323"/>
      <c r="D840" s="365"/>
      <c r="E840" s="365"/>
      <c r="F840" s="1325"/>
      <c r="G840" s="1325"/>
      <c r="H840" s="1325"/>
      <c r="I840" s="1325"/>
      <c r="J840" s="1325"/>
      <c r="K840" s="1325"/>
      <c r="L840" s="1325"/>
      <c r="M840" s="1325"/>
      <c r="N840" s="365"/>
      <c r="O840" s="1331"/>
      <c r="P840" s="1323"/>
      <c r="Q840" s="1323"/>
      <c r="R840" s="1323"/>
      <c r="S840" s="1323"/>
      <c r="T840" s="1323"/>
      <c r="U840" s="1323"/>
      <c r="V840" s="1323"/>
    </row>
    <row r="841" spans="2:22" x14ac:dyDescent="0.2">
      <c r="B841" s="1323"/>
      <c r="C841" s="1323"/>
      <c r="D841" s="365"/>
      <c r="E841" s="365"/>
      <c r="F841" s="1325"/>
      <c r="G841" s="1325"/>
      <c r="H841" s="1325"/>
      <c r="I841" s="1325"/>
      <c r="J841" s="1325"/>
      <c r="K841" s="1325"/>
      <c r="L841" s="1325"/>
      <c r="M841" s="1325"/>
      <c r="N841" s="365"/>
      <c r="O841" s="1331"/>
      <c r="P841" s="1323"/>
      <c r="Q841" s="1323"/>
      <c r="R841" s="1323"/>
      <c r="S841" s="1323"/>
      <c r="T841" s="1323"/>
      <c r="U841" s="1323"/>
      <c r="V841" s="1323"/>
    </row>
    <row r="842" spans="2:22" x14ac:dyDescent="0.2">
      <c r="B842" s="1323"/>
      <c r="C842" s="1323"/>
      <c r="D842" s="365"/>
      <c r="E842" s="365"/>
      <c r="F842" s="1325"/>
      <c r="G842" s="1325"/>
      <c r="H842" s="1325"/>
      <c r="I842" s="1325"/>
      <c r="J842" s="1325"/>
      <c r="K842" s="1325"/>
      <c r="L842" s="1325"/>
      <c r="M842" s="1325"/>
      <c r="N842" s="365"/>
      <c r="O842" s="1331"/>
      <c r="P842" s="1323"/>
      <c r="Q842" s="1323"/>
      <c r="R842" s="1323"/>
      <c r="S842" s="1323"/>
      <c r="T842" s="1323"/>
      <c r="U842" s="1323"/>
      <c r="V842" s="1323"/>
    </row>
    <row r="843" spans="2:22" x14ac:dyDescent="0.2">
      <c r="B843" s="1323"/>
      <c r="C843" s="1323"/>
      <c r="D843" s="365"/>
      <c r="E843" s="365"/>
      <c r="F843" s="1325"/>
      <c r="G843" s="1325"/>
      <c r="H843" s="1325"/>
      <c r="I843" s="1325"/>
      <c r="J843" s="1325"/>
      <c r="K843" s="1325"/>
      <c r="L843" s="1325"/>
      <c r="M843" s="1325"/>
      <c r="N843" s="365"/>
      <c r="O843" s="1331"/>
      <c r="P843" s="1323"/>
      <c r="Q843" s="1323"/>
      <c r="R843" s="1323"/>
      <c r="S843" s="1323"/>
      <c r="T843" s="1323"/>
      <c r="U843" s="1323"/>
      <c r="V843" s="1323"/>
    </row>
    <row r="844" spans="2:22" x14ac:dyDescent="0.2">
      <c r="B844" s="1323"/>
      <c r="C844" s="1323"/>
      <c r="D844" s="365"/>
      <c r="E844" s="365"/>
      <c r="F844" s="1325"/>
      <c r="G844" s="1325"/>
      <c r="H844" s="1325"/>
      <c r="I844" s="1325"/>
      <c r="J844" s="1325"/>
      <c r="K844" s="1325"/>
      <c r="L844" s="1325"/>
      <c r="M844" s="1325"/>
      <c r="N844" s="365"/>
      <c r="O844" s="1331"/>
      <c r="P844" s="1323"/>
      <c r="Q844" s="1323"/>
      <c r="R844" s="1323"/>
      <c r="S844" s="1323"/>
      <c r="T844" s="1323"/>
      <c r="U844" s="1323"/>
      <c r="V844" s="1323"/>
    </row>
    <row r="845" spans="2:22" x14ac:dyDescent="0.2">
      <c r="B845" s="1323"/>
      <c r="C845" s="1323"/>
      <c r="D845" s="365"/>
      <c r="E845" s="365"/>
      <c r="F845" s="1325"/>
      <c r="G845" s="1325"/>
      <c r="H845" s="1325"/>
      <c r="I845" s="1325"/>
      <c r="J845" s="1325"/>
      <c r="K845" s="1325"/>
      <c r="L845" s="1325"/>
      <c r="M845" s="1325"/>
      <c r="N845" s="365"/>
      <c r="O845" s="1331"/>
      <c r="P845" s="1323"/>
      <c r="Q845" s="1323"/>
      <c r="R845" s="1323"/>
      <c r="S845" s="1323"/>
      <c r="T845" s="1323"/>
      <c r="U845" s="1323"/>
      <c r="V845" s="1323"/>
    </row>
    <row r="846" spans="2:22" x14ac:dyDescent="0.2">
      <c r="B846" s="1323"/>
      <c r="C846" s="1323"/>
      <c r="D846" s="365"/>
      <c r="E846" s="365"/>
      <c r="F846" s="1325"/>
      <c r="G846" s="1325"/>
      <c r="H846" s="1325"/>
      <c r="I846" s="1325"/>
      <c r="J846" s="1325"/>
      <c r="K846" s="1325"/>
      <c r="L846" s="1325"/>
      <c r="M846" s="1325"/>
      <c r="N846" s="365"/>
      <c r="O846" s="1331"/>
      <c r="P846" s="1323"/>
      <c r="Q846" s="1323"/>
      <c r="R846" s="1323"/>
      <c r="S846" s="1323"/>
      <c r="T846" s="1323"/>
      <c r="U846" s="1323"/>
      <c r="V846" s="1323"/>
    </row>
    <row r="847" spans="2:22" x14ac:dyDescent="0.2">
      <c r="B847" s="1323"/>
      <c r="C847" s="1323"/>
      <c r="D847" s="365"/>
      <c r="E847" s="365"/>
      <c r="F847" s="1325"/>
      <c r="G847" s="1325"/>
      <c r="H847" s="1325"/>
      <c r="I847" s="1325"/>
      <c r="J847" s="1325"/>
      <c r="K847" s="1325"/>
      <c r="L847" s="1325"/>
      <c r="M847" s="1325"/>
      <c r="N847" s="365"/>
      <c r="O847" s="1331"/>
      <c r="P847" s="1323"/>
      <c r="Q847" s="1323"/>
      <c r="R847" s="1323"/>
      <c r="S847" s="1323"/>
      <c r="T847" s="1323"/>
      <c r="U847" s="1323"/>
      <c r="V847" s="1323"/>
    </row>
    <row r="848" spans="2:22" x14ac:dyDescent="0.2">
      <c r="B848" s="1323"/>
      <c r="C848" s="1323"/>
      <c r="D848" s="365"/>
      <c r="E848" s="365"/>
      <c r="F848" s="1325"/>
      <c r="G848" s="1325"/>
      <c r="H848" s="1325"/>
      <c r="I848" s="1325"/>
      <c r="J848" s="1325"/>
      <c r="K848" s="1325"/>
      <c r="L848" s="1325"/>
      <c r="M848" s="1325"/>
      <c r="N848" s="365"/>
      <c r="O848" s="1331"/>
      <c r="P848" s="1323"/>
      <c r="Q848" s="1323"/>
      <c r="R848" s="1323"/>
      <c r="S848" s="1323"/>
      <c r="T848" s="1323"/>
      <c r="U848" s="1323"/>
      <c r="V848" s="1323"/>
    </row>
    <row r="849" spans="2:22" x14ac:dyDescent="0.2">
      <c r="B849" s="1323"/>
      <c r="C849" s="1323"/>
      <c r="D849" s="365"/>
      <c r="E849" s="365"/>
      <c r="F849" s="1325"/>
      <c r="G849" s="1325"/>
      <c r="H849" s="1325"/>
      <c r="I849" s="1325"/>
      <c r="J849" s="1325"/>
      <c r="K849" s="1325"/>
      <c r="L849" s="1325"/>
      <c r="M849" s="1325"/>
      <c r="N849" s="365"/>
      <c r="O849" s="1331"/>
      <c r="P849" s="1323"/>
      <c r="Q849" s="1323"/>
      <c r="R849" s="1323"/>
      <c r="S849" s="1323"/>
      <c r="T849" s="1323"/>
      <c r="U849" s="1323"/>
      <c r="V849" s="1323"/>
    </row>
    <row r="850" spans="2:22" x14ac:dyDescent="0.2">
      <c r="B850" s="1323"/>
      <c r="C850" s="1323"/>
      <c r="D850" s="365"/>
      <c r="E850" s="365"/>
      <c r="F850" s="1325"/>
      <c r="G850" s="1325"/>
      <c r="H850" s="1325"/>
      <c r="I850" s="1325"/>
      <c r="J850" s="1325"/>
      <c r="K850" s="1325"/>
      <c r="L850" s="1325"/>
      <c r="M850" s="1325"/>
      <c r="N850" s="365"/>
      <c r="O850" s="1331"/>
      <c r="P850" s="1323"/>
      <c r="Q850" s="1323"/>
      <c r="R850" s="1323"/>
      <c r="S850" s="1323"/>
      <c r="T850" s="1323"/>
      <c r="U850" s="1323"/>
      <c r="V850" s="1323"/>
    </row>
    <row r="851" spans="2:22" x14ac:dyDescent="0.2">
      <c r="B851" s="1323"/>
      <c r="C851" s="1323"/>
      <c r="D851" s="365"/>
      <c r="E851" s="365"/>
      <c r="F851" s="1325"/>
      <c r="G851" s="1325"/>
      <c r="H851" s="1325"/>
      <c r="I851" s="1325"/>
      <c r="J851" s="1325"/>
      <c r="K851" s="1325"/>
      <c r="L851" s="1325"/>
      <c r="M851" s="1325"/>
      <c r="N851" s="365"/>
      <c r="O851" s="1331"/>
      <c r="P851" s="1323"/>
      <c r="Q851" s="1323"/>
      <c r="R851" s="1323"/>
      <c r="S851" s="1323"/>
      <c r="T851" s="1323"/>
      <c r="U851" s="1323"/>
      <c r="V851" s="1323"/>
    </row>
    <row r="852" spans="2:22" x14ac:dyDescent="0.2">
      <c r="B852" s="1323"/>
      <c r="C852" s="1323"/>
      <c r="D852" s="365"/>
      <c r="E852" s="365"/>
      <c r="F852" s="1325"/>
      <c r="G852" s="1325"/>
      <c r="H852" s="1325"/>
      <c r="I852" s="1325"/>
      <c r="J852" s="1325"/>
      <c r="K852" s="1325"/>
      <c r="L852" s="1325"/>
      <c r="M852" s="1325"/>
      <c r="N852" s="365"/>
      <c r="O852" s="1331"/>
      <c r="P852" s="1323"/>
      <c r="Q852" s="1323"/>
      <c r="R852" s="1323"/>
      <c r="S852" s="1323"/>
      <c r="T852" s="1323"/>
      <c r="U852" s="1323"/>
      <c r="V852" s="1323"/>
    </row>
    <row r="853" spans="2:22" x14ac:dyDescent="0.2">
      <c r="B853" s="1323"/>
      <c r="C853" s="1323"/>
      <c r="D853" s="365"/>
      <c r="E853" s="365"/>
      <c r="F853" s="1325"/>
      <c r="G853" s="1325"/>
      <c r="H853" s="1325"/>
      <c r="I853" s="1325"/>
      <c r="J853" s="1325"/>
      <c r="K853" s="1325"/>
      <c r="L853" s="1325"/>
      <c r="M853" s="1325"/>
      <c r="N853" s="365"/>
      <c r="O853" s="1331"/>
      <c r="P853" s="1323"/>
      <c r="Q853" s="1323"/>
      <c r="R853" s="1323"/>
      <c r="S853" s="1323"/>
      <c r="T853" s="1323"/>
      <c r="U853" s="1323"/>
      <c r="V853" s="1323"/>
    </row>
    <row r="854" spans="2:22" x14ac:dyDescent="0.2">
      <c r="B854" s="1323"/>
      <c r="C854" s="1323"/>
      <c r="D854" s="365"/>
      <c r="E854" s="365"/>
      <c r="F854" s="1325"/>
      <c r="G854" s="1325"/>
      <c r="H854" s="1325"/>
      <c r="I854" s="1325"/>
      <c r="J854" s="1325"/>
      <c r="K854" s="1325"/>
      <c r="L854" s="1325"/>
      <c r="M854" s="1325"/>
      <c r="N854" s="365"/>
      <c r="O854" s="1331"/>
      <c r="P854" s="1323"/>
      <c r="Q854" s="1323"/>
      <c r="R854" s="1323"/>
      <c r="S854" s="1323"/>
      <c r="T854" s="1323"/>
      <c r="U854" s="1323"/>
      <c r="V854" s="1323"/>
    </row>
    <row r="855" spans="2:22" x14ac:dyDescent="0.2">
      <c r="B855" s="1323"/>
      <c r="C855" s="1323"/>
      <c r="D855" s="365"/>
      <c r="E855" s="365"/>
      <c r="F855" s="1325"/>
      <c r="G855" s="1325"/>
      <c r="H855" s="1325"/>
      <c r="I855" s="1325"/>
      <c r="J855" s="1325"/>
      <c r="K855" s="1325"/>
      <c r="L855" s="1325"/>
      <c r="M855" s="1325"/>
      <c r="N855" s="365"/>
      <c r="O855" s="1331"/>
      <c r="P855" s="1323"/>
      <c r="Q855" s="1323"/>
      <c r="R855" s="1323"/>
      <c r="S855" s="1323"/>
      <c r="T855" s="1323"/>
      <c r="U855" s="1323"/>
      <c r="V855" s="1323"/>
    </row>
    <row r="856" spans="2:22" x14ac:dyDescent="0.2">
      <c r="B856" s="1323"/>
      <c r="C856" s="1323"/>
      <c r="D856" s="365"/>
      <c r="E856" s="365"/>
      <c r="F856" s="1325"/>
      <c r="G856" s="1325"/>
      <c r="H856" s="1325"/>
      <c r="I856" s="1325"/>
      <c r="J856" s="1325"/>
      <c r="K856" s="1325"/>
      <c r="L856" s="1325"/>
      <c r="M856" s="1325"/>
      <c r="N856" s="365"/>
      <c r="O856" s="1331"/>
      <c r="P856" s="1323"/>
      <c r="Q856" s="1323"/>
      <c r="R856" s="1323"/>
      <c r="S856" s="1323"/>
      <c r="T856" s="1323"/>
      <c r="U856" s="1323"/>
      <c r="V856" s="1323"/>
    </row>
    <row r="857" spans="2:22" x14ac:dyDescent="0.2">
      <c r="B857" s="1323"/>
      <c r="C857" s="1323"/>
      <c r="D857" s="365"/>
      <c r="E857" s="365"/>
      <c r="F857" s="1325"/>
      <c r="G857" s="1325"/>
      <c r="H857" s="1325"/>
      <c r="I857" s="1325"/>
      <c r="J857" s="1325"/>
      <c r="K857" s="1325"/>
      <c r="L857" s="1325"/>
      <c r="M857" s="1325"/>
      <c r="N857" s="365"/>
      <c r="O857" s="1331"/>
      <c r="P857" s="1323"/>
      <c r="Q857" s="1323"/>
      <c r="R857" s="1323"/>
      <c r="S857" s="1323"/>
      <c r="T857" s="1323"/>
      <c r="U857" s="1323"/>
      <c r="V857" s="1323"/>
    </row>
    <row r="858" spans="2:22" x14ac:dyDescent="0.2">
      <c r="B858" s="1323"/>
      <c r="C858" s="1323"/>
      <c r="D858" s="365"/>
      <c r="E858" s="365"/>
      <c r="F858" s="1325"/>
      <c r="G858" s="1325"/>
      <c r="H858" s="1325"/>
      <c r="I858" s="1325"/>
      <c r="J858" s="1325"/>
      <c r="K858" s="1325"/>
      <c r="L858" s="1325"/>
      <c r="M858" s="1325"/>
      <c r="N858" s="365"/>
      <c r="O858" s="1331"/>
      <c r="P858" s="1323"/>
      <c r="Q858" s="1323"/>
      <c r="R858" s="1323"/>
      <c r="S858" s="1323"/>
      <c r="T858" s="1323"/>
      <c r="U858" s="1323"/>
      <c r="V858" s="1323"/>
    </row>
    <row r="859" spans="2:22" x14ac:dyDescent="0.2">
      <c r="B859" s="1323"/>
      <c r="C859" s="1323"/>
      <c r="D859" s="365"/>
      <c r="E859" s="365"/>
      <c r="F859" s="1325"/>
      <c r="G859" s="1325"/>
      <c r="H859" s="1325"/>
      <c r="I859" s="1325"/>
      <c r="J859" s="1325"/>
      <c r="K859" s="1325"/>
      <c r="L859" s="1325"/>
      <c r="M859" s="1325"/>
      <c r="N859" s="365"/>
      <c r="O859" s="1331"/>
      <c r="P859" s="1323"/>
      <c r="Q859" s="1323"/>
      <c r="R859" s="1323"/>
      <c r="S859" s="1323"/>
      <c r="T859" s="1323"/>
      <c r="U859" s="1323"/>
      <c r="V859" s="1323"/>
    </row>
    <row r="860" spans="2:22" x14ac:dyDescent="0.2">
      <c r="B860" s="1323"/>
      <c r="C860" s="1323"/>
      <c r="D860" s="365"/>
      <c r="E860" s="365"/>
      <c r="F860" s="1325"/>
      <c r="G860" s="1325"/>
      <c r="H860" s="1325"/>
      <c r="I860" s="1325"/>
      <c r="J860" s="1325"/>
      <c r="K860" s="1325"/>
      <c r="L860" s="1325"/>
      <c r="M860" s="1325"/>
      <c r="N860" s="365"/>
      <c r="O860" s="1331"/>
      <c r="P860" s="1323"/>
      <c r="Q860" s="1323"/>
      <c r="R860" s="1323"/>
      <c r="S860" s="1323"/>
      <c r="T860" s="1323"/>
      <c r="U860" s="1323"/>
      <c r="V860" s="1323"/>
    </row>
    <row r="861" spans="2:22" x14ac:dyDescent="0.2">
      <c r="B861" s="1323"/>
      <c r="C861" s="1323"/>
      <c r="D861" s="365"/>
      <c r="E861" s="365"/>
      <c r="F861" s="1325"/>
      <c r="G861" s="1325"/>
      <c r="H861" s="1325"/>
      <c r="I861" s="1325"/>
      <c r="J861" s="1325"/>
      <c r="K861" s="1325"/>
      <c r="L861" s="1325"/>
      <c r="M861" s="1325"/>
      <c r="N861" s="365"/>
      <c r="O861" s="1331"/>
      <c r="P861" s="1323"/>
      <c r="Q861" s="1323"/>
      <c r="R861" s="1323"/>
      <c r="S861" s="1323"/>
      <c r="T861" s="1323"/>
      <c r="U861" s="1323"/>
      <c r="V861" s="1323"/>
    </row>
    <row r="862" spans="2:22" x14ac:dyDescent="0.2">
      <c r="B862" s="1323"/>
      <c r="C862" s="1323"/>
      <c r="D862" s="365"/>
      <c r="E862" s="365"/>
      <c r="F862" s="1325"/>
      <c r="G862" s="1325"/>
      <c r="H862" s="1325"/>
      <c r="I862" s="1325"/>
      <c r="J862" s="1325"/>
      <c r="K862" s="1325"/>
      <c r="L862" s="1325"/>
      <c r="M862" s="1325"/>
      <c r="N862" s="365"/>
      <c r="O862" s="1331"/>
      <c r="P862" s="1323"/>
      <c r="Q862" s="1323"/>
      <c r="R862" s="1323"/>
      <c r="S862" s="1323"/>
      <c r="T862" s="1323"/>
      <c r="U862" s="1323"/>
      <c r="V862" s="1323"/>
    </row>
    <row r="863" spans="2:22" x14ac:dyDescent="0.2">
      <c r="B863" s="1323"/>
      <c r="C863" s="1323"/>
      <c r="D863" s="365"/>
      <c r="E863" s="365"/>
      <c r="F863" s="1325"/>
      <c r="G863" s="1325"/>
      <c r="H863" s="1325"/>
      <c r="I863" s="1325"/>
      <c r="J863" s="1325"/>
      <c r="K863" s="1325"/>
      <c r="L863" s="1325"/>
      <c r="M863" s="1325"/>
      <c r="N863" s="365"/>
      <c r="O863" s="1331"/>
      <c r="P863" s="1323"/>
      <c r="Q863" s="1323"/>
      <c r="R863" s="1323"/>
      <c r="S863" s="1323"/>
      <c r="T863" s="1323"/>
      <c r="U863" s="1323"/>
      <c r="V863" s="1323"/>
    </row>
    <row r="864" spans="2:22" x14ac:dyDescent="0.2">
      <c r="B864" s="1323"/>
      <c r="C864" s="1323"/>
      <c r="D864" s="365"/>
      <c r="E864" s="365"/>
      <c r="F864" s="1325"/>
      <c r="G864" s="1325"/>
      <c r="H864" s="1325"/>
      <c r="I864" s="1325"/>
      <c r="J864" s="1325"/>
      <c r="K864" s="1325"/>
      <c r="L864" s="1325"/>
      <c r="M864" s="1325"/>
      <c r="N864" s="365"/>
      <c r="O864" s="1331"/>
      <c r="P864" s="1323"/>
      <c r="Q864" s="1323"/>
      <c r="R864" s="1323"/>
      <c r="S864" s="1323"/>
      <c r="T864" s="1323"/>
      <c r="U864" s="1323"/>
      <c r="V864" s="1323"/>
    </row>
    <row r="865" spans="2:22" x14ac:dyDescent="0.2">
      <c r="B865" s="1323"/>
      <c r="C865" s="1323"/>
      <c r="D865" s="365"/>
      <c r="E865" s="365"/>
      <c r="F865" s="1325"/>
      <c r="G865" s="1325"/>
      <c r="H865" s="1325"/>
      <c r="I865" s="1325"/>
      <c r="J865" s="1325"/>
      <c r="K865" s="1325"/>
      <c r="L865" s="1325"/>
      <c r="M865" s="1325"/>
      <c r="N865" s="365"/>
      <c r="O865" s="1331"/>
      <c r="P865" s="1323"/>
      <c r="Q865" s="1323"/>
      <c r="R865" s="1323"/>
      <c r="S865" s="1323"/>
      <c r="T865" s="1323"/>
      <c r="U865" s="1323"/>
      <c r="V865" s="1323"/>
    </row>
    <row r="866" spans="2:22" x14ac:dyDescent="0.2">
      <c r="B866" s="1323"/>
      <c r="C866" s="1323"/>
      <c r="D866" s="365"/>
      <c r="E866" s="365"/>
      <c r="F866" s="1325"/>
      <c r="G866" s="1325"/>
      <c r="H866" s="1325"/>
      <c r="I866" s="1325"/>
      <c r="J866" s="1325"/>
      <c r="K866" s="1325"/>
      <c r="L866" s="1325"/>
      <c r="M866" s="1325"/>
      <c r="N866" s="365"/>
      <c r="O866" s="1331"/>
      <c r="P866" s="1323"/>
      <c r="Q866" s="1323"/>
      <c r="R866" s="1323"/>
      <c r="S866" s="1323"/>
      <c r="T866" s="1323"/>
      <c r="U866" s="1323"/>
      <c r="V866" s="1323"/>
    </row>
    <row r="867" spans="2:22" x14ac:dyDescent="0.2">
      <c r="B867" s="1323"/>
      <c r="C867" s="1323"/>
      <c r="D867" s="365"/>
      <c r="E867" s="365"/>
      <c r="F867" s="1325"/>
      <c r="G867" s="1325"/>
      <c r="H867" s="1325"/>
      <c r="I867" s="1325"/>
      <c r="J867" s="1325"/>
      <c r="K867" s="1325"/>
      <c r="L867" s="1325"/>
      <c r="M867" s="1325"/>
      <c r="N867" s="365"/>
      <c r="O867" s="1331"/>
      <c r="P867" s="1323"/>
      <c r="Q867" s="1323"/>
      <c r="R867" s="1323"/>
      <c r="S867" s="1323"/>
      <c r="T867" s="1323"/>
      <c r="U867" s="1323"/>
      <c r="V867" s="1323"/>
    </row>
    <row r="868" spans="2:22" x14ac:dyDescent="0.2">
      <c r="B868" s="1323"/>
      <c r="C868" s="1323"/>
      <c r="D868" s="365"/>
      <c r="E868" s="365"/>
      <c r="F868" s="1325"/>
      <c r="G868" s="1325"/>
      <c r="H868" s="1325"/>
      <c r="I868" s="1325"/>
      <c r="J868" s="1325"/>
      <c r="K868" s="1325"/>
      <c r="L868" s="1325"/>
      <c r="M868" s="1325"/>
      <c r="N868" s="365"/>
      <c r="O868" s="1331"/>
      <c r="P868" s="1323"/>
      <c r="Q868" s="1323"/>
      <c r="R868" s="1323"/>
      <c r="S868" s="1323"/>
      <c r="T868" s="1323"/>
      <c r="U868" s="1323"/>
      <c r="V868" s="1323"/>
    </row>
    <row r="869" spans="2:22" x14ac:dyDescent="0.2">
      <c r="B869" s="1323"/>
      <c r="C869" s="1323"/>
      <c r="D869" s="365"/>
      <c r="E869" s="365"/>
      <c r="F869" s="1325"/>
      <c r="G869" s="1325"/>
      <c r="H869" s="1325"/>
      <c r="I869" s="1325"/>
      <c r="J869" s="1325"/>
      <c r="K869" s="1325"/>
      <c r="L869" s="1325"/>
      <c r="M869" s="1325"/>
      <c r="N869" s="365"/>
      <c r="O869" s="1331"/>
      <c r="P869" s="1323"/>
      <c r="Q869" s="1323"/>
      <c r="R869" s="1323"/>
      <c r="S869" s="1323"/>
      <c r="T869" s="1323"/>
      <c r="U869" s="1323"/>
      <c r="V869" s="1323"/>
    </row>
    <row r="870" spans="2:22" x14ac:dyDescent="0.2">
      <c r="B870" s="1323"/>
      <c r="C870" s="1323"/>
      <c r="D870" s="365"/>
      <c r="E870" s="365"/>
      <c r="F870" s="1325"/>
      <c r="G870" s="1325"/>
      <c r="H870" s="1325"/>
      <c r="I870" s="1325"/>
      <c r="J870" s="1325"/>
      <c r="K870" s="1325"/>
      <c r="L870" s="1325"/>
      <c r="M870" s="1325"/>
      <c r="N870" s="365"/>
      <c r="O870" s="1331"/>
      <c r="P870" s="1323"/>
      <c r="Q870" s="1323"/>
      <c r="R870" s="1323"/>
      <c r="S870" s="1323"/>
      <c r="T870" s="1323"/>
      <c r="U870" s="1323"/>
      <c r="V870" s="1323"/>
    </row>
    <row r="871" spans="2:22" x14ac:dyDescent="0.2">
      <c r="B871" s="1323"/>
      <c r="C871" s="1323"/>
      <c r="D871" s="365"/>
      <c r="E871" s="365"/>
      <c r="F871" s="1325"/>
      <c r="G871" s="1325"/>
      <c r="H871" s="1325"/>
      <c r="I871" s="1325"/>
      <c r="J871" s="1325"/>
      <c r="K871" s="1325"/>
      <c r="L871" s="1325"/>
      <c r="M871" s="1325"/>
      <c r="N871" s="365"/>
      <c r="O871" s="1331"/>
      <c r="P871" s="1323"/>
      <c r="Q871" s="1323"/>
      <c r="R871" s="1323"/>
      <c r="S871" s="1323"/>
      <c r="T871" s="1323"/>
      <c r="U871" s="1323"/>
      <c r="V871" s="1323"/>
    </row>
    <row r="872" spans="2:22" x14ac:dyDescent="0.2">
      <c r="B872" s="1323"/>
      <c r="C872" s="1323"/>
      <c r="D872" s="365"/>
      <c r="E872" s="365"/>
      <c r="F872" s="1325"/>
      <c r="G872" s="1325"/>
      <c r="H872" s="1325"/>
      <c r="I872" s="1325"/>
      <c r="J872" s="1325"/>
      <c r="K872" s="1325"/>
      <c r="L872" s="1325"/>
      <c r="M872" s="1325"/>
      <c r="N872" s="365"/>
      <c r="O872" s="1331"/>
      <c r="P872" s="1323"/>
      <c r="Q872" s="1323"/>
      <c r="R872" s="1323"/>
      <c r="S872" s="1323"/>
      <c r="T872" s="1323"/>
      <c r="U872" s="1323"/>
      <c r="V872" s="1323"/>
    </row>
    <row r="873" spans="2:22" x14ac:dyDescent="0.2">
      <c r="B873" s="1323"/>
      <c r="C873" s="1323"/>
      <c r="D873" s="365"/>
      <c r="E873" s="365"/>
      <c r="F873" s="1325"/>
      <c r="G873" s="1325"/>
      <c r="H873" s="1325"/>
      <c r="I873" s="1325"/>
      <c r="J873" s="1325"/>
      <c r="K873" s="1325"/>
      <c r="L873" s="1325"/>
      <c r="M873" s="1325"/>
      <c r="N873" s="365"/>
      <c r="O873" s="1331"/>
      <c r="P873" s="1323"/>
      <c r="Q873" s="1323"/>
      <c r="R873" s="1323"/>
      <c r="S873" s="1323"/>
      <c r="T873" s="1323"/>
      <c r="U873" s="1323"/>
      <c r="V873" s="1323"/>
    </row>
    <row r="874" spans="2:22" x14ac:dyDescent="0.2">
      <c r="B874" s="1323"/>
      <c r="C874" s="1323"/>
      <c r="D874" s="365"/>
      <c r="E874" s="365"/>
      <c r="F874" s="1325"/>
      <c r="G874" s="1325"/>
      <c r="H874" s="1325"/>
      <c r="I874" s="1325"/>
      <c r="J874" s="1325"/>
      <c r="K874" s="1325"/>
      <c r="L874" s="1325"/>
      <c r="M874" s="1325"/>
      <c r="N874" s="365"/>
      <c r="O874" s="1331"/>
      <c r="P874" s="1323"/>
      <c r="Q874" s="1323"/>
      <c r="R874" s="1323"/>
      <c r="S874" s="1323"/>
      <c r="T874" s="1323"/>
      <c r="U874" s="1323"/>
      <c r="V874" s="1323"/>
    </row>
    <row r="875" spans="2:22" x14ac:dyDescent="0.2">
      <c r="B875" s="1323"/>
      <c r="C875" s="1323"/>
      <c r="D875" s="365"/>
      <c r="E875" s="365"/>
      <c r="F875" s="1325"/>
      <c r="G875" s="1325"/>
      <c r="H875" s="1325"/>
      <c r="I875" s="1325"/>
      <c r="J875" s="1325"/>
      <c r="K875" s="1325"/>
      <c r="L875" s="1325"/>
      <c r="M875" s="1325"/>
      <c r="N875" s="365"/>
      <c r="O875" s="1331"/>
      <c r="P875" s="1323"/>
      <c r="Q875" s="1323"/>
      <c r="R875" s="1323"/>
      <c r="S875" s="1323"/>
      <c r="T875" s="1323"/>
      <c r="U875" s="1323"/>
      <c r="V875" s="1323"/>
    </row>
    <row r="876" spans="2:22" x14ac:dyDescent="0.2">
      <c r="B876" s="1323"/>
      <c r="C876" s="1323"/>
      <c r="D876" s="365"/>
      <c r="E876" s="365"/>
      <c r="F876" s="1325"/>
      <c r="G876" s="1325"/>
      <c r="H876" s="1325"/>
      <c r="I876" s="1325"/>
      <c r="J876" s="1325"/>
      <c r="K876" s="1325"/>
      <c r="L876" s="1325"/>
      <c r="M876" s="1325"/>
      <c r="N876" s="365"/>
      <c r="O876" s="1331"/>
      <c r="P876" s="1323"/>
      <c r="Q876" s="1323"/>
      <c r="R876" s="1323"/>
      <c r="S876" s="1323"/>
      <c r="T876" s="1323"/>
      <c r="U876" s="1323"/>
      <c r="V876" s="1323"/>
    </row>
    <row r="877" spans="2:22" x14ac:dyDescent="0.2">
      <c r="B877" s="1323"/>
      <c r="C877" s="1323"/>
      <c r="D877" s="365"/>
      <c r="E877" s="365"/>
      <c r="F877" s="1325"/>
      <c r="G877" s="1325"/>
      <c r="H877" s="1325"/>
      <c r="I877" s="1325"/>
      <c r="J877" s="1325"/>
      <c r="K877" s="1325"/>
      <c r="L877" s="1325"/>
      <c r="M877" s="1325"/>
      <c r="N877" s="365"/>
      <c r="O877" s="1331"/>
      <c r="P877" s="1323"/>
      <c r="Q877" s="1323"/>
      <c r="R877" s="1323"/>
      <c r="S877" s="1323"/>
      <c r="T877" s="1323"/>
      <c r="U877" s="1323"/>
      <c r="V877" s="1323"/>
    </row>
    <row r="878" spans="2:22" x14ac:dyDescent="0.2">
      <c r="B878" s="1323"/>
      <c r="C878" s="1323"/>
      <c r="D878" s="365"/>
      <c r="E878" s="365"/>
      <c r="F878" s="1325"/>
      <c r="G878" s="1325"/>
      <c r="H878" s="1325"/>
      <c r="I878" s="1325"/>
      <c r="J878" s="1325"/>
      <c r="K878" s="1325"/>
      <c r="L878" s="1325"/>
      <c r="M878" s="1325"/>
      <c r="N878" s="365"/>
      <c r="O878" s="1331"/>
      <c r="P878" s="1323"/>
      <c r="Q878" s="1323"/>
      <c r="R878" s="1323"/>
      <c r="S878" s="1323"/>
      <c r="T878" s="1323"/>
      <c r="U878" s="1323"/>
      <c r="V878" s="1323"/>
    </row>
    <row r="879" spans="2:22" x14ac:dyDescent="0.2">
      <c r="B879" s="1323"/>
      <c r="C879" s="1323"/>
      <c r="D879" s="365"/>
      <c r="E879" s="365"/>
      <c r="F879" s="1325"/>
      <c r="G879" s="1325"/>
      <c r="H879" s="1325"/>
      <c r="I879" s="1325"/>
      <c r="J879" s="1325"/>
      <c r="K879" s="1325"/>
      <c r="L879" s="1325"/>
      <c r="M879" s="1325"/>
      <c r="N879" s="365"/>
      <c r="O879" s="1331"/>
      <c r="P879" s="1323"/>
      <c r="Q879" s="1323"/>
      <c r="R879" s="1323"/>
      <c r="S879" s="1323"/>
      <c r="T879" s="1323"/>
      <c r="U879" s="1323"/>
      <c r="V879" s="1323"/>
    </row>
    <row r="880" spans="2:22" x14ac:dyDescent="0.2">
      <c r="B880" s="1323"/>
      <c r="C880" s="1323"/>
      <c r="D880" s="365"/>
      <c r="E880" s="365"/>
      <c r="F880" s="1325"/>
      <c r="G880" s="1325"/>
      <c r="H880" s="1325"/>
      <c r="I880" s="1325"/>
      <c r="J880" s="1325"/>
      <c r="K880" s="1325"/>
      <c r="L880" s="1325"/>
      <c r="M880" s="1325"/>
      <c r="N880" s="365"/>
      <c r="O880" s="1331"/>
      <c r="P880" s="1323"/>
      <c r="Q880" s="1323"/>
      <c r="R880" s="1323"/>
      <c r="S880" s="1323"/>
      <c r="T880" s="1323"/>
      <c r="U880" s="1323"/>
      <c r="V880" s="1323"/>
    </row>
    <row r="881" spans="2:22" x14ac:dyDescent="0.2">
      <c r="B881" s="1323"/>
      <c r="C881" s="1323"/>
      <c r="D881" s="365"/>
      <c r="E881" s="365"/>
      <c r="F881" s="1325"/>
      <c r="G881" s="1325"/>
      <c r="H881" s="1325"/>
      <c r="I881" s="1325"/>
      <c r="J881" s="1325"/>
      <c r="K881" s="1325"/>
      <c r="L881" s="1325"/>
      <c r="M881" s="1325"/>
      <c r="N881" s="365"/>
      <c r="O881" s="1331"/>
      <c r="P881" s="1323"/>
      <c r="Q881" s="1323"/>
      <c r="R881" s="1323"/>
      <c r="S881" s="1323"/>
      <c r="T881" s="1323"/>
      <c r="U881" s="1323"/>
      <c r="V881" s="1323"/>
    </row>
    <row r="882" spans="2:22" x14ac:dyDescent="0.2">
      <c r="B882" s="1323"/>
      <c r="C882" s="1323"/>
      <c r="D882" s="365"/>
      <c r="E882" s="365"/>
      <c r="F882" s="1325"/>
      <c r="G882" s="1325"/>
      <c r="H882" s="1325"/>
      <c r="I882" s="1325"/>
      <c r="J882" s="1325"/>
      <c r="K882" s="1325"/>
      <c r="L882" s="1325"/>
      <c r="M882" s="1325"/>
      <c r="N882" s="365"/>
      <c r="O882" s="1331"/>
      <c r="P882" s="1323"/>
      <c r="Q882" s="1323"/>
      <c r="R882" s="1323"/>
      <c r="S882" s="1323"/>
      <c r="T882" s="1323"/>
      <c r="U882" s="1323"/>
      <c r="V882" s="1323"/>
    </row>
    <row r="883" spans="2:22" x14ac:dyDescent="0.2">
      <c r="B883" s="1323"/>
      <c r="C883" s="1323"/>
      <c r="D883" s="365"/>
      <c r="E883" s="365"/>
      <c r="F883" s="1325"/>
      <c r="G883" s="1325"/>
      <c r="H883" s="1325"/>
      <c r="I883" s="1325"/>
      <c r="J883" s="1325"/>
      <c r="K883" s="1325"/>
      <c r="L883" s="1325"/>
      <c r="M883" s="1325"/>
      <c r="N883" s="365"/>
      <c r="O883" s="1331"/>
      <c r="P883" s="1323"/>
      <c r="Q883" s="1323"/>
      <c r="R883" s="1323"/>
      <c r="S883" s="1323"/>
      <c r="T883" s="1323"/>
      <c r="U883" s="1323"/>
      <c r="V883" s="1323"/>
    </row>
    <row r="884" spans="2:22" x14ac:dyDescent="0.2">
      <c r="B884" s="1323"/>
      <c r="C884" s="1323"/>
      <c r="D884" s="365"/>
      <c r="E884" s="365"/>
      <c r="F884" s="1325"/>
      <c r="G884" s="1325"/>
      <c r="H884" s="1325"/>
      <c r="I884" s="1325"/>
      <c r="J884" s="1325"/>
      <c r="K884" s="1325"/>
      <c r="L884" s="1325"/>
      <c r="M884" s="1325"/>
      <c r="N884" s="365"/>
      <c r="O884" s="1331"/>
      <c r="P884" s="1323"/>
      <c r="Q884" s="1323"/>
      <c r="R884" s="1323"/>
      <c r="S884" s="1323"/>
      <c r="T884" s="1323"/>
      <c r="U884" s="1323"/>
      <c r="V884" s="1323"/>
    </row>
    <row r="885" spans="2:22" x14ac:dyDescent="0.2">
      <c r="B885" s="1323"/>
      <c r="C885" s="1323"/>
      <c r="D885" s="365"/>
      <c r="E885" s="365"/>
      <c r="F885" s="1325"/>
      <c r="G885" s="1325"/>
      <c r="H885" s="1325"/>
      <c r="I885" s="1325"/>
      <c r="J885" s="1325"/>
      <c r="K885" s="1325"/>
      <c r="L885" s="1325"/>
      <c r="M885" s="1325"/>
      <c r="N885" s="365"/>
      <c r="O885" s="1331"/>
      <c r="P885" s="1323"/>
      <c r="Q885" s="1323"/>
      <c r="R885" s="1323"/>
      <c r="S885" s="1323"/>
      <c r="T885" s="1323"/>
      <c r="U885" s="1323"/>
      <c r="V885" s="1323"/>
    </row>
    <row r="886" spans="2:22" x14ac:dyDescent="0.2">
      <c r="B886" s="1323"/>
      <c r="C886" s="1323"/>
      <c r="D886" s="365"/>
      <c r="E886" s="365"/>
      <c r="F886" s="1325"/>
      <c r="G886" s="1325"/>
      <c r="H886" s="1325"/>
      <c r="I886" s="1325"/>
      <c r="J886" s="1325"/>
      <c r="K886" s="1325"/>
      <c r="L886" s="1325"/>
      <c r="M886" s="1325"/>
      <c r="N886" s="365"/>
      <c r="O886" s="1331"/>
      <c r="P886" s="1323"/>
      <c r="Q886" s="1323"/>
      <c r="R886" s="1323"/>
      <c r="S886" s="1323"/>
      <c r="T886" s="1323"/>
      <c r="U886" s="1323"/>
      <c r="V886" s="1323"/>
    </row>
    <row r="887" spans="2:22" x14ac:dyDescent="0.2">
      <c r="B887" s="1323"/>
      <c r="C887" s="1323"/>
      <c r="D887" s="365"/>
      <c r="E887" s="365"/>
      <c r="F887" s="1325"/>
      <c r="G887" s="1325"/>
      <c r="H887" s="1325"/>
      <c r="I887" s="1325"/>
      <c r="J887" s="1325"/>
      <c r="K887" s="1325"/>
      <c r="L887" s="1325"/>
      <c r="M887" s="1325"/>
      <c r="N887" s="365"/>
      <c r="O887" s="1331"/>
      <c r="P887" s="1323"/>
      <c r="Q887" s="1323"/>
      <c r="R887" s="1323"/>
      <c r="S887" s="1323"/>
      <c r="T887" s="1323"/>
      <c r="U887" s="1323"/>
      <c r="V887" s="1323"/>
    </row>
    <row r="888" spans="2:22" x14ac:dyDescent="0.2">
      <c r="B888" s="1323"/>
      <c r="C888" s="1323"/>
      <c r="D888" s="365"/>
      <c r="E888" s="365"/>
      <c r="F888" s="1325"/>
      <c r="G888" s="1325"/>
      <c r="H888" s="1325"/>
      <c r="I888" s="1325"/>
      <c r="J888" s="1325"/>
      <c r="K888" s="1325"/>
      <c r="L888" s="1325"/>
      <c r="M888" s="1325"/>
      <c r="N888" s="365"/>
      <c r="O888" s="1331"/>
      <c r="P888" s="1323"/>
      <c r="Q888" s="1323"/>
      <c r="R888" s="1323"/>
      <c r="S888" s="1323"/>
      <c r="T888" s="1323"/>
      <c r="U888" s="1323"/>
      <c r="V888" s="1323"/>
    </row>
    <row r="889" spans="2:22" x14ac:dyDescent="0.2">
      <c r="B889" s="1323"/>
      <c r="C889" s="1323"/>
      <c r="D889" s="365"/>
      <c r="E889" s="365"/>
      <c r="F889" s="1325"/>
      <c r="G889" s="1325"/>
      <c r="H889" s="1325"/>
      <c r="I889" s="1325"/>
      <c r="J889" s="1325"/>
      <c r="K889" s="1325"/>
      <c r="L889" s="1325"/>
      <c r="M889" s="1325"/>
      <c r="N889" s="365"/>
      <c r="O889" s="1331"/>
      <c r="P889" s="1323"/>
      <c r="Q889" s="1323"/>
      <c r="R889" s="1323"/>
      <c r="S889" s="1323"/>
      <c r="T889" s="1323"/>
      <c r="U889" s="1323"/>
      <c r="V889" s="1323"/>
    </row>
    <row r="890" spans="2:22" x14ac:dyDescent="0.2">
      <c r="B890" s="1323"/>
      <c r="C890" s="1323"/>
      <c r="D890" s="365"/>
      <c r="E890" s="365"/>
      <c r="F890" s="1325"/>
      <c r="G890" s="1325"/>
      <c r="H890" s="1325"/>
      <c r="I890" s="1325"/>
      <c r="J890" s="1325"/>
      <c r="K890" s="1325"/>
      <c r="L890" s="1325"/>
      <c r="M890" s="1325"/>
      <c r="N890" s="365"/>
      <c r="O890" s="1331"/>
      <c r="P890" s="1323"/>
      <c r="Q890" s="1323"/>
      <c r="R890" s="1323"/>
      <c r="S890" s="1323"/>
      <c r="T890" s="1323"/>
      <c r="U890" s="1323"/>
      <c r="V890" s="1323"/>
    </row>
    <row r="891" spans="2:22" x14ac:dyDescent="0.2">
      <c r="B891" s="1323"/>
      <c r="C891" s="1323"/>
      <c r="D891" s="365"/>
      <c r="E891" s="365"/>
      <c r="F891" s="1325"/>
      <c r="G891" s="1325"/>
      <c r="H891" s="1325"/>
      <c r="I891" s="1325"/>
      <c r="J891" s="1325"/>
      <c r="K891" s="1325"/>
      <c r="L891" s="1325"/>
      <c r="M891" s="1325"/>
      <c r="N891" s="365"/>
      <c r="O891" s="1331"/>
      <c r="P891" s="1323"/>
      <c r="Q891" s="1323"/>
      <c r="R891" s="1323"/>
      <c r="S891" s="1323"/>
      <c r="T891" s="1323"/>
      <c r="U891" s="1323"/>
      <c r="V891" s="1323"/>
    </row>
    <row r="892" spans="2:22" x14ac:dyDescent="0.2">
      <c r="B892" s="1323"/>
      <c r="C892" s="1323"/>
      <c r="D892" s="365"/>
      <c r="E892" s="365"/>
      <c r="F892" s="1325"/>
      <c r="G892" s="1325"/>
      <c r="H892" s="1325"/>
      <c r="I892" s="1325"/>
      <c r="J892" s="1325"/>
      <c r="K892" s="1325"/>
      <c r="L892" s="1325"/>
      <c r="M892" s="1325"/>
      <c r="N892" s="365"/>
      <c r="O892" s="1331"/>
      <c r="P892" s="1323"/>
      <c r="Q892" s="1323"/>
      <c r="R892" s="1323"/>
      <c r="S892" s="1323"/>
      <c r="T892" s="1323"/>
      <c r="U892" s="1323"/>
      <c r="V892" s="1323"/>
    </row>
    <row r="893" spans="2:22" x14ac:dyDescent="0.2">
      <c r="B893" s="1323"/>
      <c r="C893" s="1323"/>
      <c r="D893" s="365"/>
      <c r="E893" s="365"/>
      <c r="F893" s="1325"/>
      <c r="G893" s="1325"/>
      <c r="H893" s="1325"/>
      <c r="I893" s="1325"/>
      <c r="J893" s="1325"/>
      <c r="K893" s="1325"/>
      <c r="L893" s="1325"/>
      <c r="M893" s="1325"/>
      <c r="N893" s="365"/>
      <c r="O893" s="1331"/>
      <c r="P893" s="1323"/>
      <c r="Q893" s="1323"/>
      <c r="R893" s="1323"/>
      <c r="S893" s="1323"/>
      <c r="T893" s="1323"/>
      <c r="U893" s="1323"/>
      <c r="V893" s="1323"/>
    </row>
    <row r="894" spans="2:22" x14ac:dyDescent="0.2">
      <c r="B894" s="1323"/>
      <c r="C894" s="1323"/>
      <c r="D894" s="365"/>
      <c r="E894" s="365"/>
      <c r="F894" s="1325"/>
      <c r="G894" s="1325"/>
      <c r="H894" s="1325"/>
      <c r="I894" s="1325"/>
      <c r="J894" s="1325"/>
      <c r="K894" s="1325"/>
      <c r="L894" s="1325"/>
      <c r="M894" s="1325"/>
      <c r="N894" s="365"/>
      <c r="O894" s="1331"/>
      <c r="P894" s="1323"/>
      <c r="Q894" s="1323"/>
      <c r="R894" s="1323"/>
      <c r="S894" s="1323"/>
      <c r="T894" s="1323"/>
      <c r="U894" s="1323"/>
      <c r="V894" s="1323"/>
    </row>
    <row r="895" spans="2:22" x14ac:dyDescent="0.2">
      <c r="B895" s="1323"/>
      <c r="C895" s="1323"/>
      <c r="D895" s="365"/>
      <c r="E895" s="365"/>
      <c r="F895" s="1325"/>
      <c r="G895" s="1325"/>
      <c r="H895" s="1325"/>
      <c r="I895" s="1325"/>
      <c r="J895" s="1325"/>
      <c r="K895" s="1325"/>
      <c r="L895" s="1325"/>
      <c r="M895" s="1325"/>
      <c r="N895" s="365"/>
      <c r="O895" s="1331"/>
      <c r="P895" s="1323"/>
      <c r="Q895" s="1323"/>
      <c r="R895" s="1323"/>
      <c r="S895" s="1323"/>
      <c r="T895" s="1323"/>
      <c r="U895" s="1323"/>
      <c r="V895" s="1323"/>
    </row>
    <row r="896" spans="2:22" x14ac:dyDescent="0.2">
      <c r="B896" s="1323"/>
      <c r="C896" s="1323"/>
      <c r="D896" s="365"/>
      <c r="E896" s="365"/>
      <c r="F896" s="1325"/>
      <c r="G896" s="1325"/>
      <c r="H896" s="1325"/>
      <c r="I896" s="1325"/>
      <c r="J896" s="1325"/>
      <c r="K896" s="1325"/>
      <c r="L896" s="1325"/>
      <c r="M896" s="1325"/>
      <c r="N896" s="365"/>
      <c r="O896" s="1331"/>
      <c r="P896" s="1323"/>
      <c r="Q896" s="1323"/>
      <c r="R896" s="1323"/>
      <c r="S896" s="1323"/>
      <c r="T896" s="1323"/>
      <c r="U896" s="1323"/>
      <c r="V896" s="1323"/>
    </row>
    <row r="897" spans="2:22" x14ac:dyDescent="0.2">
      <c r="B897" s="1323"/>
      <c r="C897" s="1323"/>
      <c r="D897" s="365"/>
      <c r="E897" s="365"/>
      <c r="F897" s="1325"/>
      <c r="G897" s="1325"/>
      <c r="H897" s="1325"/>
      <c r="I897" s="1325"/>
      <c r="J897" s="1325"/>
      <c r="K897" s="1325"/>
      <c r="L897" s="1325"/>
      <c r="M897" s="1325"/>
      <c r="N897" s="365"/>
      <c r="O897" s="1331"/>
      <c r="P897" s="1323"/>
      <c r="Q897" s="1323"/>
      <c r="R897" s="1323"/>
      <c r="S897" s="1323"/>
      <c r="T897" s="1323"/>
      <c r="U897" s="1323"/>
      <c r="V897" s="1323"/>
    </row>
    <row r="898" spans="2:22" x14ac:dyDescent="0.2">
      <c r="B898" s="1323"/>
      <c r="C898" s="1323"/>
      <c r="D898" s="365"/>
      <c r="E898" s="365"/>
      <c r="F898" s="1325"/>
      <c r="G898" s="1325"/>
      <c r="H898" s="1325"/>
      <c r="I898" s="1325"/>
      <c r="J898" s="1325"/>
      <c r="K898" s="1325"/>
      <c r="L898" s="1325"/>
      <c r="M898" s="1325"/>
      <c r="N898" s="365"/>
      <c r="O898" s="1331"/>
      <c r="P898" s="1323"/>
      <c r="Q898" s="1323"/>
      <c r="R898" s="1323"/>
      <c r="S898" s="1323"/>
      <c r="T898" s="1323"/>
      <c r="U898" s="1323"/>
      <c r="V898" s="1323"/>
    </row>
    <row r="899" spans="2:22" x14ac:dyDescent="0.2">
      <c r="B899" s="1323"/>
      <c r="C899" s="1323"/>
      <c r="D899" s="365"/>
      <c r="E899" s="365"/>
      <c r="F899" s="1325"/>
      <c r="G899" s="1325"/>
      <c r="H899" s="1325"/>
      <c r="I899" s="1325"/>
      <c r="J899" s="1325"/>
      <c r="K899" s="1325"/>
      <c r="L899" s="1325"/>
      <c r="M899" s="1325"/>
      <c r="N899" s="365"/>
      <c r="O899" s="1331"/>
      <c r="P899" s="1323"/>
      <c r="Q899" s="1323"/>
      <c r="R899" s="1323"/>
      <c r="S899" s="1323"/>
      <c r="T899" s="1323"/>
      <c r="U899" s="1323"/>
      <c r="V899" s="1323"/>
    </row>
    <row r="900" spans="2:22" x14ac:dyDescent="0.2">
      <c r="B900" s="1323"/>
      <c r="C900" s="1323"/>
      <c r="D900" s="365"/>
      <c r="E900" s="365"/>
      <c r="F900" s="1325"/>
      <c r="G900" s="1325"/>
      <c r="H900" s="1325"/>
      <c r="I900" s="1325"/>
      <c r="J900" s="1325"/>
      <c r="K900" s="1325"/>
      <c r="L900" s="1325"/>
      <c r="M900" s="1325"/>
      <c r="N900" s="365"/>
      <c r="O900" s="1331"/>
      <c r="P900" s="1323"/>
      <c r="Q900" s="1323"/>
      <c r="R900" s="1323"/>
      <c r="S900" s="1323"/>
      <c r="T900" s="1323"/>
      <c r="U900" s="1323"/>
      <c r="V900" s="1323"/>
    </row>
    <row r="901" spans="2:22" x14ac:dyDescent="0.2">
      <c r="B901" s="1323"/>
      <c r="C901" s="1323"/>
      <c r="D901" s="365"/>
      <c r="E901" s="365"/>
      <c r="F901" s="1325"/>
      <c r="G901" s="1325"/>
      <c r="H901" s="1325"/>
      <c r="I901" s="1325"/>
      <c r="J901" s="1325"/>
      <c r="K901" s="1325"/>
      <c r="L901" s="1325"/>
      <c r="M901" s="1325"/>
      <c r="N901" s="365"/>
      <c r="O901" s="1331"/>
      <c r="P901" s="1323"/>
      <c r="Q901" s="1323"/>
      <c r="R901" s="1323"/>
      <c r="S901" s="1323"/>
      <c r="T901" s="1323"/>
      <c r="U901" s="1323"/>
      <c r="V901" s="1323"/>
    </row>
    <row r="902" spans="2:22" x14ac:dyDescent="0.2">
      <c r="B902" s="1323"/>
      <c r="C902" s="1323"/>
      <c r="D902" s="365"/>
      <c r="E902" s="365"/>
      <c r="F902" s="1325"/>
      <c r="G902" s="1325"/>
      <c r="H902" s="1325"/>
      <c r="I902" s="1325"/>
      <c r="J902" s="1325"/>
      <c r="K902" s="1325"/>
      <c r="L902" s="1325"/>
      <c r="M902" s="1325"/>
      <c r="N902" s="365"/>
      <c r="O902" s="1331"/>
      <c r="P902" s="1323"/>
      <c r="Q902" s="1323"/>
      <c r="R902" s="1323"/>
      <c r="S902" s="1323"/>
      <c r="T902" s="1323"/>
      <c r="U902" s="1323"/>
      <c r="V902" s="1323"/>
    </row>
    <row r="903" spans="2:22" x14ac:dyDescent="0.2">
      <c r="B903" s="1323"/>
      <c r="C903" s="1323"/>
      <c r="D903" s="365"/>
      <c r="E903" s="365"/>
      <c r="F903" s="1325"/>
      <c r="G903" s="1325"/>
      <c r="H903" s="1325"/>
      <c r="I903" s="1325"/>
      <c r="J903" s="1325"/>
      <c r="K903" s="1325"/>
      <c r="L903" s="1325"/>
      <c r="M903" s="1325"/>
      <c r="N903" s="365"/>
      <c r="O903" s="1331"/>
      <c r="P903" s="1323"/>
      <c r="Q903" s="1323"/>
      <c r="R903" s="1323"/>
      <c r="S903" s="1323"/>
      <c r="T903" s="1323"/>
      <c r="U903" s="1323"/>
      <c r="V903" s="1323"/>
    </row>
    <row r="904" spans="2:22" x14ac:dyDescent="0.2">
      <c r="B904" s="1323"/>
      <c r="C904" s="1323"/>
      <c r="D904" s="365"/>
      <c r="E904" s="365"/>
      <c r="F904" s="1325"/>
      <c r="G904" s="1325"/>
      <c r="H904" s="1325"/>
      <c r="I904" s="1325"/>
      <c r="J904" s="1325"/>
      <c r="K904" s="1325"/>
      <c r="L904" s="1325"/>
      <c r="M904" s="1325"/>
      <c r="N904" s="365"/>
      <c r="O904" s="1331"/>
      <c r="P904" s="1323"/>
      <c r="Q904" s="1323"/>
      <c r="R904" s="1323"/>
      <c r="S904" s="1323"/>
      <c r="T904" s="1323"/>
      <c r="U904" s="1323"/>
      <c r="V904" s="1323"/>
    </row>
    <row r="905" spans="2:22" x14ac:dyDescent="0.2">
      <c r="B905" s="1323"/>
      <c r="C905" s="1323"/>
      <c r="D905" s="365"/>
      <c r="E905" s="365"/>
      <c r="F905" s="1325"/>
      <c r="G905" s="1325"/>
      <c r="H905" s="1325"/>
      <c r="I905" s="1325"/>
      <c r="J905" s="1325"/>
      <c r="K905" s="1325"/>
      <c r="L905" s="1325"/>
      <c r="M905" s="1325"/>
      <c r="N905" s="365"/>
      <c r="O905" s="1331"/>
      <c r="P905" s="1323"/>
      <c r="Q905" s="1323"/>
      <c r="R905" s="1323"/>
      <c r="S905" s="1323"/>
      <c r="T905" s="1323"/>
      <c r="U905" s="1323"/>
      <c r="V905" s="1323"/>
    </row>
    <row r="906" spans="2:22" x14ac:dyDescent="0.2">
      <c r="B906" s="1323"/>
      <c r="C906" s="1323"/>
      <c r="D906" s="365"/>
      <c r="E906" s="365"/>
      <c r="F906" s="1325"/>
      <c r="G906" s="1325"/>
      <c r="H906" s="1325"/>
      <c r="I906" s="1325"/>
      <c r="J906" s="1325"/>
      <c r="K906" s="1325"/>
      <c r="L906" s="1325"/>
      <c r="M906" s="1325"/>
      <c r="N906" s="365"/>
      <c r="O906" s="1331"/>
      <c r="P906" s="1323"/>
      <c r="Q906" s="1323"/>
      <c r="R906" s="1323"/>
      <c r="S906" s="1323"/>
      <c r="T906" s="1323"/>
      <c r="U906" s="1323"/>
      <c r="V906" s="1323"/>
    </row>
    <row r="907" spans="2:22" x14ac:dyDescent="0.2">
      <c r="B907" s="1323"/>
      <c r="C907" s="1323"/>
      <c r="D907" s="365"/>
      <c r="E907" s="365"/>
      <c r="F907" s="1325"/>
      <c r="G907" s="1325"/>
      <c r="H907" s="1325"/>
      <c r="I907" s="1325"/>
      <c r="J907" s="1325"/>
      <c r="K907" s="1325"/>
      <c r="L907" s="1325"/>
      <c r="M907" s="1325"/>
      <c r="N907" s="365"/>
      <c r="O907" s="1331"/>
      <c r="P907" s="1323"/>
      <c r="Q907" s="1323"/>
      <c r="R907" s="1323"/>
      <c r="S907" s="1323"/>
      <c r="T907" s="1323"/>
      <c r="U907" s="1323"/>
      <c r="V907" s="1323"/>
    </row>
    <row r="908" spans="2:22" x14ac:dyDescent="0.2">
      <c r="B908" s="1323"/>
      <c r="C908" s="1323"/>
      <c r="D908" s="365"/>
      <c r="E908" s="365"/>
      <c r="F908" s="1325"/>
      <c r="G908" s="1325"/>
      <c r="H908" s="1325"/>
      <c r="I908" s="1325"/>
      <c r="J908" s="1325"/>
      <c r="K908" s="1325"/>
      <c r="L908" s="1325"/>
      <c r="M908" s="1325"/>
      <c r="N908" s="365"/>
      <c r="O908" s="1331"/>
      <c r="P908" s="1323"/>
      <c r="Q908" s="1323"/>
      <c r="R908" s="1323"/>
      <c r="S908" s="1323"/>
      <c r="T908" s="1323"/>
      <c r="U908" s="1323"/>
      <c r="V908" s="1323"/>
    </row>
    <row r="909" spans="2:22" x14ac:dyDescent="0.2">
      <c r="B909" s="1323"/>
      <c r="C909" s="1323"/>
      <c r="D909" s="365"/>
      <c r="E909" s="365"/>
      <c r="F909" s="1325"/>
      <c r="G909" s="1325"/>
      <c r="H909" s="1325"/>
      <c r="I909" s="1325"/>
      <c r="J909" s="1325"/>
      <c r="K909" s="1325"/>
      <c r="L909" s="1325"/>
      <c r="M909" s="1325"/>
      <c r="N909" s="365"/>
      <c r="O909" s="1331"/>
      <c r="P909" s="1323"/>
      <c r="Q909" s="1323"/>
      <c r="R909" s="1323"/>
      <c r="S909" s="1323"/>
      <c r="T909" s="1323"/>
      <c r="U909" s="1323"/>
      <c r="V909" s="1323"/>
    </row>
    <row r="910" spans="2:22" x14ac:dyDescent="0.2">
      <c r="B910" s="1323"/>
      <c r="C910" s="1323"/>
      <c r="D910" s="365"/>
      <c r="E910" s="365"/>
      <c r="F910" s="1325"/>
      <c r="G910" s="1325"/>
      <c r="H910" s="1325"/>
      <c r="I910" s="1325"/>
      <c r="J910" s="1325"/>
      <c r="K910" s="1325"/>
      <c r="L910" s="1325"/>
      <c r="M910" s="1325"/>
      <c r="N910" s="365"/>
      <c r="O910" s="1331"/>
      <c r="P910" s="1323"/>
      <c r="Q910" s="1323"/>
      <c r="R910" s="1323"/>
      <c r="S910" s="1323"/>
      <c r="T910" s="1323"/>
      <c r="U910" s="1323"/>
      <c r="V910" s="1323"/>
    </row>
    <row r="911" spans="2:22" x14ac:dyDescent="0.2">
      <c r="B911" s="1323"/>
      <c r="C911" s="1323"/>
      <c r="D911" s="365"/>
      <c r="E911" s="365"/>
      <c r="F911" s="1325"/>
      <c r="G911" s="1325"/>
      <c r="H911" s="1325"/>
      <c r="I911" s="1325"/>
      <c r="J911" s="1325"/>
      <c r="K911" s="1325"/>
      <c r="L911" s="1325"/>
      <c r="M911" s="1325"/>
      <c r="N911" s="365"/>
      <c r="O911" s="1331"/>
      <c r="P911" s="1323"/>
      <c r="Q911" s="1323"/>
      <c r="R911" s="1323"/>
      <c r="S911" s="1323"/>
      <c r="T911" s="1323"/>
      <c r="U911" s="1323"/>
      <c r="V911" s="1323"/>
    </row>
    <row r="912" spans="2:22" x14ac:dyDescent="0.2">
      <c r="B912" s="1323"/>
      <c r="C912" s="1323"/>
      <c r="D912" s="365"/>
      <c r="E912" s="365"/>
      <c r="F912" s="1325"/>
      <c r="G912" s="1325"/>
      <c r="H912" s="1325"/>
      <c r="I912" s="1325"/>
      <c r="J912" s="1325"/>
      <c r="K912" s="1325"/>
      <c r="L912" s="1325"/>
      <c r="M912" s="1325"/>
      <c r="N912" s="365"/>
      <c r="O912" s="1331"/>
      <c r="P912" s="1323"/>
      <c r="Q912" s="1323"/>
      <c r="R912" s="1323"/>
      <c r="S912" s="1323"/>
      <c r="T912" s="1323"/>
      <c r="U912" s="1323"/>
      <c r="V912" s="1323"/>
    </row>
    <row r="913" spans="2:22" x14ac:dyDescent="0.2">
      <c r="B913" s="1323"/>
      <c r="C913" s="1323"/>
      <c r="D913" s="365"/>
      <c r="E913" s="365"/>
      <c r="F913" s="1325"/>
      <c r="G913" s="1325"/>
      <c r="H913" s="1325"/>
      <c r="I913" s="1325"/>
      <c r="J913" s="1325"/>
      <c r="K913" s="1325"/>
      <c r="L913" s="1325"/>
      <c r="M913" s="1325"/>
      <c r="N913" s="365"/>
      <c r="O913" s="1331"/>
      <c r="P913" s="1323"/>
      <c r="Q913" s="1323"/>
      <c r="R913" s="1323"/>
      <c r="S913" s="1323"/>
      <c r="T913" s="1323"/>
      <c r="U913" s="1323"/>
      <c r="V913" s="1323"/>
    </row>
    <row r="914" spans="2:22" x14ac:dyDescent="0.2">
      <c r="B914" s="1323"/>
      <c r="C914" s="1323"/>
      <c r="D914" s="365"/>
      <c r="E914" s="365"/>
      <c r="F914" s="1325"/>
      <c r="G914" s="1325"/>
      <c r="H914" s="1325"/>
      <c r="I914" s="1325"/>
      <c r="J914" s="1325"/>
      <c r="K914" s="1325"/>
      <c r="L914" s="1325"/>
      <c r="M914" s="1325"/>
      <c r="N914" s="365"/>
      <c r="O914" s="1331"/>
      <c r="P914" s="1323"/>
      <c r="Q914" s="1323"/>
      <c r="R914" s="1323"/>
      <c r="S914" s="1323"/>
      <c r="T914" s="1323"/>
      <c r="U914" s="1323"/>
      <c r="V914" s="1323"/>
    </row>
    <row r="915" spans="2:22" x14ac:dyDescent="0.2">
      <c r="B915" s="1323"/>
      <c r="C915" s="1323"/>
      <c r="D915" s="365"/>
      <c r="E915" s="365"/>
      <c r="F915" s="1325"/>
      <c r="G915" s="1325"/>
      <c r="H915" s="1325"/>
      <c r="I915" s="1325"/>
      <c r="J915" s="1325"/>
      <c r="K915" s="1325"/>
      <c r="L915" s="1325"/>
      <c r="M915" s="1325"/>
      <c r="N915" s="365"/>
      <c r="O915" s="1331"/>
      <c r="P915" s="1323"/>
      <c r="Q915" s="1323"/>
      <c r="R915" s="1323"/>
      <c r="S915" s="1323"/>
      <c r="T915" s="1323"/>
      <c r="U915" s="1323"/>
      <c r="V915" s="1323"/>
    </row>
    <row r="916" spans="2:22" x14ac:dyDescent="0.2">
      <c r="B916" s="1323"/>
      <c r="C916" s="1323"/>
      <c r="D916" s="365"/>
      <c r="E916" s="365"/>
      <c r="F916" s="1325"/>
      <c r="G916" s="1325"/>
      <c r="H916" s="1325"/>
      <c r="I916" s="1325"/>
      <c r="J916" s="1325"/>
      <c r="K916" s="1325"/>
      <c r="L916" s="1325"/>
      <c r="M916" s="1325"/>
      <c r="N916" s="365"/>
      <c r="O916" s="1331"/>
      <c r="P916" s="1323"/>
      <c r="Q916" s="1323"/>
      <c r="R916" s="1323"/>
      <c r="S916" s="1323"/>
      <c r="T916" s="1323"/>
      <c r="U916" s="1323"/>
      <c r="V916" s="1323"/>
    </row>
    <row r="917" spans="2:22" x14ac:dyDescent="0.2">
      <c r="B917" s="1323"/>
      <c r="C917" s="1323"/>
      <c r="D917" s="365"/>
      <c r="E917" s="365"/>
      <c r="F917" s="1325"/>
      <c r="G917" s="1325"/>
      <c r="H917" s="1325"/>
      <c r="I917" s="1325"/>
      <c r="J917" s="1325"/>
      <c r="K917" s="1325"/>
      <c r="L917" s="1325"/>
      <c r="M917" s="1325"/>
      <c r="N917" s="365"/>
      <c r="O917" s="1331"/>
      <c r="P917" s="1323"/>
      <c r="Q917" s="1323"/>
      <c r="R917" s="1323"/>
      <c r="S917" s="1323"/>
      <c r="T917" s="1323"/>
      <c r="U917" s="1323"/>
      <c r="V917" s="1323"/>
    </row>
    <row r="918" spans="2:22" x14ac:dyDescent="0.2">
      <c r="B918" s="1323"/>
      <c r="C918" s="1323"/>
      <c r="D918" s="365"/>
      <c r="E918" s="365"/>
      <c r="F918" s="1325"/>
      <c r="G918" s="1325"/>
      <c r="H918" s="1325"/>
      <c r="I918" s="1325"/>
      <c r="J918" s="1325"/>
      <c r="K918" s="1325"/>
      <c r="L918" s="1325"/>
      <c r="M918" s="1325"/>
      <c r="N918" s="365"/>
      <c r="O918" s="1331"/>
      <c r="P918" s="1323"/>
      <c r="Q918" s="1323"/>
      <c r="R918" s="1323"/>
      <c r="S918" s="1323"/>
      <c r="T918" s="1323"/>
      <c r="U918" s="1323"/>
      <c r="V918" s="1323"/>
    </row>
    <row r="919" spans="2:22" x14ac:dyDescent="0.2">
      <c r="B919" s="1323"/>
      <c r="C919" s="1323"/>
      <c r="D919" s="365"/>
      <c r="E919" s="365"/>
      <c r="F919" s="1325"/>
      <c r="G919" s="1325"/>
      <c r="H919" s="1325"/>
      <c r="I919" s="1325"/>
      <c r="J919" s="1325"/>
      <c r="K919" s="1325"/>
      <c r="L919" s="1325"/>
      <c r="M919" s="1325"/>
      <c r="N919" s="365"/>
      <c r="O919" s="1331"/>
      <c r="P919" s="1323"/>
      <c r="Q919" s="1323"/>
      <c r="R919" s="1323"/>
      <c r="S919" s="1323"/>
      <c r="T919" s="1323"/>
      <c r="U919" s="1323"/>
      <c r="V919" s="1323"/>
    </row>
    <row r="920" spans="2:22" x14ac:dyDescent="0.2">
      <c r="B920" s="1323"/>
      <c r="C920" s="1323"/>
      <c r="D920" s="365"/>
      <c r="E920" s="365"/>
      <c r="F920" s="1325"/>
      <c r="G920" s="1325"/>
      <c r="H920" s="1325"/>
      <c r="I920" s="1325"/>
      <c r="J920" s="1325"/>
      <c r="K920" s="1325"/>
      <c r="L920" s="1325"/>
      <c r="M920" s="1325"/>
      <c r="N920" s="365"/>
      <c r="O920" s="1331"/>
      <c r="P920" s="1323"/>
      <c r="Q920" s="1323"/>
      <c r="R920" s="1323"/>
      <c r="S920" s="1323"/>
      <c r="T920" s="1323"/>
      <c r="U920" s="1323"/>
      <c r="V920" s="1323"/>
    </row>
    <row r="921" spans="2:22" x14ac:dyDescent="0.2">
      <c r="B921" s="1323"/>
      <c r="C921" s="1323"/>
      <c r="D921" s="365"/>
      <c r="E921" s="365"/>
      <c r="F921" s="1325"/>
      <c r="G921" s="1325"/>
      <c r="H921" s="1325"/>
      <c r="I921" s="1325"/>
      <c r="J921" s="1325"/>
      <c r="K921" s="1325"/>
      <c r="L921" s="1325"/>
      <c r="M921" s="1325"/>
      <c r="N921" s="365"/>
      <c r="O921" s="1331"/>
      <c r="P921" s="1323"/>
      <c r="Q921" s="1323"/>
      <c r="R921" s="1323"/>
      <c r="S921" s="1323"/>
      <c r="T921" s="1323"/>
      <c r="U921" s="1323"/>
      <c r="V921" s="1323"/>
    </row>
    <row r="922" spans="2:22" x14ac:dyDescent="0.2">
      <c r="B922" s="1323"/>
      <c r="C922" s="1323"/>
      <c r="D922" s="365"/>
      <c r="E922" s="365"/>
      <c r="F922" s="1325"/>
      <c r="G922" s="1325"/>
      <c r="H922" s="1325"/>
      <c r="I922" s="1325"/>
      <c r="J922" s="1325"/>
      <c r="K922" s="1325"/>
      <c r="L922" s="1325"/>
      <c r="M922" s="1325"/>
      <c r="N922" s="365"/>
      <c r="O922" s="1331"/>
      <c r="P922" s="1323"/>
      <c r="Q922" s="1323"/>
      <c r="R922" s="1323"/>
      <c r="S922" s="1323"/>
      <c r="T922" s="1323"/>
      <c r="U922" s="1323"/>
      <c r="V922" s="1323"/>
    </row>
    <row r="923" spans="2:22" x14ac:dyDescent="0.2">
      <c r="B923" s="1323"/>
      <c r="C923" s="1323"/>
      <c r="D923" s="365"/>
      <c r="E923" s="365"/>
      <c r="F923" s="1325"/>
      <c r="G923" s="1325"/>
      <c r="H923" s="1325"/>
      <c r="I923" s="1325"/>
      <c r="J923" s="1325"/>
      <c r="K923" s="1325"/>
      <c r="L923" s="1325"/>
      <c r="M923" s="1325"/>
      <c r="N923" s="365"/>
      <c r="O923" s="1331"/>
      <c r="P923" s="1323"/>
      <c r="Q923" s="1323"/>
      <c r="R923" s="1323"/>
      <c r="S923" s="1323"/>
      <c r="T923" s="1323"/>
      <c r="U923" s="1323"/>
      <c r="V923" s="1323"/>
    </row>
    <row r="924" spans="2:22" x14ac:dyDescent="0.2">
      <c r="B924" s="1323"/>
      <c r="C924" s="1323"/>
      <c r="D924" s="365"/>
      <c r="E924" s="365"/>
      <c r="F924" s="1325"/>
      <c r="G924" s="1325"/>
      <c r="H924" s="1325"/>
      <c r="I924" s="1325"/>
      <c r="J924" s="1325"/>
      <c r="K924" s="1325"/>
      <c r="L924" s="1325"/>
      <c r="M924" s="1325"/>
      <c r="N924" s="365"/>
      <c r="O924" s="1331"/>
      <c r="P924" s="1323"/>
      <c r="Q924" s="1323"/>
      <c r="R924" s="1323"/>
      <c r="S924" s="1323"/>
      <c r="T924" s="1323"/>
      <c r="U924" s="1323"/>
      <c r="V924" s="1323"/>
    </row>
    <row r="925" spans="2:22" x14ac:dyDescent="0.2">
      <c r="B925" s="1323"/>
      <c r="C925" s="1323"/>
      <c r="D925" s="365"/>
      <c r="E925" s="365"/>
      <c r="F925" s="1325"/>
      <c r="G925" s="1325"/>
      <c r="H925" s="1325"/>
      <c r="I925" s="1325"/>
      <c r="J925" s="1325"/>
      <c r="K925" s="1325"/>
      <c r="L925" s="1325"/>
      <c r="M925" s="1325"/>
      <c r="N925" s="365"/>
      <c r="O925" s="1331"/>
      <c r="P925" s="1323"/>
      <c r="Q925" s="1323"/>
      <c r="R925" s="1323"/>
      <c r="S925" s="1323"/>
      <c r="T925" s="1323"/>
      <c r="U925" s="1323"/>
      <c r="V925" s="1323"/>
    </row>
    <row r="926" spans="2:22" x14ac:dyDescent="0.2">
      <c r="B926" s="1323"/>
      <c r="C926" s="1323"/>
      <c r="D926" s="365"/>
      <c r="E926" s="365"/>
      <c r="F926" s="1325"/>
      <c r="G926" s="1325"/>
      <c r="H926" s="1325"/>
      <c r="I926" s="1325"/>
      <c r="J926" s="1325"/>
      <c r="K926" s="1325"/>
      <c r="L926" s="1325"/>
      <c r="M926" s="1325"/>
      <c r="N926" s="365"/>
      <c r="O926" s="1331"/>
      <c r="P926" s="1323"/>
      <c r="Q926" s="1323"/>
      <c r="R926" s="1323"/>
      <c r="S926" s="1323"/>
      <c r="T926" s="1323"/>
      <c r="U926" s="1323"/>
      <c r="V926" s="1323"/>
    </row>
    <row r="927" spans="2:22" x14ac:dyDescent="0.2">
      <c r="B927" s="1323"/>
      <c r="C927" s="1323"/>
      <c r="D927" s="365"/>
      <c r="E927" s="365"/>
      <c r="F927" s="1325"/>
      <c r="G927" s="1325"/>
      <c r="H927" s="1325"/>
      <c r="I927" s="1325"/>
      <c r="J927" s="1325"/>
      <c r="K927" s="1325"/>
      <c r="L927" s="1325"/>
      <c r="M927" s="1325"/>
      <c r="N927" s="365"/>
      <c r="O927" s="1331"/>
      <c r="P927" s="1323"/>
      <c r="Q927" s="1323"/>
      <c r="R927" s="1323"/>
      <c r="S927" s="1323"/>
      <c r="T927" s="1323"/>
      <c r="U927" s="1323"/>
      <c r="V927" s="1323"/>
    </row>
    <row r="928" spans="2:22" x14ac:dyDescent="0.2">
      <c r="B928" s="1323"/>
      <c r="C928" s="1323"/>
      <c r="D928" s="365"/>
      <c r="E928" s="365"/>
      <c r="F928" s="1325"/>
      <c r="G928" s="1325"/>
      <c r="H928" s="1325"/>
      <c r="I928" s="1325"/>
      <c r="J928" s="1325"/>
      <c r="K928" s="1325"/>
      <c r="L928" s="1325"/>
      <c r="M928" s="1325"/>
      <c r="N928" s="365"/>
      <c r="O928" s="1331"/>
      <c r="P928" s="1323"/>
      <c r="Q928" s="1323"/>
      <c r="R928" s="1323"/>
      <c r="S928" s="1323"/>
      <c r="T928" s="1323"/>
      <c r="U928" s="1323"/>
      <c r="V928" s="1323"/>
    </row>
    <row r="929" spans="2:22" x14ac:dyDescent="0.2">
      <c r="B929" s="1323"/>
      <c r="C929" s="1323"/>
      <c r="D929" s="365"/>
      <c r="E929" s="365"/>
      <c r="F929" s="1325"/>
      <c r="G929" s="1325"/>
      <c r="H929" s="1325"/>
      <c r="I929" s="1325"/>
      <c r="J929" s="1325"/>
      <c r="K929" s="1325"/>
      <c r="L929" s="1325"/>
      <c r="M929" s="1325"/>
      <c r="N929" s="365"/>
      <c r="O929" s="1331"/>
      <c r="P929" s="1323"/>
      <c r="Q929" s="1323"/>
      <c r="R929" s="1323"/>
      <c r="S929" s="1323"/>
      <c r="T929" s="1323"/>
      <c r="U929" s="1323"/>
      <c r="V929" s="1323"/>
    </row>
    <row r="930" spans="2:22" x14ac:dyDescent="0.2">
      <c r="B930" s="1323"/>
      <c r="C930" s="1323"/>
      <c r="D930" s="365"/>
      <c r="E930" s="365"/>
      <c r="F930" s="1325"/>
      <c r="G930" s="1325"/>
      <c r="H930" s="1325"/>
      <c r="I930" s="1325"/>
      <c r="J930" s="1325"/>
      <c r="K930" s="1325"/>
      <c r="L930" s="1325"/>
      <c r="M930" s="1325"/>
      <c r="N930" s="365"/>
      <c r="O930" s="1331"/>
      <c r="P930" s="1323"/>
      <c r="Q930" s="1323"/>
      <c r="R930" s="1323"/>
      <c r="S930" s="1323"/>
      <c r="T930" s="1323"/>
      <c r="U930" s="1323"/>
      <c r="V930" s="1323"/>
    </row>
    <row r="931" spans="2:22" x14ac:dyDescent="0.2">
      <c r="B931" s="1323"/>
      <c r="C931" s="1323"/>
      <c r="D931" s="365"/>
      <c r="E931" s="365"/>
      <c r="F931" s="1325"/>
      <c r="G931" s="1325"/>
      <c r="H931" s="1325"/>
      <c r="I931" s="1325"/>
      <c r="J931" s="1325"/>
      <c r="K931" s="1325"/>
      <c r="L931" s="1325"/>
      <c r="M931" s="1325"/>
      <c r="N931" s="365"/>
      <c r="O931" s="1331"/>
      <c r="P931" s="1323"/>
      <c r="Q931" s="1323"/>
      <c r="R931" s="1323"/>
      <c r="S931" s="1323"/>
      <c r="T931" s="1323"/>
      <c r="U931" s="1323"/>
      <c r="V931" s="1323"/>
    </row>
    <row r="932" spans="2:22" x14ac:dyDescent="0.2">
      <c r="B932" s="1323"/>
      <c r="C932" s="1323"/>
      <c r="D932" s="365"/>
      <c r="E932" s="365"/>
      <c r="F932" s="1325"/>
      <c r="G932" s="1325"/>
      <c r="H932" s="1325"/>
      <c r="I932" s="1325"/>
      <c r="J932" s="1325"/>
      <c r="K932" s="1325"/>
      <c r="L932" s="1325"/>
      <c r="M932" s="1325"/>
      <c r="N932" s="365"/>
      <c r="O932" s="1331"/>
      <c r="P932" s="1323"/>
      <c r="Q932" s="1323"/>
      <c r="R932" s="1323"/>
      <c r="S932" s="1323"/>
      <c r="T932" s="1323"/>
      <c r="U932" s="1323"/>
      <c r="V932" s="1323"/>
    </row>
    <row r="933" spans="2:22" x14ac:dyDescent="0.2">
      <c r="B933" s="1323"/>
      <c r="C933" s="1323"/>
      <c r="D933" s="365"/>
      <c r="E933" s="365"/>
      <c r="F933" s="1325"/>
      <c r="G933" s="1325"/>
      <c r="H933" s="1325"/>
      <c r="I933" s="1325"/>
      <c r="J933" s="1325"/>
      <c r="K933" s="1325"/>
      <c r="L933" s="1325"/>
      <c r="M933" s="1325"/>
      <c r="N933" s="365"/>
      <c r="O933" s="1331"/>
      <c r="P933" s="1323"/>
      <c r="Q933" s="1323"/>
      <c r="R933" s="1323"/>
      <c r="S933" s="1323"/>
      <c r="T933" s="1323"/>
      <c r="U933" s="1323"/>
      <c r="V933" s="1323"/>
    </row>
    <row r="934" spans="2:22" x14ac:dyDescent="0.2">
      <c r="B934" s="1323"/>
      <c r="C934" s="1323"/>
      <c r="D934" s="365"/>
      <c r="E934" s="365"/>
      <c r="F934" s="1325"/>
      <c r="G934" s="1325"/>
      <c r="H934" s="1325"/>
      <c r="I934" s="1325"/>
      <c r="J934" s="1325"/>
      <c r="K934" s="1325"/>
      <c r="L934" s="1325"/>
      <c r="M934" s="1325"/>
      <c r="N934" s="365"/>
      <c r="O934" s="1331"/>
      <c r="P934" s="1323"/>
      <c r="Q934" s="1323"/>
      <c r="R934" s="1323"/>
      <c r="S934" s="1323"/>
      <c r="T934" s="1323"/>
      <c r="U934" s="1323"/>
      <c r="V934" s="1323"/>
    </row>
    <row r="935" spans="2:22" x14ac:dyDescent="0.2">
      <c r="B935" s="1323"/>
      <c r="C935" s="1323"/>
      <c r="D935" s="365"/>
      <c r="E935" s="365"/>
      <c r="F935" s="1325"/>
      <c r="G935" s="1325"/>
      <c r="H935" s="1325"/>
      <c r="I935" s="1325"/>
      <c r="J935" s="1325"/>
      <c r="K935" s="1325"/>
      <c r="L935" s="1325"/>
      <c r="M935" s="1325"/>
      <c r="N935" s="365"/>
      <c r="O935" s="1331"/>
      <c r="P935" s="1323"/>
      <c r="Q935" s="1323"/>
      <c r="R935" s="1323"/>
      <c r="S935" s="1323"/>
      <c r="T935" s="1323"/>
      <c r="U935" s="1323"/>
      <c r="V935" s="1323"/>
    </row>
    <row r="936" spans="2:22" x14ac:dyDescent="0.2">
      <c r="B936" s="1323"/>
      <c r="C936" s="1323"/>
      <c r="D936" s="365"/>
      <c r="E936" s="365"/>
      <c r="F936" s="1325"/>
      <c r="G936" s="1325"/>
      <c r="H936" s="1325"/>
      <c r="I936" s="1325"/>
      <c r="J936" s="1325"/>
      <c r="K936" s="1325"/>
      <c r="L936" s="1325"/>
      <c r="M936" s="1325"/>
      <c r="N936" s="365"/>
      <c r="O936" s="1331"/>
      <c r="P936" s="1323"/>
      <c r="Q936" s="1323"/>
      <c r="R936" s="1323"/>
      <c r="S936" s="1323"/>
      <c r="T936" s="1323"/>
      <c r="U936" s="1323"/>
      <c r="V936" s="1323"/>
    </row>
    <row r="937" spans="2:22" x14ac:dyDescent="0.2">
      <c r="B937" s="1323"/>
      <c r="C937" s="1323"/>
      <c r="D937" s="365"/>
      <c r="E937" s="365"/>
      <c r="F937" s="1325"/>
      <c r="G937" s="1325"/>
      <c r="H937" s="1325"/>
      <c r="I937" s="1325"/>
      <c r="J937" s="1325"/>
      <c r="K937" s="1325"/>
      <c r="L937" s="1325"/>
      <c r="M937" s="1325"/>
      <c r="N937" s="365"/>
      <c r="O937" s="1331"/>
      <c r="P937" s="1323"/>
      <c r="Q937" s="1323"/>
      <c r="R937" s="1323"/>
      <c r="S937" s="1323"/>
      <c r="T937" s="1323"/>
      <c r="U937" s="1323"/>
      <c r="V937" s="1323"/>
    </row>
    <row r="938" spans="2:22" x14ac:dyDescent="0.2">
      <c r="B938" s="1323"/>
      <c r="C938" s="1323"/>
      <c r="D938" s="365"/>
      <c r="E938" s="365"/>
      <c r="F938" s="1325"/>
      <c r="G938" s="1325"/>
      <c r="H938" s="1325"/>
      <c r="I938" s="1325"/>
      <c r="J938" s="1325"/>
      <c r="K938" s="1325"/>
      <c r="L938" s="1325"/>
      <c r="M938" s="1325"/>
      <c r="N938" s="365"/>
      <c r="O938" s="1331"/>
      <c r="P938" s="1323"/>
      <c r="Q938" s="1323"/>
      <c r="R938" s="1323"/>
      <c r="S938" s="1323"/>
      <c r="T938" s="1323"/>
      <c r="U938" s="1323"/>
      <c r="V938" s="1323"/>
    </row>
    <row r="939" spans="2:22" x14ac:dyDescent="0.2">
      <c r="B939" s="1323"/>
      <c r="C939" s="1323"/>
      <c r="D939" s="365"/>
      <c r="E939" s="365"/>
      <c r="F939" s="1325"/>
      <c r="G939" s="1325"/>
      <c r="H939" s="1325"/>
      <c r="I939" s="1325"/>
      <c r="J939" s="1325"/>
      <c r="K939" s="1325"/>
      <c r="L939" s="1325"/>
      <c r="M939" s="1325"/>
      <c r="N939" s="365"/>
      <c r="O939" s="1331"/>
      <c r="P939" s="1323"/>
      <c r="Q939" s="1323"/>
      <c r="R939" s="1323"/>
      <c r="S939" s="1323"/>
      <c r="T939" s="1323"/>
      <c r="U939" s="1323"/>
      <c r="V939" s="1323"/>
    </row>
    <row r="940" spans="2:22" x14ac:dyDescent="0.2">
      <c r="B940" s="1323"/>
      <c r="C940" s="1323"/>
      <c r="D940" s="365"/>
      <c r="E940" s="365"/>
      <c r="F940" s="1325"/>
      <c r="G940" s="1325"/>
      <c r="H940" s="1325"/>
      <c r="I940" s="1325"/>
      <c r="J940" s="1325"/>
      <c r="K940" s="1325"/>
      <c r="L940" s="1325"/>
      <c r="M940" s="1325"/>
      <c r="N940" s="365"/>
      <c r="O940" s="1331"/>
      <c r="P940" s="1323"/>
      <c r="Q940" s="1323"/>
      <c r="R940" s="1323"/>
      <c r="S940" s="1323"/>
      <c r="T940" s="1323"/>
      <c r="U940" s="1323"/>
      <c r="V940" s="1323"/>
    </row>
    <row r="941" spans="2:22" x14ac:dyDescent="0.2">
      <c r="B941" s="1323"/>
      <c r="C941" s="1323"/>
      <c r="D941" s="365"/>
      <c r="E941" s="365"/>
      <c r="F941" s="1325"/>
      <c r="G941" s="1325"/>
      <c r="H941" s="1325"/>
      <c r="I941" s="1325"/>
      <c r="J941" s="1325"/>
      <c r="K941" s="1325"/>
      <c r="L941" s="1325"/>
      <c r="M941" s="1325"/>
      <c r="N941" s="365"/>
      <c r="O941" s="1331"/>
      <c r="P941" s="1323"/>
      <c r="Q941" s="1323"/>
      <c r="R941" s="1323"/>
      <c r="S941" s="1323"/>
      <c r="T941" s="1323"/>
      <c r="U941" s="1323"/>
      <c r="V941" s="1323"/>
    </row>
    <row r="942" spans="2:22" x14ac:dyDescent="0.2">
      <c r="B942" s="1323"/>
      <c r="C942" s="1323"/>
      <c r="D942" s="365"/>
      <c r="E942" s="365"/>
      <c r="F942" s="1325"/>
      <c r="G942" s="1325"/>
      <c r="H942" s="1325"/>
      <c r="I942" s="1325"/>
      <c r="J942" s="1325"/>
      <c r="K942" s="1325"/>
      <c r="L942" s="1325"/>
      <c r="M942" s="1325"/>
      <c r="N942" s="365"/>
      <c r="O942" s="1331"/>
      <c r="P942" s="1323"/>
      <c r="Q942" s="1323"/>
      <c r="R942" s="1323"/>
      <c r="S942" s="1323"/>
      <c r="T942" s="1323"/>
      <c r="U942" s="1323"/>
      <c r="V942" s="1323"/>
    </row>
    <row r="943" spans="2:22" x14ac:dyDescent="0.2">
      <c r="B943" s="1323"/>
      <c r="C943" s="1323"/>
      <c r="D943" s="365"/>
      <c r="E943" s="365"/>
      <c r="F943" s="1325"/>
      <c r="G943" s="1325"/>
      <c r="H943" s="1325"/>
      <c r="I943" s="1325"/>
      <c r="J943" s="1325"/>
      <c r="K943" s="1325"/>
      <c r="L943" s="1325"/>
      <c r="M943" s="1325"/>
      <c r="N943" s="365"/>
      <c r="O943" s="1331"/>
      <c r="P943" s="1323"/>
      <c r="Q943" s="1323"/>
      <c r="R943" s="1323"/>
      <c r="S943" s="1323"/>
      <c r="T943" s="1323"/>
      <c r="U943" s="1323"/>
      <c r="V943" s="1323"/>
    </row>
    <row r="944" spans="2:22" x14ac:dyDescent="0.2">
      <c r="B944" s="1323"/>
      <c r="C944" s="1323"/>
      <c r="D944" s="365"/>
      <c r="E944" s="365"/>
      <c r="F944" s="1325"/>
      <c r="G944" s="1325"/>
      <c r="H944" s="1325"/>
      <c r="I944" s="1325"/>
      <c r="J944" s="1325"/>
      <c r="K944" s="1325"/>
      <c r="L944" s="1325"/>
      <c r="M944" s="1325"/>
      <c r="N944" s="365"/>
      <c r="O944" s="1331"/>
      <c r="P944" s="1323"/>
      <c r="Q944" s="1323"/>
      <c r="R944" s="1323"/>
      <c r="S944" s="1323"/>
      <c r="T944" s="1323"/>
      <c r="U944" s="1323"/>
      <c r="V944" s="1323"/>
    </row>
    <row r="945" spans="2:22" x14ac:dyDescent="0.2">
      <c r="B945" s="1323"/>
      <c r="C945" s="1323"/>
      <c r="D945" s="365"/>
      <c r="E945" s="365"/>
      <c r="F945" s="1325"/>
      <c r="G945" s="1325"/>
      <c r="H945" s="1325"/>
      <c r="I945" s="1325"/>
      <c r="J945" s="1325"/>
      <c r="K945" s="1325"/>
      <c r="L945" s="1325"/>
      <c r="M945" s="1325"/>
      <c r="N945" s="365"/>
      <c r="O945" s="1331"/>
      <c r="P945" s="1323"/>
      <c r="Q945" s="1323"/>
      <c r="R945" s="1323"/>
      <c r="S945" s="1323"/>
      <c r="T945" s="1323"/>
      <c r="U945" s="1323"/>
      <c r="V945" s="1323"/>
    </row>
    <row r="946" spans="2:22" x14ac:dyDescent="0.2">
      <c r="B946" s="1323"/>
      <c r="C946" s="1323"/>
      <c r="D946" s="365"/>
      <c r="E946" s="365"/>
      <c r="F946" s="1325"/>
      <c r="G946" s="1325"/>
      <c r="H946" s="1325"/>
      <c r="I946" s="1325"/>
      <c r="J946" s="1325"/>
      <c r="K946" s="1325"/>
      <c r="L946" s="1325"/>
      <c r="M946" s="1325"/>
      <c r="N946" s="365"/>
      <c r="O946" s="1331"/>
      <c r="P946" s="1323"/>
      <c r="Q946" s="1323"/>
      <c r="R946" s="1323"/>
      <c r="S946" s="1323"/>
      <c r="T946" s="1323"/>
      <c r="U946" s="1323"/>
      <c r="V946" s="1323"/>
    </row>
    <row r="947" spans="2:22" x14ac:dyDescent="0.2">
      <c r="B947" s="1323"/>
      <c r="C947" s="1323"/>
      <c r="D947" s="365"/>
      <c r="E947" s="365"/>
      <c r="F947" s="1325"/>
      <c r="G947" s="1325"/>
      <c r="H947" s="1325"/>
      <c r="I947" s="1325"/>
      <c r="J947" s="1325"/>
      <c r="K947" s="1325"/>
      <c r="L947" s="1325"/>
      <c r="M947" s="1325"/>
      <c r="N947" s="365"/>
      <c r="O947" s="1331"/>
      <c r="P947" s="1323"/>
      <c r="Q947" s="1323"/>
      <c r="R947" s="1323"/>
      <c r="S947" s="1323"/>
      <c r="T947" s="1323"/>
      <c r="U947" s="1323"/>
      <c r="V947" s="1323"/>
    </row>
    <row r="948" spans="2:22" x14ac:dyDescent="0.2">
      <c r="B948" s="1323"/>
      <c r="C948" s="1323"/>
      <c r="D948" s="365"/>
      <c r="E948" s="365"/>
      <c r="F948" s="1325"/>
      <c r="G948" s="1325"/>
      <c r="H948" s="1325"/>
      <c r="I948" s="1325"/>
      <c r="J948" s="1325"/>
      <c r="K948" s="1325"/>
      <c r="L948" s="1325"/>
      <c r="M948" s="1325"/>
      <c r="N948" s="365"/>
      <c r="O948" s="1331"/>
      <c r="P948" s="1323"/>
      <c r="Q948" s="1323"/>
      <c r="R948" s="1323"/>
      <c r="S948" s="1323"/>
      <c r="T948" s="1323"/>
      <c r="U948" s="1323"/>
      <c r="V948" s="1323"/>
    </row>
    <row r="949" spans="2:22" x14ac:dyDescent="0.2">
      <c r="B949" s="1323"/>
      <c r="C949" s="1323"/>
      <c r="D949" s="365"/>
      <c r="E949" s="365"/>
      <c r="F949" s="1325"/>
      <c r="G949" s="1325"/>
      <c r="H949" s="1325"/>
      <c r="I949" s="1325"/>
      <c r="J949" s="1325"/>
      <c r="K949" s="1325"/>
      <c r="L949" s="1325"/>
      <c r="M949" s="1325"/>
      <c r="N949" s="365"/>
      <c r="O949" s="1331"/>
      <c r="P949" s="1323"/>
      <c r="Q949" s="1323"/>
      <c r="R949" s="1323"/>
      <c r="S949" s="1323"/>
      <c r="T949" s="1323"/>
      <c r="U949" s="1323"/>
      <c r="V949" s="1323"/>
    </row>
    <row r="950" spans="2:22" x14ac:dyDescent="0.2">
      <c r="B950" s="1323"/>
      <c r="C950" s="1323"/>
      <c r="D950" s="365"/>
      <c r="E950" s="365"/>
      <c r="F950" s="1325"/>
      <c r="G950" s="1325"/>
      <c r="H950" s="1325"/>
      <c r="I950" s="1325"/>
      <c r="J950" s="1325"/>
      <c r="K950" s="1325"/>
      <c r="L950" s="1325"/>
      <c r="M950" s="1325"/>
      <c r="N950" s="365"/>
      <c r="O950" s="1331"/>
      <c r="P950" s="1323"/>
      <c r="Q950" s="1323"/>
      <c r="R950" s="1323"/>
      <c r="S950" s="1323"/>
      <c r="T950" s="1323"/>
      <c r="U950" s="1323"/>
      <c r="V950" s="1323"/>
    </row>
    <row r="951" spans="2:22" x14ac:dyDescent="0.2">
      <c r="B951" s="1323"/>
      <c r="C951" s="1323"/>
      <c r="D951" s="365"/>
      <c r="E951" s="365"/>
      <c r="F951" s="1325"/>
      <c r="G951" s="1325"/>
      <c r="H951" s="1325"/>
      <c r="I951" s="1325"/>
      <c r="J951" s="1325"/>
      <c r="K951" s="1325"/>
      <c r="L951" s="1325"/>
      <c r="M951" s="1325"/>
      <c r="N951" s="365"/>
      <c r="O951" s="1331"/>
      <c r="P951" s="1323"/>
      <c r="Q951" s="1323"/>
      <c r="R951" s="1323"/>
      <c r="S951" s="1323"/>
      <c r="T951" s="1323"/>
      <c r="U951" s="1323"/>
      <c r="V951" s="1323"/>
    </row>
    <row r="952" spans="2:22" x14ac:dyDescent="0.2">
      <c r="B952" s="1323"/>
      <c r="C952" s="1323"/>
      <c r="D952" s="365"/>
      <c r="E952" s="365"/>
      <c r="F952" s="1325"/>
      <c r="G952" s="1325"/>
      <c r="H952" s="1325"/>
      <c r="I952" s="1325"/>
      <c r="J952" s="1325"/>
      <c r="K952" s="1325"/>
      <c r="L952" s="1325"/>
      <c r="M952" s="1325"/>
      <c r="N952" s="365"/>
      <c r="O952" s="1331"/>
      <c r="P952" s="1323"/>
      <c r="Q952" s="1323"/>
      <c r="R952" s="1323"/>
      <c r="S952" s="1323"/>
      <c r="T952" s="1323"/>
      <c r="U952" s="1323"/>
      <c r="V952" s="1323"/>
    </row>
    <row r="953" spans="2:22" x14ac:dyDescent="0.2">
      <c r="B953" s="1323"/>
      <c r="C953" s="1323"/>
      <c r="D953" s="365"/>
      <c r="E953" s="365"/>
      <c r="F953" s="1325"/>
      <c r="G953" s="1325"/>
      <c r="H953" s="1325"/>
      <c r="I953" s="1325"/>
      <c r="J953" s="1325"/>
      <c r="K953" s="1325"/>
      <c r="L953" s="1325"/>
      <c r="M953" s="1325"/>
      <c r="N953" s="365"/>
      <c r="O953" s="1331"/>
      <c r="P953" s="1323"/>
      <c r="Q953" s="1323"/>
      <c r="R953" s="1323"/>
      <c r="S953" s="1323"/>
      <c r="T953" s="1323"/>
      <c r="U953" s="1323"/>
      <c r="V953" s="1323"/>
    </row>
    <row r="954" spans="2:22" x14ac:dyDescent="0.2">
      <c r="B954" s="1323"/>
      <c r="C954" s="1323"/>
      <c r="D954" s="365"/>
      <c r="E954" s="365"/>
      <c r="F954" s="1325"/>
      <c r="G954" s="1325"/>
      <c r="H954" s="1325"/>
      <c r="I954" s="1325"/>
      <c r="J954" s="1325"/>
      <c r="K954" s="1325"/>
      <c r="L954" s="1325"/>
      <c r="M954" s="1325"/>
      <c r="N954" s="365"/>
      <c r="O954" s="1331"/>
      <c r="P954" s="1323"/>
      <c r="Q954" s="1323"/>
      <c r="R954" s="1323"/>
      <c r="S954" s="1323"/>
      <c r="T954" s="1323"/>
      <c r="U954" s="1323"/>
      <c r="V954" s="1323"/>
    </row>
    <row r="955" spans="2:22" x14ac:dyDescent="0.2">
      <c r="B955" s="1323"/>
      <c r="C955" s="1323"/>
      <c r="D955" s="365"/>
      <c r="E955" s="365"/>
      <c r="F955" s="1325"/>
      <c r="G955" s="1325"/>
      <c r="H955" s="1325"/>
      <c r="I955" s="1325"/>
      <c r="J955" s="1325"/>
      <c r="K955" s="1325"/>
      <c r="L955" s="1325"/>
      <c r="M955" s="1325"/>
      <c r="N955" s="365"/>
      <c r="O955" s="1331"/>
      <c r="P955" s="1323"/>
      <c r="Q955" s="1323"/>
      <c r="R955" s="1323"/>
      <c r="S955" s="1323"/>
      <c r="T955" s="1323"/>
      <c r="U955" s="1323"/>
      <c r="V955" s="1323"/>
    </row>
    <row r="956" spans="2:22" x14ac:dyDescent="0.2">
      <c r="B956" s="1323"/>
      <c r="C956" s="1323"/>
      <c r="D956" s="365"/>
      <c r="E956" s="365"/>
      <c r="F956" s="1325"/>
      <c r="G956" s="1325"/>
      <c r="H956" s="1325"/>
      <c r="I956" s="1325"/>
      <c r="J956" s="1325"/>
      <c r="K956" s="1325"/>
      <c r="L956" s="1325"/>
      <c r="M956" s="1325"/>
      <c r="N956" s="365"/>
      <c r="O956" s="1331"/>
      <c r="P956" s="1323"/>
      <c r="Q956" s="1323"/>
      <c r="R956" s="1323"/>
      <c r="S956" s="1323"/>
      <c r="T956" s="1323"/>
      <c r="U956" s="1323"/>
      <c r="V956" s="1323"/>
    </row>
    <row r="957" spans="2:22" x14ac:dyDescent="0.2">
      <c r="B957" s="1323"/>
      <c r="C957" s="1323"/>
      <c r="D957" s="365"/>
      <c r="E957" s="365"/>
      <c r="F957" s="1325"/>
      <c r="G957" s="1325"/>
      <c r="H957" s="1325"/>
      <c r="I957" s="1325"/>
      <c r="J957" s="1325"/>
      <c r="K957" s="1325"/>
      <c r="L957" s="1325"/>
      <c r="M957" s="1325"/>
      <c r="N957" s="365"/>
      <c r="O957" s="1331"/>
      <c r="P957" s="1323"/>
      <c r="Q957" s="1323"/>
      <c r="R957" s="1323"/>
      <c r="S957" s="1323"/>
      <c r="T957" s="1323"/>
      <c r="U957" s="1323"/>
      <c r="V957" s="1323"/>
    </row>
    <row r="958" spans="2:22" x14ac:dyDescent="0.2">
      <c r="B958" s="1323"/>
      <c r="C958" s="1323"/>
      <c r="D958" s="365"/>
      <c r="E958" s="365"/>
      <c r="F958" s="1325"/>
      <c r="G958" s="1325"/>
      <c r="H958" s="1325"/>
      <c r="I958" s="1325"/>
      <c r="J958" s="1325"/>
      <c r="K958" s="1325"/>
      <c r="L958" s="1325"/>
      <c r="M958" s="1325"/>
      <c r="N958" s="365"/>
      <c r="O958" s="1331"/>
      <c r="P958" s="1323"/>
      <c r="Q958" s="1323"/>
      <c r="R958" s="1323"/>
      <c r="S958" s="1323"/>
      <c r="T958" s="1323"/>
      <c r="U958" s="1323"/>
      <c r="V958" s="1323"/>
    </row>
    <row r="959" spans="2:22" x14ac:dyDescent="0.2">
      <c r="B959" s="1323"/>
      <c r="C959" s="1323"/>
      <c r="D959" s="365"/>
      <c r="E959" s="365"/>
      <c r="F959" s="1325"/>
      <c r="G959" s="1325"/>
      <c r="H959" s="1325"/>
      <c r="I959" s="1325"/>
      <c r="J959" s="1325"/>
      <c r="K959" s="1325"/>
      <c r="L959" s="1325"/>
      <c r="M959" s="1325"/>
      <c r="N959" s="365"/>
      <c r="O959" s="1331"/>
      <c r="P959" s="1323"/>
      <c r="Q959" s="1323"/>
      <c r="R959" s="1323"/>
      <c r="S959" s="1323"/>
      <c r="T959" s="1323"/>
      <c r="U959" s="1323"/>
      <c r="V959" s="1323"/>
    </row>
    <row r="960" spans="2:22" x14ac:dyDescent="0.2">
      <c r="B960" s="1323"/>
      <c r="C960" s="1323"/>
      <c r="D960" s="365"/>
      <c r="E960" s="365"/>
      <c r="F960" s="1325"/>
      <c r="G960" s="1325"/>
      <c r="H960" s="1325"/>
      <c r="I960" s="1325"/>
      <c r="J960" s="1325"/>
      <c r="K960" s="1325"/>
      <c r="L960" s="1325"/>
      <c r="M960" s="1325"/>
      <c r="N960" s="365"/>
      <c r="O960" s="1331"/>
      <c r="P960" s="1323"/>
      <c r="Q960" s="1323"/>
      <c r="R960" s="1323"/>
      <c r="S960" s="1323"/>
      <c r="T960" s="1323"/>
      <c r="U960" s="1323"/>
      <c r="V960" s="1323"/>
    </row>
    <row r="961" spans="2:22" x14ac:dyDescent="0.2">
      <c r="B961" s="1323"/>
      <c r="C961" s="1323"/>
      <c r="D961" s="365"/>
      <c r="E961" s="365"/>
      <c r="F961" s="1325"/>
      <c r="G961" s="1325"/>
      <c r="H961" s="1325"/>
      <c r="I961" s="1325"/>
      <c r="J961" s="1325"/>
      <c r="K961" s="1325"/>
      <c r="N961" s="365"/>
      <c r="O961" s="1331"/>
      <c r="P961" s="1323"/>
      <c r="Q961" s="1323"/>
      <c r="R961" s="1323"/>
      <c r="S961" s="1323"/>
      <c r="T961" s="1323"/>
      <c r="U961" s="1323"/>
      <c r="V961" s="1323"/>
    </row>
    <row r="962" spans="2:22" x14ac:dyDescent="0.2">
      <c r="N962" s="365"/>
      <c r="O962" s="1331"/>
      <c r="P962" s="1323"/>
      <c r="Q962" s="1323"/>
      <c r="R962" s="1323"/>
      <c r="S962" s="1323"/>
      <c r="T962" s="1323"/>
      <c r="U962" s="1323"/>
      <c r="V962" s="1323"/>
    </row>
    <row r="963" spans="2:22" x14ac:dyDescent="0.2">
      <c r="N963" s="365"/>
      <c r="O963" s="1331"/>
      <c r="P963" s="1323"/>
      <c r="Q963" s="1323"/>
      <c r="R963" s="1323"/>
      <c r="S963" s="1323"/>
      <c r="T963" s="1323"/>
      <c r="U963" s="1323"/>
      <c r="V963" s="1323"/>
    </row>
    <row r="964" spans="2:22" x14ac:dyDescent="0.2">
      <c r="N964" s="365"/>
      <c r="O964" s="1331"/>
      <c r="P964" s="1323"/>
      <c r="Q964" s="1323"/>
      <c r="R964" s="1323"/>
      <c r="S964" s="1323"/>
      <c r="T964" s="1323"/>
      <c r="U964" s="1323"/>
      <c r="V964" s="1323"/>
    </row>
    <row r="965" spans="2:22" x14ac:dyDescent="0.2">
      <c r="N965" s="365"/>
      <c r="O965" s="1331"/>
      <c r="P965" s="1323"/>
      <c r="Q965" s="1323"/>
      <c r="R965" s="1323"/>
      <c r="S965" s="1323"/>
      <c r="T965" s="1323"/>
      <c r="U965" s="1323"/>
      <c r="V965" s="1323"/>
    </row>
    <row r="966" spans="2:22" x14ac:dyDescent="0.2">
      <c r="N966" s="365"/>
      <c r="O966" s="1331"/>
      <c r="P966" s="1323"/>
      <c r="Q966" s="1323"/>
      <c r="R966" s="1323"/>
      <c r="S966" s="1323"/>
      <c r="T966" s="1323"/>
      <c r="U966" s="1323"/>
      <c r="V966" s="1323"/>
    </row>
    <row r="967" spans="2:22" x14ac:dyDescent="0.2">
      <c r="N967" s="365"/>
      <c r="O967" s="1331"/>
      <c r="P967" s="1323"/>
      <c r="Q967" s="1323"/>
      <c r="R967" s="1323"/>
      <c r="S967" s="1323"/>
      <c r="T967" s="1323"/>
      <c r="U967" s="1323"/>
      <c r="V967" s="1323"/>
    </row>
    <row r="968" spans="2:22" x14ac:dyDescent="0.2">
      <c r="N968" s="365"/>
      <c r="O968" s="1331"/>
      <c r="P968" s="1323"/>
      <c r="Q968" s="1323"/>
      <c r="R968" s="1323"/>
      <c r="S968" s="1323"/>
      <c r="T968" s="1323"/>
      <c r="U968" s="1323"/>
      <c r="V968" s="1323"/>
    </row>
    <row r="969" spans="2:22" x14ac:dyDescent="0.2">
      <c r="N969" s="365"/>
      <c r="O969" s="1331"/>
      <c r="P969" s="1323"/>
      <c r="Q969" s="1323"/>
      <c r="R969" s="1323"/>
      <c r="S969" s="1323"/>
      <c r="T969" s="1323"/>
      <c r="U969" s="1323"/>
      <c r="V969" s="1323"/>
    </row>
    <row r="970" spans="2:22" x14ac:dyDescent="0.2">
      <c r="Q970" s="1323"/>
      <c r="R970" s="1323"/>
      <c r="S970" s="1323"/>
      <c r="T970" s="1323"/>
      <c r="U970" s="1323"/>
      <c r="V970" s="1323"/>
    </row>
  </sheetData>
  <mergeCells count="30">
    <mergeCell ref="D24:E24"/>
    <mergeCell ref="C35:D35"/>
    <mergeCell ref="B36:B37"/>
    <mergeCell ref="B115:I116"/>
    <mergeCell ref="C47:D47"/>
    <mergeCell ref="B48:B50"/>
    <mergeCell ref="C48:D48"/>
    <mergeCell ref="C49:D49"/>
    <mergeCell ref="C50:D50"/>
    <mergeCell ref="C51:D51"/>
    <mergeCell ref="B54:D54"/>
    <mergeCell ref="B55:D55"/>
    <mergeCell ref="B56:D56"/>
    <mergeCell ref="B57:D57"/>
    <mergeCell ref="D188:E188"/>
    <mergeCell ref="D187:E187"/>
    <mergeCell ref="B2:E2"/>
    <mergeCell ref="B4:D4"/>
    <mergeCell ref="C6:D6"/>
    <mergeCell ref="C7:D7"/>
    <mergeCell ref="C9:D9"/>
    <mergeCell ref="C16:K16"/>
    <mergeCell ref="C17:K17"/>
    <mergeCell ref="C18:K18"/>
    <mergeCell ref="C19:K19"/>
    <mergeCell ref="B12:K12"/>
    <mergeCell ref="C13:K13"/>
    <mergeCell ref="C14:K14"/>
    <mergeCell ref="C15:K15"/>
    <mergeCell ref="D23:E23"/>
  </mergeCells>
  <phoneticPr fontId="96" type="noConversion"/>
  <conditionalFormatting sqref="C7">
    <cfRule type="containsText" dxfId="17" priority="11" operator="containsText" text="Calcul brouillon, odg">
      <formula>NOT(ISERROR(SEARCH("Calcul brouillon, odg",C7)))</formula>
    </cfRule>
    <cfRule type="containsText" dxfId="16" priority="12" operator="containsText" text="Pas ok">
      <formula>NOT(ISERROR(SEARCH("Pas ok",C7)))</formula>
    </cfRule>
    <cfRule type="containsText" dxfId="15" priority="13" operator="containsText" text="Calcul brouillon, ordre de grandeur">
      <formula>NOT(ISERROR(SEARCH("Calcul brouillon, ordre de grandeur",C7)))</formula>
    </cfRule>
    <cfRule type="containsText" dxfId="14" priority="14" operator="containsText" text="Bon ordre de grandeur">
      <formula>NOT(ISERROR(SEARCH("Bon ordre de grandeur",C7)))</formula>
    </cfRule>
    <cfRule type="containsText" dxfId="13" priority="15" operator="containsText" text="Calcul validé">
      <formula>NOT(ISERROR(SEARCH("Calcul validé",C7)))</formula>
    </cfRule>
    <cfRule type="containsText" dxfId="12" priority="17" operator="containsText" text="Pas ok">
      <formula>NOT(ISERROR(SEARCH("Pas ok",C7)))</formula>
    </cfRule>
    <cfRule type="containsText" dxfId="11" priority="18" operator="containsText" text="Calcul brouillon, ordre de grandeur">
      <formula>NOT(ISERROR(SEARCH("Calcul brouillon, ordre de grandeur",C7)))</formula>
    </cfRule>
    <cfRule type="containsText" dxfId="10" priority="19" operator="containsText" text="Bon ordre de grandeur">
      <formula>NOT(ISERROR(SEARCH("Bon ordre de grandeur",C7)))</formula>
    </cfRule>
    <cfRule type="containsText" dxfId="9" priority="20" operator="containsText" text="Calcul validé">
      <formula>NOT(ISERROR(SEARCH("Calcul validé",C7)))</formula>
    </cfRule>
  </conditionalFormatting>
  <hyperlinks>
    <hyperlink ref="D122" r:id="rId1" xr:uid="{6248BEAE-64D0-6342-A6A4-0B7159B383C8}"/>
    <hyperlink ref="D123" r:id="rId2" xr:uid="{8966A322-3C01-F745-AA4B-7DD8927A3E9B}"/>
    <hyperlink ref="D136" r:id="rId3" xr:uid="{5CA8A25D-A32D-FF44-AF47-1B146ECA08AC}"/>
    <hyperlink ref="D137" r:id="rId4" xr:uid="{E6D79207-D570-7644-A3F9-66EFF19E94BF}"/>
    <hyperlink ref="D138" r:id="rId5" xr:uid="{D3252C99-F06C-7F4C-B6A2-BB6B0B9BF395}"/>
    <hyperlink ref="D139" r:id="rId6" xr:uid="{F394FDE5-02D2-D041-A2D0-6B117618FFDA}"/>
    <hyperlink ref="D140" r:id="rId7" xr:uid="{6C873AD8-D8DD-F24E-B157-6E1BBCB58A04}"/>
    <hyperlink ref="D141" r:id="rId8" xr:uid="{42164A1B-A954-6547-801C-972962C40018}"/>
    <hyperlink ref="D147" r:id="rId9" xr:uid="{CF328FCB-5CC3-BA47-9C5D-96B03E1EDBF8}"/>
    <hyperlink ref="D153" r:id="rId10" xr:uid="{E738D69F-A028-D442-B186-2EA59B0CD840}"/>
    <hyperlink ref="D155" r:id="rId11" xr:uid="{F29E9870-15D0-8F44-A0A5-C9C9EDB85954}"/>
    <hyperlink ref="D156" r:id="rId12" xr:uid="{72E27217-AB36-854D-9E41-399EF9BA093B}"/>
    <hyperlink ref="D157" r:id="rId13" xr:uid="{3FFD3B33-87B0-8045-9038-DB0760FF70CC}"/>
    <hyperlink ref="D163" r:id="rId14" xr:uid="{87B71E1C-C475-2142-8936-C8BBE9FF6A28}"/>
    <hyperlink ref="D168" r:id="rId15" xr:uid="{70AA86A4-7DD1-3A42-AAC9-5CEE98A82763}"/>
    <hyperlink ref="D169" r:id="rId16" xr:uid="{F4B93D77-36FF-3141-8F1C-14DF2AF06693}"/>
    <hyperlink ref="D170" r:id="rId17" xr:uid="{79CAAEF8-BC62-3949-BD23-B13E5E490E01}"/>
    <hyperlink ref="D171" r:id="rId18" xr:uid="{12BCF85B-7613-594A-96FF-873987B5010E}"/>
    <hyperlink ref="D172" r:id="rId19" xr:uid="{AE7D77FE-B9B4-0443-A41D-EFBEED1275AF}"/>
    <hyperlink ref="D178" r:id="rId20" xr:uid="{40C29606-CE6B-6B45-A31C-D2422D119F7E}"/>
  </hyperlinks>
  <pageMargins left="0.7" right="0.7" top="0.75" bottom="0.75" header="0.3" footer="0.3"/>
  <pageSetup paperSize="9" orientation="portrait" horizontalDpi="0" verticalDpi="0"/>
  <drawing r:id="rId2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447E0-A04A-3344-A13A-93CD1AEF6849}">
  <sheetPr>
    <tabColor rgb="FF92D050"/>
  </sheetPr>
  <dimension ref="A1:Q158"/>
  <sheetViews>
    <sheetView topLeftCell="A13" zoomScale="75" zoomScaleNormal="12" workbookViewId="0">
      <selection activeCell="B11" sqref="B11:F12"/>
    </sheetView>
  </sheetViews>
  <sheetFormatPr baseColWidth="10" defaultColWidth="9.85546875" defaultRowHeight="14" x14ac:dyDescent="0.2"/>
  <cols>
    <col min="1" max="1" width="10" style="126" customWidth="1"/>
    <col min="2" max="2" width="42.42578125" style="126" customWidth="1"/>
    <col min="3" max="3" width="32.7109375" style="126" customWidth="1"/>
    <col min="4" max="4" width="36.85546875" style="126" customWidth="1"/>
    <col min="5" max="7" width="30.140625" style="126" customWidth="1"/>
    <col min="8" max="8" width="32.7109375" style="126" customWidth="1"/>
    <col min="9" max="11" width="29.7109375" style="126" customWidth="1"/>
    <col min="12" max="33" width="13.85546875" style="126" customWidth="1"/>
    <col min="34" max="16384" width="9.85546875" style="126"/>
  </cols>
  <sheetData>
    <row r="1" spans="2:17" ht="29" customHeight="1" x14ac:dyDescent="0.2">
      <c r="F1" s="55"/>
      <c r="G1" s="55"/>
      <c r="H1" s="55"/>
    </row>
    <row r="2" spans="2:17" ht="29" customHeight="1" x14ac:dyDescent="0.2">
      <c r="B2" s="2686" t="s">
        <v>1861</v>
      </c>
      <c r="C2" s="2686"/>
      <c r="D2" s="2686"/>
      <c r="F2" s="55"/>
      <c r="G2" s="55"/>
      <c r="H2" s="55"/>
    </row>
    <row r="3" spans="2:17" ht="29" customHeight="1" x14ac:dyDescent="0.2">
      <c r="F3" s="55"/>
      <c r="G3" s="55"/>
      <c r="H3" s="55"/>
    </row>
    <row r="4" spans="2:17" ht="29" customHeight="1" thickBot="1" x14ac:dyDescent="0.25">
      <c r="F4" s="55"/>
      <c r="G4" s="55"/>
      <c r="H4" s="55"/>
    </row>
    <row r="5" spans="2:17" ht="29" customHeight="1" x14ac:dyDescent="0.2">
      <c r="B5" s="2822" t="s">
        <v>17</v>
      </c>
      <c r="C5" s="2823"/>
      <c r="D5" s="2824"/>
      <c r="F5" s="55"/>
      <c r="G5" s="55"/>
      <c r="H5" s="55"/>
    </row>
    <row r="6" spans="2:17" ht="29" customHeight="1" x14ac:dyDescent="0.2">
      <c r="B6" s="127" t="s">
        <v>216</v>
      </c>
      <c r="C6" s="609">
        <f>'23'!C5</f>
        <v>10358.562039735099</v>
      </c>
      <c r="D6" s="129" t="s">
        <v>19</v>
      </c>
      <c r="F6" s="55"/>
      <c r="G6" s="55"/>
      <c r="H6" s="55"/>
    </row>
    <row r="7" spans="2:17" ht="29" customHeight="1" x14ac:dyDescent="0.2">
      <c r="B7" s="127" t="s">
        <v>217</v>
      </c>
      <c r="C7" s="609">
        <f>C6*(1+F15)</f>
        <v>2421.8701938216004</v>
      </c>
      <c r="D7" s="129" t="s">
        <v>19</v>
      </c>
      <c r="F7" s="55"/>
      <c r="G7" s="55"/>
      <c r="H7" s="55"/>
    </row>
    <row r="8" spans="2:17" ht="29" customHeight="1" thickBot="1" x14ac:dyDescent="0.25">
      <c r="B8" s="130" t="s">
        <v>218</v>
      </c>
      <c r="C8" s="2825">
        <f>(C7-C6)/C6</f>
        <v>-0.76619629399028688</v>
      </c>
      <c r="D8" s="2826"/>
      <c r="E8" s="55"/>
      <c r="F8" s="55"/>
      <c r="G8" s="55"/>
      <c r="H8" s="55"/>
    </row>
    <row r="9" spans="2:17" ht="29" customHeight="1" x14ac:dyDescent="0.2">
      <c r="D9" s="542"/>
      <c r="E9" s="542"/>
      <c r="G9" s="2"/>
      <c r="H9" s="2"/>
      <c r="I9" s="2"/>
      <c r="J9" s="2"/>
      <c r="K9" s="2"/>
      <c r="L9" s="543"/>
      <c r="M9" s="543"/>
      <c r="N9" s="543"/>
      <c r="O9" s="543"/>
      <c r="P9" s="543"/>
      <c r="Q9" s="543"/>
    </row>
    <row r="10" spans="2:17" ht="29" customHeight="1" thickBot="1" x14ac:dyDescent="0.25">
      <c r="G10" s="2"/>
      <c r="H10" s="2"/>
      <c r="I10" s="2"/>
      <c r="J10" s="2"/>
      <c r="K10" s="2"/>
      <c r="L10" s="543"/>
      <c r="M10" s="543"/>
      <c r="N10" s="543"/>
      <c r="O10" s="543"/>
      <c r="P10" s="543"/>
      <c r="Q10" s="543"/>
    </row>
    <row r="11" spans="2:17" customFormat="1" ht="54" customHeight="1" x14ac:dyDescent="0.2">
      <c r="B11" s="3100" t="s">
        <v>2358</v>
      </c>
      <c r="C11" s="2828"/>
      <c r="D11" s="2828"/>
      <c r="E11" s="2828"/>
      <c r="F11" s="2829"/>
    </row>
    <row r="12" spans="2:17" customFormat="1" ht="54" customHeight="1" thickBot="1" x14ac:dyDescent="0.25">
      <c r="B12" s="2830"/>
      <c r="C12" s="2831"/>
      <c r="D12" s="2831"/>
      <c r="E12" s="2831"/>
      <c r="F12" s="2832"/>
    </row>
    <row r="13" spans="2:17" customFormat="1" ht="29" customHeight="1" thickBot="1" x14ac:dyDescent="0.25"/>
    <row r="14" spans="2:17" customFormat="1" ht="47" customHeight="1" thickBot="1" x14ac:dyDescent="0.25">
      <c r="B14" s="55"/>
      <c r="C14" s="2835" t="s">
        <v>2090</v>
      </c>
      <c r="D14" s="2836"/>
      <c r="E14" s="2836"/>
      <c r="F14" s="1978" t="s">
        <v>2301</v>
      </c>
    </row>
    <row r="15" spans="2:17" customFormat="1" ht="95" customHeight="1" thickBot="1" x14ac:dyDescent="0.25">
      <c r="B15" s="2018" t="s">
        <v>1955</v>
      </c>
      <c r="C15" s="2841" t="s">
        <v>2359</v>
      </c>
      <c r="D15" s="2842"/>
      <c r="E15" s="2842"/>
      <c r="F15" s="2266">
        <f>('Fiche levier - 1 + 6 + 7'!E20-'Fiche levier - 1 + 6 + 7'!D20)/'Fiche levier - 1 + 6 + 7'!D20</f>
        <v>-0.76619629399028677</v>
      </c>
    </row>
    <row r="16" spans="2:17" customFormat="1" ht="47" customHeight="1" x14ac:dyDescent="0.2"/>
    <row r="17" spans="2:16" customFormat="1" ht="47" customHeight="1" x14ac:dyDescent="0.2"/>
    <row r="18" spans="2:16" customFormat="1" ht="47" customHeight="1" x14ac:dyDescent="0.2"/>
    <row r="19" spans="2:16" customFormat="1" ht="47" customHeight="1" x14ac:dyDescent="0.2"/>
    <row r="20" spans="2:16" customFormat="1" ht="47" customHeight="1" x14ac:dyDescent="0.2"/>
    <row r="21" spans="2:16" customFormat="1" ht="47" customHeight="1" x14ac:dyDescent="0.2"/>
    <row r="22" spans="2:16" customFormat="1" ht="47" customHeight="1" x14ac:dyDescent="0.2"/>
    <row r="23" spans="2:16" customFormat="1" ht="47" customHeight="1" x14ac:dyDescent="0.2"/>
    <row r="24" spans="2:16" customFormat="1" ht="47" customHeight="1" x14ac:dyDescent="0.2"/>
    <row r="25" spans="2:16" customFormat="1" ht="47" customHeight="1" x14ac:dyDescent="0.2"/>
    <row r="26" spans="2:16" customFormat="1" ht="47" customHeight="1" x14ac:dyDescent="0.2"/>
    <row r="27" spans="2:16" customFormat="1" ht="47" customHeight="1" x14ac:dyDescent="0.2"/>
    <row r="28" spans="2:16" customFormat="1" ht="47" customHeight="1" x14ac:dyDescent="0.2"/>
    <row r="29" spans="2:16" ht="29" customHeight="1" x14ac:dyDescent="0.2">
      <c r="B29" s="2"/>
      <c r="C29" s="2"/>
      <c r="D29" s="2"/>
      <c r="E29" s="2"/>
      <c r="F29" s="2"/>
      <c r="G29" s="2"/>
      <c r="H29" s="2"/>
      <c r="I29" s="2"/>
      <c r="J29" s="2"/>
      <c r="K29" s="2"/>
      <c r="L29" s="2"/>
      <c r="M29" s="2"/>
      <c r="N29" s="2"/>
      <c r="O29" s="2"/>
      <c r="P29" s="2"/>
    </row>
    <row r="30" spans="2:16" ht="29" customHeight="1" x14ac:dyDescent="0.2">
      <c r="B30" s="2"/>
      <c r="C30" s="2"/>
      <c r="D30" s="2"/>
      <c r="E30" s="2"/>
      <c r="F30" s="2"/>
      <c r="G30" s="2"/>
      <c r="H30" s="2"/>
      <c r="I30" s="2"/>
      <c r="J30" s="2"/>
      <c r="K30" s="2"/>
      <c r="L30" s="2"/>
      <c r="M30" s="2"/>
      <c r="N30" s="2"/>
      <c r="O30" s="2"/>
      <c r="P30" s="2"/>
    </row>
    <row r="31" spans="2:16" ht="29" customHeight="1" x14ac:dyDescent="0.2">
      <c r="B31" s="2"/>
      <c r="C31" s="2"/>
      <c r="D31" s="2"/>
      <c r="E31" s="2"/>
      <c r="F31" s="2"/>
      <c r="G31" s="2"/>
      <c r="H31" s="2"/>
      <c r="I31" s="2"/>
      <c r="J31" s="2"/>
      <c r="K31" s="2"/>
      <c r="L31" s="2"/>
      <c r="M31" s="2"/>
      <c r="N31" s="2"/>
      <c r="O31" s="2"/>
      <c r="P31" s="2"/>
    </row>
    <row r="32" spans="2:16" ht="29" customHeight="1" x14ac:dyDescent="0.2">
      <c r="B32" s="2"/>
      <c r="C32" s="2"/>
      <c r="D32" s="2"/>
      <c r="E32" s="2"/>
      <c r="F32" s="2"/>
      <c r="G32" s="2"/>
      <c r="H32" s="2"/>
      <c r="I32" s="2"/>
      <c r="J32" s="2"/>
      <c r="K32" s="2"/>
      <c r="L32" s="2"/>
      <c r="M32" s="2"/>
      <c r="N32" s="2"/>
      <c r="O32" s="2"/>
      <c r="P32" s="2"/>
    </row>
    <row r="33" spans="2:16" ht="29" customHeight="1" x14ac:dyDescent="0.2">
      <c r="B33" s="2"/>
      <c r="C33" s="2"/>
      <c r="D33" s="2"/>
      <c r="E33" s="2"/>
      <c r="F33" s="2"/>
      <c r="G33" s="2"/>
      <c r="H33" s="2"/>
      <c r="I33" s="2"/>
      <c r="J33" s="2"/>
      <c r="K33" s="2"/>
      <c r="L33" s="2"/>
      <c r="M33" s="2"/>
      <c r="N33" s="2"/>
      <c r="O33" s="2"/>
      <c r="P33" s="2"/>
    </row>
    <row r="34" spans="2:16" ht="29" customHeight="1" x14ac:dyDescent="0.2">
      <c r="B34" s="2"/>
      <c r="C34" s="2"/>
      <c r="D34" s="2"/>
      <c r="E34" s="2"/>
      <c r="F34" s="2"/>
      <c r="G34" s="2"/>
      <c r="H34" s="2"/>
      <c r="I34" s="2"/>
      <c r="J34" s="2"/>
      <c r="K34" s="2"/>
      <c r="L34" s="2"/>
      <c r="M34" s="2"/>
      <c r="N34" s="2"/>
      <c r="O34" s="2"/>
      <c r="P34" s="2"/>
    </row>
    <row r="35" spans="2:16" ht="29" customHeight="1" x14ac:dyDescent="0.2">
      <c r="B35" s="2"/>
      <c r="C35" s="2"/>
      <c r="D35" s="2"/>
      <c r="E35" s="2"/>
      <c r="F35" s="2"/>
      <c r="G35" s="2"/>
      <c r="H35" s="2"/>
      <c r="I35" s="2"/>
      <c r="J35" s="2"/>
      <c r="K35" s="2"/>
      <c r="L35" s="2"/>
      <c r="M35" s="2"/>
      <c r="N35" s="2"/>
      <c r="O35" s="2"/>
      <c r="P35" s="2"/>
    </row>
    <row r="36" spans="2:16" ht="29" customHeight="1" x14ac:dyDescent="0.2">
      <c r="B36" s="2"/>
      <c r="C36" s="2"/>
      <c r="D36" s="2"/>
      <c r="E36" s="2"/>
      <c r="F36" s="2"/>
      <c r="G36" s="2"/>
      <c r="H36" s="2"/>
      <c r="I36" s="2"/>
      <c r="J36" s="2"/>
      <c r="K36" s="2"/>
      <c r="L36" s="2"/>
      <c r="M36" s="2"/>
      <c r="N36" s="2"/>
      <c r="O36" s="2"/>
      <c r="P36" s="2"/>
    </row>
    <row r="37" spans="2:16" ht="29" customHeight="1" x14ac:dyDescent="0.2">
      <c r="B37" s="2"/>
      <c r="C37" s="2"/>
      <c r="D37" s="2"/>
      <c r="E37" s="2"/>
      <c r="F37" s="2"/>
      <c r="G37" s="2"/>
      <c r="H37" s="2"/>
      <c r="I37" s="2"/>
      <c r="J37" s="2"/>
      <c r="K37" s="2"/>
      <c r="L37" s="2"/>
      <c r="M37" s="2"/>
      <c r="N37" s="2"/>
      <c r="O37" s="2"/>
      <c r="P37" s="2"/>
    </row>
    <row r="38" spans="2:16" ht="29" customHeight="1" x14ac:dyDescent="0.2">
      <c r="B38" s="2"/>
      <c r="C38" s="2"/>
      <c r="D38" s="2"/>
      <c r="E38" s="2"/>
      <c r="F38" s="2"/>
      <c r="G38" s="2"/>
      <c r="H38" s="2"/>
      <c r="I38" s="2"/>
      <c r="J38" s="2"/>
      <c r="K38" s="2"/>
      <c r="L38" s="2"/>
      <c r="M38" s="2"/>
      <c r="N38" s="2"/>
      <c r="O38" s="2"/>
      <c r="P38" s="2"/>
    </row>
    <row r="39" spans="2:16" ht="29" customHeight="1" x14ac:dyDescent="0.2">
      <c r="B39" s="2"/>
      <c r="C39" s="2"/>
      <c r="D39" s="2"/>
      <c r="E39" s="2"/>
      <c r="F39" s="2"/>
      <c r="G39" s="2"/>
      <c r="H39" s="2"/>
      <c r="I39" s="2"/>
      <c r="J39" s="2"/>
      <c r="K39" s="2"/>
      <c r="L39" s="2"/>
      <c r="M39" s="2"/>
      <c r="N39" s="2"/>
      <c r="O39" s="2"/>
      <c r="P39" s="2"/>
    </row>
    <row r="40" spans="2:16" ht="29" customHeight="1" x14ac:dyDescent="0.2">
      <c r="B40" s="2"/>
      <c r="C40" s="2"/>
      <c r="D40" s="2"/>
      <c r="E40" s="2"/>
      <c r="F40" s="2"/>
      <c r="G40" s="2"/>
      <c r="H40" s="2"/>
      <c r="I40" s="2"/>
      <c r="J40" s="2"/>
      <c r="K40" s="2"/>
      <c r="L40" s="2"/>
      <c r="M40" s="2"/>
      <c r="N40" s="2"/>
      <c r="O40" s="2"/>
      <c r="P40" s="2"/>
    </row>
    <row r="41" spans="2:16" ht="29" customHeight="1" x14ac:dyDescent="0.2">
      <c r="B41" s="2"/>
      <c r="C41" s="2"/>
      <c r="D41" s="2"/>
      <c r="E41" s="2"/>
      <c r="F41" s="2"/>
      <c r="G41" s="2"/>
      <c r="H41" s="2"/>
      <c r="I41" s="2"/>
      <c r="J41" s="2"/>
      <c r="K41" s="2"/>
      <c r="L41" s="2"/>
      <c r="M41" s="2"/>
      <c r="N41" s="2"/>
      <c r="O41" s="2"/>
      <c r="P41" s="2"/>
    </row>
    <row r="42" spans="2:16" ht="29" customHeight="1" x14ac:dyDescent="0.2">
      <c r="B42" s="2"/>
      <c r="C42" s="2"/>
      <c r="D42" s="2"/>
      <c r="E42" s="2"/>
      <c r="F42" s="2"/>
      <c r="G42" s="2"/>
      <c r="H42" s="2"/>
      <c r="I42" s="2"/>
      <c r="J42" s="2"/>
      <c r="K42" s="2"/>
      <c r="L42" s="2"/>
      <c r="M42" s="2"/>
      <c r="N42" s="2"/>
      <c r="O42" s="2"/>
      <c r="P42" s="2"/>
    </row>
    <row r="43" spans="2:16" ht="29" customHeight="1" x14ac:dyDescent="0.2">
      <c r="B43" s="2"/>
      <c r="C43" s="2"/>
      <c r="D43" s="2"/>
      <c r="E43" s="2"/>
      <c r="F43" s="2"/>
      <c r="G43" s="2"/>
      <c r="H43" s="2"/>
      <c r="I43" s="2"/>
      <c r="J43" s="2"/>
      <c r="K43" s="2"/>
      <c r="L43" s="2"/>
      <c r="M43" s="2"/>
      <c r="N43" s="2"/>
      <c r="O43" s="2"/>
      <c r="P43" s="2"/>
    </row>
    <row r="44" spans="2:16" ht="29" customHeight="1" x14ac:dyDescent="0.2">
      <c r="B44" s="2"/>
      <c r="C44" s="2"/>
      <c r="D44" s="2"/>
      <c r="E44" s="2"/>
      <c r="F44" s="2"/>
      <c r="G44" s="2"/>
      <c r="H44" s="2"/>
      <c r="I44" s="2"/>
      <c r="J44" s="2"/>
      <c r="K44" s="2"/>
      <c r="L44" s="2"/>
      <c r="M44" s="2"/>
      <c r="N44" s="2"/>
      <c r="O44" s="2"/>
      <c r="P44" s="2"/>
    </row>
    <row r="45" spans="2:16" ht="29" customHeight="1" x14ac:dyDescent="0.2">
      <c r="B45" s="2"/>
      <c r="C45" s="2"/>
      <c r="D45" s="2"/>
      <c r="E45" s="2"/>
      <c r="F45" s="2"/>
      <c r="G45" s="2"/>
      <c r="H45" s="2"/>
      <c r="I45" s="2"/>
      <c r="J45" s="2"/>
      <c r="K45" s="2"/>
      <c r="L45" s="2"/>
      <c r="M45" s="2"/>
      <c r="N45" s="2"/>
      <c r="O45" s="2"/>
      <c r="P45" s="2"/>
    </row>
    <row r="46" spans="2:16" ht="29" customHeight="1" x14ac:dyDescent="0.2">
      <c r="B46" s="2"/>
      <c r="C46" s="2"/>
      <c r="D46" s="2"/>
      <c r="E46" s="2"/>
      <c r="F46" s="2"/>
      <c r="G46" s="2"/>
      <c r="H46" s="2"/>
      <c r="I46" s="2"/>
      <c r="J46" s="2"/>
      <c r="K46" s="2"/>
      <c r="L46" s="2"/>
      <c r="M46" s="2"/>
      <c r="N46" s="2"/>
      <c r="O46" s="2"/>
      <c r="P46" s="2"/>
    </row>
    <row r="47" spans="2:16" ht="29" customHeight="1" x14ac:dyDescent="0.2">
      <c r="B47" s="2"/>
      <c r="C47" s="2"/>
      <c r="D47" s="2"/>
      <c r="E47" s="2"/>
      <c r="F47" s="2"/>
      <c r="G47" s="2"/>
      <c r="H47" s="2"/>
      <c r="I47" s="2"/>
      <c r="J47" s="2"/>
      <c r="K47" s="2"/>
      <c r="L47" s="2"/>
      <c r="M47" s="2"/>
      <c r="N47" s="2"/>
      <c r="O47" s="2"/>
      <c r="P47" s="2"/>
    </row>
    <row r="48" spans="2:16" ht="29" customHeight="1" x14ac:dyDescent="0.2">
      <c r="B48" s="2"/>
      <c r="C48" s="2"/>
      <c r="D48" s="2"/>
      <c r="E48" s="2"/>
      <c r="F48" s="2"/>
      <c r="G48" s="2"/>
      <c r="H48" s="2"/>
      <c r="I48" s="2"/>
      <c r="J48" s="2"/>
      <c r="K48" s="2"/>
      <c r="L48" s="2"/>
      <c r="M48" s="2"/>
      <c r="N48" s="2"/>
      <c r="O48" s="2"/>
      <c r="P48" s="2"/>
    </row>
    <row r="49" spans="2:16" ht="29" customHeight="1" x14ac:dyDescent="0.2">
      <c r="B49" s="2"/>
      <c r="C49" s="2"/>
      <c r="D49" s="2"/>
      <c r="E49" s="2"/>
      <c r="F49" s="2"/>
      <c r="G49" s="2"/>
      <c r="H49" s="2"/>
      <c r="I49" s="2"/>
      <c r="J49" s="2"/>
      <c r="K49" s="2"/>
      <c r="L49" s="2"/>
      <c r="M49" s="2"/>
      <c r="N49" s="2"/>
      <c r="O49" s="2"/>
      <c r="P49" s="2"/>
    </row>
    <row r="50" spans="2:16" ht="29" customHeight="1" x14ac:dyDescent="0.2">
      <c r="B50" s="2"/>
      <c r="C50" s="2"/>
      <c r="D50" s="2"/>
      <c r="E50" s="2"/>
      <c r="F50" s="2"/>
      <c r="G50" s="2"/>
      <c r="H50" s="2"/>
      <c r="I50" s="2"/>
      <c r="J50" s="2"/>
      <c r="K50" s="2"/>
      <c r="L50" s="2"/>
      <c r="M50" s="2"/>
      <c r="N50" s="2"/>
      <c r="O50" s="2"/>
      <c r="P50" s="2"/>
    </row>
    <row r="51" spans="2:16" ht="29" customHeight="1" x14ac:dyDescent="0.2">
      <c r="B51" s="2"/>
      <c r="C51" s="2"/>
      <c r="D51" s="2"/>
      <c r="E51" s="2"/>
      <c r="F51" s="2"/>
      <c r="G51" s="2"/>
      <c r="H51" s="2"/>
      <c r="I51" s="2"/>
      <c r="J51" s="2"/>
      <c r="K51" s="2"/>
      <c r="L51" s="2"/>
      <c r="M51" s="2"/>
      <c r="N51" s="2"/>
      <c r="O51" s="2"/>
      <c r="P51" s="2"/>
    </row>
    <row r="52" spans="2:16" ht="29" customHeight="1" x14ac:dyDescent="0.2">
      <c r="B52" s="2"/>
      <c r="C52" s="2"/>
      <c r="D52" s="2"/>
      <c r="E52" s="2"/>
      <c r="F52" s="2"/>
      <c r="G52" s="2"/>
      <c r="H52" s="2"/>
      <c r="I52" s="2"/>
      <c r="J52" s="2"/>
      <c r="K52" s="2"/>
      <c r="L52" s="2"/>
      <c r="M52" s="2"/>
      <c r="N52" s="2"/>
      <c r="O52" s="2"/>
      <c r="P52" s="2"/>
    </row>
    <row r="53" spans="2:16" ht="29" customHeight="1" x14ac:dyDescent="0.2">
      <c r="B53" s="2"/>
      <c r="C53" s="2"/>
      <c r="D53" s="2"/>
      <c r="E53" s="2"/>
      <c r="F53" s="2"/>
      <c r="G53" s="2"/>
      <c r="H53" s="2"/>
      <c r="I53" s="2"/>
      <c r="J53" s="2"/>
      <c r="K53" s="2"/>
      <c r="L53" s="2"/>
      <c r="M53" s="2"/>
      <c r="N53" s="2"/>
      <c r="O53" s="2"/>
      <c r="P53" s="2"/>
    </row>
    <row r="54" spans="2:16" ht="29" customHeight="1" x14ac:dyDescent="0.2">
      <c r="B54" s="2"/>
      <c r="C54" s="2"/>
      <c r="D54" s="2"/>
      <c r="E54" s="2"/>
      <c r="F54" s="2"/>
      <c r="G54" s="2"/>
      <c r="H54" s="2"/>
      <c r="I54" s="2"/>
      <c r="J54" s="2"/>
      <c r="K54" s="2"/>
      <c r="L54" s="2"/>
      <c r="M54" s="2"/>
      <c r="N54" s="2"/>
      <c r="O54" s="2"/>
      <c r="P54" s="2"/>
    </row>
    <row r="55" spans="2:16" ht="29" customHeight="1" x14ac:dyDescent="0.2">
      <c r="B55" s="2"/>
      <c r="C55" s="2"/>
      <c r="D55" s="2"/>
      <c r="E55" s="2"/>
      <c r="F55" s="2"/>
      <c r="G55" s="2"/>
      <c r="H55" s="2"/>
      <c r="I55" s="2"/>
      <c r="J55" s="2"/>
      <c r="K55" s="2"/>
      <c r="L55" s="2"/>
      <c r="M55" s="2"/>
      <c r="N55" s="2"/>
      <c r="O55" s="2"/>
      <c r="P55" s="2"/>
    </row>
    <row r="56" spans="2:16" ht="29" customHeight="1" x14ac:dyDescent="0.2">
      <c r="B56" s="2"/>
      <c r="C56" s="2"/>
      <c r="D56" s="2"/>
      <c r="E56" s="2"/>
      <c r="F56" s="2"/>
      <c r="G56" s="2"/>
      <c r="H56" s="2"/>
      <c r="I56" s="2"/>
      <c r="J56" s="2"/>
      <c r="K56" s="2"/>
      <c r="L56" s="2"/>
      <c r="M56" s="2"/>
      <c r="N56" s="2"/>
      <c r="O56" s="2"/>
      <c r="P56" s="2"/>
    </row>
    <row r="57" spans="2:16" ht="29" customHeight="1" x14ac:dyDescent="0.2">
      <c r="B57" s="2"/>
      <c r="C57" s="2"/>
      <c r="D57" s="2"/>
      <c r="E57" s="2"/>
      <c r="F57" s="2"/>
      <c r="G57" s="2"/>
      <c r="H57" s="2"/>
      <c r="I57" s="2"/>
      <c r="J57" s="2"/>
      <c r="K57" s="2"/>
      <c r="L57" s="2"/>
      <c r="M57" s="2"/>
      <c r="N57" s="2"/>
      <c r="O57" s="2"/>
      <c r="P57" s="2"/>
    </row>
    <row r="58" spans="2:16" ht="29" customHeight="1" x14ac:dyDescent="0.2">
      <c r="B58" s="2"/>
      <c r="C58" s="2"/>
      <c r="D58" s="2"/>
      <c r="E58" s="2"/>
      <c r="F58" s="2"/>
      <c r="G58" s="2"/>
      <c r="H58" s="2"/>
      <c r="I58" s="2"/>
      <c r="J58" s="2"/>
      <c r="K58" s="2"/>
      <c r="L58" s="2"/>
      <c r="M58" s="2"/>
      <c r="N58" s="2"/>
      <c r="O58" s="2"/>
      <c r="P58" s="2"/>
    </row>
    <row r="59" spans="2:16" ht="29" customHeight="1" x14ac:dyDescent="0.2">
      <c r="B59" s="2"/>
      <c r="C59" s="2"/>
      <c r="D59" s="2"/>
      <c r="E59" s="2"/>
      <c r="F59" s="2"/>
      <c r="G59" s="2"/>
      <c r="H59" s="2"/>
      <c r="I59" s="2"/>
      <c r="J59" s="2"/>
      <c r="K59" s="2"/>
      <c r="L59" s="2"/>
      <c r="M59" s="2"/>
      <c r="N59" s="2"/>
      <c r="O59" s="2"/>
      <c r="P59" s="2"/>
    </row>
    <row r="60" spans="2:16" ht="29" customHeight="1" x14ac:dyDescent="0.2">
      <c r="B60" s="2"/>
      <c r="C60" s="2"/>
      <c r="D60" s="2"/>
      <c r="E60" s="2"/>
      <c r="F60" s="2"/>
      <c r="G60" s="2"/>
      <c r="H60" s="2"/>
      <c r="I60" s="2"/>
      <c r="J60" s="2"/>
      <c r="K60" s="2"/>
      <c r="L60" s="2"/>
      <c r="M60" s="2"/>
      <c r="N60" s="2"/>
      <c r="O60" s="2"/>
      <c r="P60" s="2"/>
    </row>
    <row r="61" spans="2:16" ht="29" customHeight="1" x14ac:dyDescent="0.2">
      <c r="B61" s="2"/>
      <c r="C61" s="2"/>
      <c r="D61" s="2"/>
      <c r="E61" s="2"/>
      <c r="F61" s="2"/>
      <c r="G61" s="2"/>
      <c r="H61" s="2"/>
      <c r="I61" s="2"/>
      <c r="J61" s="2"/>
      <c r="K61" s="2"/>
      <c r="L61" s="2"/>
      <c r="M61" s="2"/>
      <c r="N61" s="2"/>
      <c r="O61" s="2"/>
      <c r="P61" s="2"/>
    </row>
    <row r="62" spans="2:16" ht="29" customHeight="1" x14ac:dyDescent="0.2">
      <c r="B62" s="2"/>
      <c r="C62" s="2"/>
      <c r="D62" s="2"/>
      <c r="E62" s="2"/>
      <c r="F62" s="2"/>
      <c r="G62" s="2"/>
      <c r="H62" s="2"/>
      <c r="I62" s="2"/>
      <c r="J62" s="2"/>
      <c r="K62" s="2"/>
      <c r="L62" s="2"/>
      <c r="M62" s="2"/>
      <c r="N62" s="2"/>
      <c r="O62" s="2"/>
      <c r="P62" s="2"/>
    </row>
    <row r="63" spans="2:16" ht="29" customHeight="1" x14ac:dyDescent="0.2">
      <c r="B63" s="2"/>
      <c r="C63" s="2"/>
      <c r="D63" s="2"/>
      <c r="E63" s="2"/>
      <c r="F63" s="2"/>
      <c r="G63" s="2"/>
      <c r="H63" s="2"/>
      <c r="I63" s="2"/>
      <c r="J63" s="2"/>
      <c r="K63" s="2"/>
      <c r="L63" s="2"/>
      <c r="M63" s="2"/>
      <c r="N63" s="2"/>
      <c r="O63" s="2"/>
      <c r="P63" s="2"/>
    </row>
    <row r="64" spans="2:16" ht="29" customHeight="1" x14ac:dyDescent="0.2">
      <c r="B64" s="2"/>
      <c r="C64" s="2"/>
      <c r="D64" s="2"/>
      <c r="E64" s="2"/>
      <c r="F64" s="2"/>
      <c r="G64" s="2"/>
      <c r="H64" s="2"/>
      <c r="I64" s="2"/>
      <c r="J64" s="2"/>
      <c r="K64" s="2"/>
      <c r="L64" s="2"/>
      <c r="M64" s="2"/>
      <c r="N64" s="2"/>
      <c r="O64" s="2"/>
      <c r="P64" s="2"/>
    </row>
    <row r="65" spans="2:16" ht="29" customHeight="1" x14ac:dyDescent="0.2">
      <c r="B65" s="2"/>
      <c r="C65" s="2"/>
      <c r="D65" s="2"/>
      <c r="E65" s="2"/>
      <c r="F65" s="2"/>
      <c r="G65" s="2"/>
      <c r="H65" s="2"/>
      <c r="I65" s="2"/>
      <c r="J65" s="2"/>
      <c r="K65" s="2"/>
      <c r="L65" s="2"/>
      <c r="M65" s="2"/>
      <c r="N65" s="2"/>
      <c r="O65" s="2"/>
      <c r="P65" s="2"/>
    </row>
    <row r="66" spans="2:16" ht="29" customHeight="1" x14ac:dyDescent="0.2">
      <c r="B66" s="2"/>
      <c r="C66" s="2"/>
      <c r="D66" s="2"/>
      <c r="E66" s="2"/>
      <c r="F66" s="2"/>
      <c r="G66" s="2"/>
      <c r="H66" s="2"/>
      <c r="I66" s="2"/>
      <c r="J66" s="2"/>
      <c r="K66" s="2"/>
      <c r="L66" s="2"/>
      <c r="M66" s="2"/>
      <c r="N66" s="2"/>
      <c r="O66" s="2"/>
      <c r="P66" s="2"/>
    </row>
    <row r="67" spans="2:16" ht="29" customHeight="1" x14ac:dyDescent="0.2">
      <c r="B67" s="2"/>
      <c r="C67" s="2"/>
      <c r="D67" s="2"/>
      <c r="E67" s="2"/>
      <c r="F67" s="2"/>
      <c r="G67" s="2"/>
      <c r="H67" s="2"/>
      <c r="I67" s="2"/>
      <c r="J67" s="2"/>
      <c r="K67" s="2"/>
      <c r="L67" s="2"/>
      <c r="M67" s="2"/>
      <c r="N67" s="2"/>
      <c r="O67" s="2"/>
      <c r="P67" s="2"/>
    </row>
    <row r="68" spans="2:16" ht="29" customHeight="1" x14ac:dyDescent="0.2">
      <c r="B68" s="2"/>
      <c r="C68" s="2"/>
      <c r="D68" s="2"/>
      <c r="E68" s="2"/>
      <c r="F68" s="2"/>
      <c r="G68" s="2"/>
      <c r="H68" s="2"/>
      <c r="I68" s="2"/>
      <c r="J68" s="2"/>
      <c r="K68" s="2"/>
      <c r="L68" s="2"/>
      <c r="M68" s="2"/>
      <c r="N68" s="2"/>
      <c r="O68" s="2"/>
      <c r="P68" s="2"/>
    </row>
    <row r="69" spans="2:16" ht="29" customHeight="1" x14ac:dyDescent="0.2">
      <c r="B69" s="2"/>
      <c r="C69" s="2"/>
      <c r="D69" s="2"/>
      <c r="E69" s="2"/>
      <c r="F69" s="2"/>
      <c r="G69" s="2"/>
      <c r="H69" s="2"/>
      <c r="I69" s="2"/>
      <c r="J69" s="2"/>
      <c r="K69" s="2"/>
      <c r="L69" s="2"/>
      <c r="M69" s="2"/>
      <c r="N69" s="2"/>
      <c r="O69" s="2"/>
      <c r="P69" s="2"/>
    </row>
    <row r="70" spans="2:16" ht="29" customHeight="1" x14ac:dyDescent="0.2">
      <c r="B70" s="2"/>
      <c r="C70" s="2"/>
      <c r="D70" s="2"/>
      <c r="E70" s="2"/>
      <c r="F70" s="2"/>
      <c r="G70" s="2"/>
      <c r="H70" s="2"/>
      <c r="I70" s="2"/>
      <c r="J70" s="2"/>
      <c r="K70" s="2"/>
      <c r="L70" s="2"/>
      <c r="M70" s="2"/>
      <c r="N70" s="2"/>
      <c r="O70" s="2"/>
      <c r="P70" s="2"/>
    </row>
    <row r="71" spans="2:16" ht="29" customHeight="1" x14ac:dyDescent="0.2">
      <c r="B71" s="2"/>
      <c r="C71" s="2"/>
      <c r="D71" s="2"/>
      <c r="E71" s="2"/>
      <c r="F71" s="2"/>
      <c r="G71" s="2"/>
      <c r="H71" s="2"/>
      <c r="I71" s="2"/>
      <c r="J71" s="2"/>
      <c r="K71" s="2"/>
      <c r="L71" s="2"/>
      <c r="M71" s="2"/>
      <c r="N71" s="2"/>
      <c r="O71" s="2"/>
      <c r="P71" s="2"/>
    </row>
    <row r="72" spans="2:16" ht="29" customHeight="1" x14ac:dyDescent="0.2">
      <c r="B72" s="2"/>
      <c r="C72" s="2"/>
      <c r="D72" s="2"/>
      <c r="E72" s="2"/>
      <c r="F72" s="2"/>
      <c r="G72" s="2"/>
      <c r="H72" s="2"/>
      <c r="I72" s="2"/>
      <c r="J72" s="2"/>
      <c r="K72" s="2"/>
      <c r="L72" s="2"/>
      <c r="M72" s="2"/>
      <c r="N72" s="2"/>
      <c r="O72" s="2"/>
      <c r="P72" s="2"/>
    </row>
    <row r="73" spans="2:16" ht="29" customHeight="1" x14ac:dyDescent="0.2">
      <c r="B73" s="2"/>
      <c r="C73" s="2"/>
      <c r="D73" s="2"/>
      <c r="E73" s="2"/>
      <c r="F73" s="2"/>
      <c r="G73" s="2"/>
      <c r="H73" s="2"/>
      <c r="I73" s="2"/>
      <c r="J73" s="2"/>
      <c r="K73" s="2"/>
      <c r="L73" s="2"/>
      <c r="M73" s="2"/>
      <c r="N73" s="2"/>
      <c r="O73" s="2"/>
      <c r="P73" s="2"/>
    </row>
    <row r="74" spans="2:16" ht="29" customHeight="1" x14ac:dyDescent="0.2">
      <c r="B74" s="2"/>
      <c r="C74" s="2"/>
      <c r="D74" s="2"/>
      <c r="E74" s="2"/>
      <c r="F74" s="2"/>
      <c r="G74" s="2"/>
      <c r="H74" s="2"/>
      <c r="I74" s="2"/>
      <c r="J74" s="2"/>
      <c r="K74" s="2"/>
      <c r="L74" s="2"/>
      <c r="M74" s="2"/>
      <c r="N74" s="2"/>
      <c r="O74" s="2"/>
      <c r="P74" s="2"/>
    </row>
    <row r="75" spans="2:16" ht="29" customHeight="1" x14ac:dyDescent="0.2">
      <c r="B75" s="2"/>
      <c r="C75" s="2"/>
      <c r="D75" s="2"/>
      <c r="E75" s="2"/>
      <c r="F75" s="2"/>
      <c r="G75" s="2"/>
      <c r="H75" s="2"/>
      <c r="I75" s="2"/>
      <c r="J75" s="2"/>
      <c r="K75" s="2"/>
      <c r="L75" s="2"/>
      <c r="M75" s="2"/>
      <c r="N75" s="2"/>
      <c r="O75" s="2"/>
      <c r="P75" s="2"/>
    </row>
    <row r="76" spans="2:16" ht="29" customHeight="1" x14ac:dyDescent="0.2">
      <c r="B76" s="2"/>
      <c r="C76" s="2"/>
      <c r="D76" s="2"/>
      <c r="E76" s="2"/>
      <c r="F76" s="2"/>
      <c r="G76" s="2"/>
      <c r="H76" s="2"/>
      <c r="I76" s="2"/>
      <c r="J76" s="2"/>
      <c r="K76" s="2"/>
      <c r="L76" s="2"/>
      <c r="M76" s="2"/>
      <c r="N76" s="2"/>
      <c r="O76" s="2"/>
      <c r="P76" s="2"/>
    </row>
    <row r="77" spans="2:16" ht="29" customHeight="1" x14ac:dyDescent="0.2">
      <c r="B77" s="2"/>
      <c r="C77" s="2"/>
      <c r="D77" s="2"/>
      <c r="E77" s="2"/>
      <c r="F77" s="2"/>
      <c r="G77" s="2"/>
      <c r="H77" s="2"/>
      <c r="I77" s="2"/>
      <c r="J77" s="2"/>
      <c r="K77" s="2"/>
      <c r="L77" s="2"/>
      <c r="M77" s="2"/>
      <c r="N77" s="2"/>
      <c r="O77" s="2"/>
      <c r="P77" s="2"/>
    </row>
    <row r="78" spans="2:16" ht="29" customHeight="1" x14ac:dyDescent="0.2">
      <c r="B78" s="2"/>
      <c r="C78" s="2"/>
      <c r="D78" s="2"/>
      <c r="E78" s="2"/>
      <c r="F78" s="2"/>
      <c r="G78" s="2"/>
      <c r="H78" s="2"/>
      <c r="I78" s="2"/>
      <c r="J78" s="2"/>
      <c r="K78" s="2"/>
      <c r="L78" s="2"/>
      <c r="M78" s="2"/>
      <c r="N78" s="2"/>
      <c r="O78" s="2"/>
      <c r="P78" s="2"/>
    </row>
    <row r="79" spans="2:16" ht="29" customHeight="1" x14ac:dyDescent="0.2">
      <c r="B79" s="2"/>
      <c r="C79" s="2"/>
      <c r="D79" s="2"/>
      <c r="E79" s="2"/>
      <c r="F79" s="2"/>
      <c r="G79" s="2"/>
      <c r="H79" s="2"/>
      <c r="I79" s="2"/>
      <c r="J79" s="2"/>
      <c r="K79" s="2"/>
      <c r="L79" s="2"/>
      <c r="M79" s="2"/>
      <c r="N79" s="2"/>
      <c r="O79" s="2"/>
      <c r="P79" s="2"/>
    </row>
    <row r="80" spans="2:16" ht="29" customHeight="1" x14ac:dyDescent="0.2">
      <c r="B80" s="2"/>
      <c r="C80" s="2"/>
      <c r="D80" s="2"/>
      <c r="E80" s="2"/>
      <c r="F80" s="2"/>
      <c r="G80" s="2"/>
      <c r="H80" s="2"/>
      <c r="I80" s="2"/>
      <c r="J80" s="2"/>
      <c r="K80" s="2"/>
      <c r="L80" s="2"/>
      <c r="M80" s="2"/>
      <c r="N80" s="2"/>
      <c r="O80" s="2"/>
      <c r="P80" s="2"/>
    </row>
    <row r="81" spans="1:16" ht="29" customHeight="1" x14ac:dyDescent="0.2">
      <c r="B81" s="2"/>
      <c r="C81" s="2"/>
      <c r="D81" s="2"/>
      <c r="E81" s="2"/>
      <c r="F81" s="2"/>
      <c r="G81" s="2"/>
      <c r="H81" s="2"/>
      <c r="I81" s="2"/>
      <c r="J81" s="2"/>
      <c r="K81" s="2"/>
      <c r="L81" s="2"/>
      <c r="M81" s="2"/>
      <c r="N81" s="2"/>
      <c r="O81" s="2"/>
      <c r="P81" s="2"/>
    </row>
    <row r="82" spans="1:16" ht="29" customHeight="1" x14ac:dyDescent="0.2">
      <c r="B82" s="2"/>
      <c r="C82" s="2"/>
      <c r="D82" s="2"/>
      <c r="E82" s="2"/>
      <c r="F82" s="2"/>
      <c r="G82" s="2"/>
      <c r="H82" s="2"/>
      <c r="I82" s="2"/>
      <c r="J82" s="2"/>
      <c r="K82" s="2"/>
      <c r="L82" s="2"/>
      <c r="M82" s="2"/>
      <c r="N82" s="2"/>
      <c r="O82" s="2"/>
      <c r="P82" s="2"/>
    </row>
    <row r="83" spans="1:16" ht="29" customHeight="1" x14ac:dyDescent="0.2">
      <c r="B83" s="2"/>
      <c r="C83" s="2"/>
      <c r="D83" s="2"/>
      <c r="E83" s="2"/>
      <c r="F83" s="2"/>
      <c r="G83" s="2"/>
      <c r="H83" s="2"/>
      <c r="I83" s="2"/>
      <c r="J83" s="2"/>
      <c r="K83" s="2"/>
      <c r="L83" s="2"/>
      <c r="M83" s="2"/>
      <c r="N83" s="2"/>
      <c r="O83" s="2"/>
      <c r="P83" s="2"/>
    </row>
    <row r="84" spans="1:16" ht="29" customHeight="1" x14ac:dyDescent="0.2">
      <c r="B84" s="2"/>
      <c r="C84" s="2"/>
      <c r="D84" s="2"/>
      <c r="E84" s="2"/>
      <c r="F84" s="2"/>
      <c r="G84" s="2"/>
      <c r="H84" s="2"/>
      <c r="I84" s="2"/>
      <c r="J84" s="2"/>
      <c r="K84" s="2"/>
      <c r="L84" s="2"/>
      <c r="M84" s="2"/>
      <c r="N84" s="2"/>
      <c r="O84" s="2"/>
      <c r="P84" s="2"/>
    </row>
    <row r="85" spans="1:16" ht="29" customHeight="1" x14ac:dyDescent="0.2">
      <c r="B85" s="2"/>
      <c r="C85" s="2"/>
      <c r="D85" s="2"/>
      <c r="E85" s="2"/>
      <c r="F85" s="2"/>
      <c r="G85" s="2"/>
      <c r="H85" s="2"/>
      <c r="I85" s="2"/>
      <c r="J85" s="2"/>
      <c r="K85" s="2"/>
      <c r="L85" s="2"/>
      <c r="M85" s="2"/>
      <c r="N85" s="2"/>
      <c r="O85" s="2"/>
      <c r="P85" s="2"/>
    </row>
    <row r="86" spans="1:16" ht="29" customHeight="1" x14ac:dyDescent="0.2">
      <c r="B86" s="2"/>
      <c r="C86" s="2"/>
      <c r="D86" s="2"/>
      <c r="E86" s="2"/>
      <c r="F86" s="2"/>
      <c r="G86" s="2"/>
      <c r="H86" s="2"/>
      <c r="I86" s="2"/>
      <c r="J86" s="2"/>
      <c r="K86" s="2"/>
      <c r="L86" s="2"/>
      <c r="M86" s="2"/>
      <c r="N86" s="2"/>
      <c r="O86" s="2"/>
      <c r="P86" s="2"/>
    </row>
    <row r="87" spans="1:16" ht="29" customHeight="1" x14ac:dyDescent="0.2">
      <c r="B87" s="2"/>
      <c r="C87" s="2"/>
      <c r="D87" s="2"/>
      <c r="E87" s="2"/>
      <c r="F87" s="2"/>
      <c r="G87" s="2"/>
      <c r="H87" s="2"/>
      <c r="I87" s="2"/>
      <c r="J87" s="2"/>
      <c r="K87" s="2"/>
      <c r="L87" s="2"/>
      <c r="M87" s="2"/>
      <c r="N87" s="2"/>
      <c r="O87" s="2"/>
      <c r="P87" s="2"/>
    </row>
    <row r="88" spans="1:16" ht="29" customHeight="1" x14ac:dyDescent="0.2">
      <c r="B88" s="2"/>
      <c r="C88" s="2"/>
      <c r="D88" s="2"/>
      <c r="E88" s="2"/>
      <c r="F88" s="2"/>
      <c r="G88" s="2"/>
      <c r="H88" s="2"/>
      <c r="I88" s="2"/>
      <c r="J88" s="2"/>
      <c r="K88" s="2"/>
      <c r="L88" s="2"/>
      <c r="M88" s="2"/>
      <c r="N88" s="2"/>
      <c r="O88" s="2"/>
      <c r="P88" s="2"/>
    </row>
    <row r="89" spans="1:16" ht="29" customHeight="1" x14ac:dyDescent="0.2">
      <c r="B89" s="2"/>
      <c r="C89" s="2"/>
      <c r="D89" s="2"/>
      <c r="E89" s="2"/>
      <c r="F89" s="2"/>
      <c r="G89" s="2"/>
      <c r="H89" s="2"/>
      <c r="I89" s="2"/>
      <c r="J89" s="2"/>
      <c r="K89" s="2"/>
      <c r="L89" s="2"/>
      <c r="M89" s="2"/>
      <c r="N89" s="2"/>
      <c r="O89" s="2"/>
      <c r="P89" s="2"/>
    </row>
    <row r="90" spans="1:16" ht="29" customHeight="1" x14ac:dyDescent="0.2">
      <c r="B90" s="2"/>
      <c r="C90" s="2"/>
      <c r="D90" s="2"/>
      <c r="E90" s="2"/>
      <c r="F90" s="2"/>
      <c r="G90" s="2"/>
      <c r="H90" s="2"/>
      <c r="I90" s="2"/>
      <c r="J90" s="2"/>
      <c r="K90" s="2"/>
      <c r="L90" s="2"/>
      <c r="M90" s="2"/>
      <c r="N90" s="2"/>
      <c r="O90" s="2"/>
      <c r="P90" s="2"/>
    </row>
    <row r="91" spans="1:16" ht="29" customHeight="1" x14ac:dyDescent="0.2">
      <c r="B91" s="2"/>
      <c r="C91" s="2"/>
      <c r="D91" s="2"/>
      <c r="E91" s="2"/>
      <c r="F91" s="2"/>
      <c r="G91" s="2"/>
      <c r="H91" s="2"/>
      <c r="I91" s="2"/>
      <c r="J91" s="2"/>
      <c r="K91" s="2"/>
      <c r="L91" s="2"/>
      <c r="M91" s="2"/>
      <c r="N91" s="2"/>
      <c r="O91" s="2"/>
      <c r="P91" s="2"/>
    </row>
    <row r="92" spans="1:16" ht="29" customHeight="1" x14ac:dyDescent="0.2">
      <c r="A92" s="2"/>
      <c r="B92" s="2"/>
      <c r="C92" s="2"/>
      <c r="D92" s="2"/>
      <c r="E92" s="2"/>
      <c r="F92" s="2"/>
      <c r="G92" s="2"/>
      <c r="H92" s="2"/>
      <c r="I92" s="2"/>
      <c r="J92" s="2"/>
      <c r="K92" s="2"/>
      <c r="L92" s="2"/>
      <c r="M92" s="2"/>
      <c r="N92" s="2"/>
      <c r="O92" s="2"/>
      <c r="P92" s="2"/>
    </row>
    <row r="93" spans="1:16" ht="29" customHeight="1" x14ac:dyDescent="0.2">
      <c r="A93" s="2"/>
      <c r="B93" s="2"/>
      <c r="C93" s="2"/>
      <c r="D93" s="2"/>
      <c r="E93" s="2"/>
      <c r="F93" s="2"/>
      <c r="G93" s="2"/>
      <c r="H93" s="2"/>
      <c r="I93" s="2"/>
      <c r="J93" s="2"/>
      <c r="K93" s="2"/>
      <c r="L93" s="2"/>
      <c r="M93" s="2"/>
      <c r="N93" s="2"/>
      <c r="O93" s="2"/>
      <c r="P93" s="2"/>
    </row>
    <row r="94" spans="1:16" ht="29" customHeight="1" x14ac:dyDescent="0.2">
      <c r="A94" s="2"/>
      <c r="B94" s="2"/>
      <c r="C94" s="2"/>
      <c r="D94" s="2"/>
      <c r="E94" s="2"/>
      <c r="F94" s="2"/>
      <c r="G94" s="2"/>
      <c r="H94" s="2"/>
      <c r="I94" s="2"/>
      <c r="K94" s="2"/>
      <c r="L94" s="2"/>
      <c r="M94" s="2"/>
      <c r="N94" s="2"/>
      <c r="O94" s="2"/>
      <c r="P94" s="2"/>
    </row>
    <row r="95" spans="1:16" ht="29" customHeight="1" x14ac:dyDescent="0.2">
      <c r="A95" s="2"/>
      <c r="B95" s="2"/>
      <c r="C95" s="2"/>
      <c r="D95" s="2"/>
      <c r="E95" s="2"/>
      <c r="F95" s="2"/>
      <c r="G95" s="2"/>
      <c r="H95" s="2"/>
      <c r="I95" s="2"/>
      <c r="K95" s="2"/>
      <c r="L95" s="2"/>
      <c r="M95" s="2"/>
      <c r="N95" s="2"/>
      <c r="O95" s="2"/>
      <c r="P95" s="2"/>
    </row>
    <row r="96" spans="1:16" ht="29" customHeight="1" x14ac:dyDescent="0.2">
      <c r="A96" s="2"/>
      <c r="B96" s="2"/>
      <c r="C96" s="2"/>
      <c r="D96" s="2"/>
      <c r="E96" s="2"/>
      <c r="F96" s="2"/>
      <c r="G96" s="2"/>
      <c r="H96" s="2"/>
      <c r="I96" s="2"/>
      <c r="K96" s="2"/>
      <c r="L96" s="2"/>
      <c r="M96" s="2"/>
      <c r="N96" s="2"/>
      <c r="O96" s="2"/>
      <c r="P96" s="2"/>
    </row>
    <row r="97" spans="1:16" ht="29" customHeight="1" x14ac:dyDescent="0.2">
      <c r="A97" s="2"/>
      <c r="B97" s="2"/>
      <c r="C97" s="2"/>
      <c r="D97" s="2"/>
      <c r="E97" s="2"/>
      <c r="F97" s="2"/>
      <c r="G97" s="2"/>
      <c r="H97" s="2"/>
      <c r="I97" s="2"/>
      <c r="J97" s="2"/>
      <c r="K97" s="2"/>
      <c r="L97" s="2"/>
      <c r="M97" s="2"/>
      <c r="N97" s="2"/>
      <c r="O97" s="2"/>
      <c r="P97" s="2"/>
    </row>
    <row r="98" spans="1:16" ht="29" customHeight="1" x14ac:dyDescent="0.2">
      <c r="A98" s="2"/>
      <c r="B98" s="2"/>
      <c r="C98" s="2"/>
      <c r="D98" s="2"/>
      <c r="E98" s="2"/>
      <c r="F98" s="2"/>
      <c r="G98" s="2"/>
      <c r="H98" s="2"/>
      <c r="I98" s="2"/>
      <c r="J98" s="2"/>
      <c r="K98" s="2"/>
      <c r="L98" s="2"/>
      <c r="M98" s="2"/>
      <c r="N98" s="2"/>
      <c r="O98" s="2"/>
      <c r="P98" s="2"/>
    </row>
    <row r="99" spans="1:16" ht="29" customHeight="1" x14ac:dyDescent="0.2">
      <c r="A99" s="2"/>
      <c r="B99" s="2"/>
      <c r="C99" s="2"/>
      <c r="D99" s="2"/>
      <c r="E99" s="2"/>
      <c r="F99" s="2"/>
      <c r="G99" s="2"/>
      <c r="H99" s="2"/>
      <c r="I99" s="2"/>
      <c r="J99" s="2"/>
      <c r="K99" s="2"/>
      <c r="L99" s="2"/>
      <c r="M99" s="2"/>
      <c r="N99" s="2"/>
      <c r="O99" s="2"/>
      <c r="P99" s="2"/>
    </row>
    <row r="100" spans="1:16" ht="29" customHeight="1" x14ac:dyDescent="0.2">
      <c r="A100" s="2"/>
      <c r="B100" s="2"/>
      <c r="C100" s="2"/>
      <c r="D100" s="2"/>
      <c r="E100" s="2"/>
      <c r="F100" s="2"/>
      <c r="G100" s="2"/>
      <c r="H100" s="2"/>
      <c r="I100" s="2"/>
      <c r="J100" s="2"/>
      <c r="K100" s="2"/>
      <c r="L100" s="2"/>
      <c r="M100" s="2"/>
      <c r="N100" s="2"/>
      <c r="O100" s="2"/>
      <c r="P100" s="2"/>
    </row>
    <row r="101" spans="1:16" ht="29" customHeight="1" x14ac:dyDescent="0.2">
      <c r="A101" s="2"/>
      <c r="B101" s="2"/>
      <c r="C101" s="2"/>
      <c r="D101" s="2"/>
      <c r="E101" s="2"/>
      <c r="F101" s="2"/>
      <c r="G101" s="2"/>
      <c r="H101" s="2"/>
      <c r="I101" s="2"/>
      <c r="J101" s="2"/>
      <c r="K101" s="2"/>
      <c r="L101" s="2"/>
      <c r="M101" s="2"/>
      <c r="N101" s="2"/>
      <c r="O101" s="2"/>
      <c r="P101" s="2"/>
    </row>
    <row r="102" spans="1:16" ht="29" customHeight="1" x14ac:dyDescent="0.2">
      <c r="A102" s="2"/>
      <c r="B102" s="2"/>
      <c r="C102" s="2"/>
      <c r="D102" s="2"/>
      <c r="E102" s="2"/>
      <c r="F102" s="2"/>
      <c r="G102" s="2"/>
      <c r="H102" s="2"/>
      <c r="I102" s="2"/>
      <c r="J102" s="2"/>
      <c r="K102" s="2"/>
      <c r="L102" s="2"/>
      <c r="M102" s="2"/>
      <c r="N102" s="2"/>
      <c r="O102" s="2"/>
      <c r="P102" s="2"/>
    </row>
    <row r="103" spans="1:16" ht="29" customHeight="1" x14ac:dyDescent="0.2">
      <c r="A103" s="2"/>
      <c r="B103" s="2"/>
      <c r="C103" s="2"/>
      <c r="D103" s="2"/>
      <c r="E103" s="2"/>
      <c r="F103" s="2"/>
      <c r="G103" s="2"/>
      <c r="H103" s="2"/>
      <c r="I103" s="2"/>
      <c r="J103" s="2"/>
      <c r="K103" s="2"/>
      <c r="L103" s="2"/>
      <c r="M103" s="2"/>
      <c r="N103" s="2"/>
      <c r="O103" s="2"/>
      <c r="P103" s="2"/>
    </row>
    <row r="104" spans="1:16" ht="29" customHeight="1" x14ac:dyDescent="0.2">
      <c r="A104" s="2"/>
      <c r="B104" s="2"/>
      <c r="C104" s="2"/>
      <c r="D104" s="2"/>
      <c r="E104" s="2"/>
      <c r="F104" s="2"/>
      <c r="G104" s="2"/>
      <c r="H104" s="2"/>
      <c r="I104" s="2"/>
      <c r="J104" s="2"/>
      <c r="K104" s="2"/>
      <c r="L104" s="2"/>
      <c r="M104" s="2"/>
      <c r="N104" s="2"/>
      <c r="O104" s="2"/>
      <c r="P104" s="2"/>
    </row>
    <row r="105" spans="1:16" ht="29" customHeight="1" x14ac:dyDescent="0.2">
      <c r="A105" s="2"/>
      <c r="B105" s="2"/>
      <c r="C105" s="2"/>
      <c r="D105" s="2"/>
      <c r="E105" s="2"/>
      <c r="F105" s="2"/>
      <c r="G105" s="2"/>
      <c r="H105" s="2"/>
      <c r="I105" s="2"/>
      <c r="J105" s="2"/>
      <c r="K105" s="2"/>
      <c r="L105" s="2"/>
      <c r="M105" s="2"/>
      <c r="N105" s="2"/>
      <c r="O105" s="2"/>
      <c r="P105" s="2"/>
    </row>
    <row r="106" spans="1:16" ht="29" customHeight="1" x14ac:dyDescent="0.2">
      <c r="A106" s="2"/>
      <c r="B106" s="2"/>
      <c r="C106" s="2"/>
      <c r="D106" s="2"/>
      <c r="E106" s="2"/>
      <c r="F106" s="2"/>
      <c r="G106" s="2"/>
      <c r="H106" s="2"/>
      <c r="I106" s="2"/>
      <c r="J106" s="2"/>
      <c r="K106" s="2"/>
      <c r="L106" s="2"/>
      <c r="M106" s="2"/>
      <c r="N106" s="2"/>
      <c r="O106" s="2"/>
      <c r="P106" s="2"/>
    </row>
    <row r="107" spans="1:16" ht="29" customHeight="1" x14ac:dyDescent="0.2">
      <c r="A107" s="2"/>
      <c r="B107" s="2"/>
      <c r="C107" s="2"/>
      <c r="D107" s="2"/>
      <c r="E107" s="2"/>
      <c r="F107" s="2"/>
      <c r="G107" s="2"/>
      <c r="H107" s="2"/>
      <c r="I107" s="2"/>
      <c r="J107" s="2"/>
      <c r="K107" s="2"/>
      <c r="L107" s="2"/>
      <c r="M107" s="2"/>
      <c r="N107" s="2"/>
      <c r="O107" s="2"/>
      <c r="P107" s="2"/>
    </row>
    <row r="108" spans="1:16" ht="29" customHeight="1" x14ac:dyDescent="0.2">
      <c r="A108" s="2"/>
      <c r="B108" s="2"/>
      <c r="C108" s="2"/>
      <c r="D108" s="2"/>
      <c r="E108" s="2"/>
      <c r="F108" s="2"/>
      <c r="G108" s="2"/>
      <c r="H108" s="2"/>
      <c r="I108" s="2"/>
      <c r="J108" s="2"/>
      <c r="K108" s="2"/>
      <c r="L108" s="2"/>
      <c r="M108" s="2"/>
      <c r="N108" s="2"/>
      <c r="O108" s="2"/>
      <c r="P108" s="2"/>
    </row>
    <row r="109" spans="1:16" ht="29" customHeight="1" x14ac:dyDescent="0.2">
      <c r="A109" s="2"/>
      <c r="B109" s="2"/>
      <c r="C109" s="2"/>
      <c r="D109" s="2"/>
      <c r="E109" s="2"/>
      <c r="F109" s="2"/>
      <c r="G109" s="2"/>
      <c r="H109" s="2"/>
      <c r="I109" s="2"/>
      <c r="J109" s="2"/>
      <c r="K109" s="2"/>
      <c r="L109" s="2"/>
      <c r="M109" s="2"/>
      <c r="N109" s="2"/>
      <c r="O109" s="2"/>
      <c r="P109" s="2"/>
    </row>
    <row r="110" spans="1:16" ht="29" customHeight="1" x14ac:dyDescent="0.2">
      <c r="A110" s="2"/>
      <c r="B110" s="2"/>
      <c r="C110" s="2"/>
      <c r="D110" s="2"/>
      <c r="E110" s="2"/>
      <c r="F110" s="2"/>
      <c r="G110" s="2"/>
      <c r="H110" s="2"/>
      <c r="I110" s="2"/>
      <c r="J110" s="2"/>
      <c r="K110" s="2"/>
      <c r="L110" s="2"/>
      <c r="M110" s="2"/>
      <c r="N110" s="2"/>
      <c r="O110" s="2"/>
      <c r="P110" s="2"/>
    </row>
    <row r="111" spans="1:16" ht="29" customHeight="1" x14ac:dyDescent="0.2">
      <c r="A111" s="2"/>
      <c r="B111" s="2"/>
      <c r="C111" s="2"/>
      <c r="D111" s="2"/>
      <c r="E111" s="2"/>
      <c r="F111" s="2"/>
      <c r="G111" s="2"/>
      <c r="H111" s="2"/>
      <c r="I111" s="2"/>
      <c r="J111" s="2"/>
      <c r="K111" s="2"/>
      <c r="L111" s="2"/>
      <c r="M111" s="2"/>
      <c r="N111" s="2"/>
      <c r="O111" s="2"/>
      <c r="P111" s="2"/>
    </row>
    <row r="112" spans="1:16" ht="29" customHeight="1" x14ac:dyDescent="0.2">
      <c r="A112" s="2"/>
      <c r="B112" s="2"/>
      <c r="C112" s="2"/>
      <c r="D112" s="2"/>
      <c r="E112" s="2"/>
      <c r="F112" s="2"/>
      <c r="G112" s="2"/>
      <c r="H112" s="2"/>
      <c r="I112" s="2"/>
      <c r="J112" s="2"/>
      <c r="K112" s="2"/>
      <c r="L112" s="2"/>
      <c r="M112" s="2"/>
      <c r="N112" s="2"/>
      <c r="O112" s="2"/>
      <c r="P112" s="2"/>
    </row>
    <row r="113" spans="1:16" ht="29" customHeight="1" x14ac:dyDescent="0.2">
      <c r="A113" s="2"/>
      <c r="B113" s="2"/>
      <c r="C113" s="2"/>
      <c r="D113" s="2"/>
      <c r="E113" s="2"/>
      <c r="F113" s="2"/>
      <c r="G113" s="2"/>
      <c r="H113" s="2"/>
      <c r="I113" s="2"/>
      <c r="J113" s="2"/>
      <c r="K113" s="2"/>
      <c r="L113" s="2"/>
      <c r="M113" s="2"/>
      <c r="N113" s="2"/>
      <c r="O113" s="2"/>
      <c r="P113" s="2"/>
    </row>
    <row r="114" spans="1:16" ht="29" customHeight="1" x14ac:dyDescent="0.2">
      <c r="A114" s="2"/>
      <c r="B114" s="2"/>
      <c r="C114" s="2"/>
      <c r="D114" s="2"/>
      <c r="E114" s="2"/>
      <c r="F114" s="2"/>
      <c r="G114" s="2"/>
      <c r="H114" s="2"/>
      <c r="I114" s="2"/>
      <c r="J114" s="2"/>
      <c r="K114" s="2"/>
      <c r="L114" s="2"/>
      <c r="M114" s="2"/>
      <c r="N114" s="2"/>
      <c r="O114" s="2"/>
      <c r="P114" s="2"/>
    </row>
    <row r="115" spans="1:16" ht="29" customHeight="1" x14ac:dyDescent="0.2">
      <c r="A115" s="2"/>
      <c r="B115" s="2"/>
      <c r="C115" s="2"/>
      <c r="D115" s="2"/>
      <c r="E115" s="2"/>
      <c r="F115" s="2"/>
      <c r="G115" s="2"/>
      <c r="H115" s="2"/>
      <c r="I115" s="2"/>
      <c r="J115" s="2"/>
      <c r="K115" s="2"/>
      <c r="L115" s="2"/>
      <c r="M115" s="2"/>
      <c r="N115" s="2"/>
      <c r="O115" s="2"/>
      <c r="P115" s="2"/>
    </row>
    <row r="116" spans="1:16" ht="29" customHeight="1" x14ac:dyDescent="0.2">
      <c r="A116" s="2"/>
      <c r="B116" s="2"/>
      <c r="C116" s="2"/>
      <c r="D116" s="2"/>
      <c r="E116" s="2"/>
      <c r="F116" s="2"/>
      <c r="G116" s="2"/>
      <c r="H116" s="2"/>
      <c r="I116" s="2"/>
      <c r="J116" s="2"/>
      <c r="K116" s="2"/>
      <c r="L116" s="2"/>
      <c r="M116" s="2"/>
      <c r="N116" s="2"/>
      <c r="O116" s="2"/>
      <c r="P116" s="2"/>
    </row>
    <row r="117" spans="1:16" ht="29" customHeight="1" x14ac:dyDescent="0.2">
      <c r="A117" s="2"/>
      <c r="B117" s="2"/>
      <c r="C117" s="2"/>
      <c r="D117" s="2"/>
      <c r="E117" s="2"/>
      <c r="F117" s="2"/>
      <c r="G117" s="2"/>
      <c r="H117" s="2"/>
      <c r="I117" s="2"/>
      <c r="J117" s="2"/>
      <c r="K117" s="2"/>
      <c r="L117" s="2"/>
      <c r="M117" s="2"/>
      <c r="N117" s="2"/>
      <c r="O117" s="2"/>
      <c r="P117" s="2"/>
    </row>
    <row r="118" spans="1:16" ht="29" customHeight="1" x14ac:dyDescent="0.2">
      <c r="A118" s="2"/>
      <c r="B118" s="2"/>
      <c r="C118" s="2"/>
      <c r="D118" s="2"/>
      <c r="E118" s="2"/>
      <c r="F118" s="2"/>
      <c r="G118" s="2"/>
      <c r="H118" s="2"/>
      <c r="I118" s="2"/>
      <c r="J118" s="2"/>
      <c r="K118" s="2"/>
      <c r="L118" s="2"/>
      <c r="M118" s="2"/>
      <c r="N118" s="2"/>
      <c r="O118" s="2"/>
      <c r="P118" s="2"/>
    </row>
    <row r="119" spans="1:16" ht="29" customHeight="1" x14ac:dyDescent="0.2">
      <c r="A119" s="2"/>
      <c r="B119" s="2"/>
      <c r="C119" s="2"/>
      <c r="D119" s="2"/>
      <c r="E119" s="2"/>
      <c r="F119" s="2"/>
      <c r="G119" s="2"/>
      <c r="H119" s="2"/>
      <c r="I119" s="2"/>
      <c r="J119" s="2"/>
      <c r="K119" s="2"/>
      <c r="L119" s="2"/>
      <c r="M119" s="2"/>
      <c r="N119" s="2"/>
      <c r="O119" s="2"/>
      <c r="P119" s="2"/>
    </row>
    <row r="120" spans="1:16" ht="29" customHeight="1" x14ac:dyDescent="0.2">
      <c r="A120" s="2"/>
      <c r="B120" s="2"/>
      <c r="C120" s="2"/>
      <c r="D120" s="2"/>
      <c r="E120" s="2"/>
      <c r="F120" s="2"/>
      <c r="G120" s="2"/>
      <c r="H120" s="2"/>
      <c r="I120" s="2"/>
      <c r="J120" s="2"/>
      <c r="K120" s="2"/>
      <c r="L120" s="2"/>
      <c r="M120" s="2"/>
      <c r="N120" s="2"/>
      <c r="O120" s="2"/>
      <c r="P120" s="2"/>
    </row>
    <row r="121" spans="1:16" ht="29" customHeight="1" x14ac:dyDescent="0.2">
      <c r="A121" s="2"/>
      <c r="B121" s="2"/>
      <c r="C121" s="2"/>
      <c r="D121" s="2"/>
      <c r="E121" s="2"/>
      <c r="F121" s="2"/>
      <c r="G121" s="2"/>
      <c r="H121" s="2"/>
      <c r="I121" s="2"/>
      <c r="J121" s="2"/>
      <c r="K121" s="2"/>
      <c r="L121" s="2"/>
      <c r="M121" s="2"/>
      <c r="N121" s="2"/>
      <c r="O121" s="2"/>
      <c r="P121" s="2"/>
    </row>
    <row r="122" spans="1:16" ht="29" customHeight="1" x14ac:dyDescent="0.2">
      <c r="A122" s="2"/>
      <c r="B122" s="2"/>
      <c r="C122" s="2"/>
      <c r="D122" s="2"/>
      <c r="E122" s="2"/>
      <c r="F122" s="2"/>
      <c r="G122" s="2"/>
      <c r="H122" s="2"/>
      <c r="I122" s="2"/>
      <c r="J122" s="2"/>
      <c r="K122" s="2"/>
      <c r="L122" s="2"/>
      <c r="M122" s="2"/>
      <c r="N122" s="2"/>
      <c r="O122" s="2"/>
      <c r="P122" s="2"/>
    </row>
    <row r="123" spans="1:16" ht="29" customHeight="1" x14ac:dyDescent="0.2">
      <c r="A123" s="2"/>
      <c r="B123" s="2"/>
      <c r="C123" s="2"/>
      <c r="D123" s="2"/>
      <c r="E123" s="2"/>
      <c r="F123" s="2"/>
      <c r="G123" s="2"/>
      <c r="H123" s="2"/>
      <c r="I123" s="2"/>
      <c r="J123" s="2"/>
      <c r="K123" s="2"/>
      <c r="L123" s="2"/>
      <c r="M123" s="2"/>
      <c r="N123" s="2"/>
      <c r="O123" s="2"/>
      <c r="P123" s="2"/>
    </row>
    <row r="124" spans="1:16" ht="29" customHeight="1" x14ac:dyDescent="0.2">
      <c r="A124" s="2"/>
      <c r="B124" s="2"/>
      <c r="C124" s="2"/>
      <c r="D124" s="2"/>
      <c r="E124" s="2"/>
      <c r="F124" s="2"/>
      <c r="G124" s="2"/>
      <c r="H124" s="2"/>
      <c r="I124" s="2"/>
      <c r="J124" s="2"/>
      <c r="K124" s="2"/>
      <c r="L124" s="2"/>
      <c r="M124" s="2"/>
      <c r="N124" s="2"/>
      <c r="O124" s="2"/>
      <c r="P124" s="2"/>
    </row>
    <row r="125" spans="1:16" ht="29" customHeight="1" x14ac:dyDescent="0.2">
      <c r="A125" s="2"/>
      <c r="B125" s="2"/>
      <c r="C125" s="2"/>
      <c r="D125" s="2"/>
      <c r="E125" s="2"/>
      <c r="F125" s="2"/>
      <c r="G125" s="2"/>
      <c r="H125" s="2"/>
      <c r="I125" s="2"/>
      <c r="J125" s="2"/>
      <c r="K125" s="2"/>
      <c r="L125" s="2"/>
      <c r="M125" s="2"/>
      <c r="N125" s="2"/>
      <c r="O125" s="2"/>
      <c r="P125" s="2"/>
    </row>
    <row r="126" spans="1:16" ht="29" customHeight="1" x14ac:dyDescent="0.2">
      <c r="A126" s="2"/>
      <c r="B126" s="2"/>
      <c r="C126" s="2"/>
      <c r="D126" s="2"/>
      <c r="E126" s="2"/>
      <c r="F126" s="2"/>
      <c r="G126" s="2"/>
      <c r="H126" s="2"/>
      <c r="I126" s="2"/>
      <c r="J126" s="2"/>
      <c r="K126" s="2"/>
      <c r="L126" s="2"/>
      <c r="M126" s="2"/>
      <c r="N126" s="2"/>
      <c r="O126" s="2"/>
      <c r="P126" s="2"/>
    </row>
    <row r="127" spans="1:16" ht="29" customHeight="1" x14ac:dyDescent="0.2">
      <c r="A127" s="2"/>
      <c r="B127" s="2"/>
      <c r="C127" s="2"/>
      <c r="D127" s="2"/>
      <c r="E127" s="2"/>
      <c r="F127" s="2"/>
      <c r="G127" s="2"/>
      <c r="H127" s="2"/>
      <c r="I127" s="2"/>
      <c r="J127" s="2"/>
      <c r="K127" s="2"/>
      <c r="L127" s="2"/>
      <c r="M127" s="2"/>
      <c r="N127" s="2"/>
      <c r="O127" s="2"/>
      <c r="P127" s="2"/>
    </row>
    <row r="128" spans="1:16" ht="16" x14ac:dyDescent="0.2">
      <c r="A128" s="2"/>
      <c r="B128" s="2"/>
      <c r="C128" s="2"/>
      <c r="D128" s="2"/>
      <c r="E128" s="2"/>
      <c r="F128" s="2"/>
      <c r="G128" s="2"/>
      <c r="H128" s="2"/>
      <c r="I128" s="2"/>
      <c r="J128" s="2"/>
      <c r="K128" s="2"/>
      <c r="L128" s="2"/>
      <c r="M128" s="2"/>
      <c r="N128" s="2"/>
      <c r="O128" s="2"/>
      <c r="P128" s="2"/>
    </row>
    <row r="129" spans="1:16" ht="16" x14ac:dyDescent="0.2">
      <c r="A129" s="2"/>
      <c r="B129" s="2"/>
      <c r="C129" s="2"/>
      <c r="D129" s="2"/>
      <c r="E129" s="2"/>
      <c r="F129" s="2"/>
      <c r="G129" s="2"/>
      <c r="H129" s="2"/>
      <c r="I129" s="2"/>
      <c r="J129" s="2"/>
      <c r="K129" s="2"/>
      <c r="L129" s="2"/>
      <c r="M129" s="2"/>
      <c r="N129" s="2"/>
      <c r="O129" s="2"/>
      <c r="P129" s="2"/>
    </row>
    <row r="130" spans="1:16" ht="16" x14ac:dyDescent="0.2">
      <c r="A130" s="2"/>
      <c r="B130" s="2"/>
      <c r="C130" s="2"/>
      <c r="D130" s="2"/>
      <c r="E130" s="2"/>
      <c r="F130" s="2"/>
      <c r="G130" s="2"/>
      <c r="H130" s="2"/>
      <c r="I130" s="2"/>
      <c r="J130" s="2"/>
      <c r="K130" s="2"/>
      <c r="L130" s="2"/>
      <c r="M130" s="2"/>
      <c r="N130" s="2"/>
      <c r="O130" s="2"/>
      <c r="P130" s="2"/>
    </row>
    <row r="131" spans="1:16" ht="16" x14ac:dyDescent="0.2">
      <c r="A131" s="2"/>
      <c r="B131" s="2"/>
      <c r="C131" s="2"/>
      <c r="D131" s="2"/>
      <c r="E131" s="2"/>
      <c r="F131" s="2"/>
      <c r="G131" s="2"/>
      <c r="H131" s="2"/>
      <c r="I131" s="2"/>
      <c r="J131" s="2"/>
      <c r="K131" s="2"/>
      <c r="L131" s="2"/>
      <c r="M131" s="2"/>
      <c r="N131" s="2"/>
      <c r="O131" s="2"/>
      <c r="P131" s="2"/>
    </row>
    <row r="132" spans="1:16" ht="16" x14ac:dyDescent="0.2">
      <c r="A132" s="2"/>
      <c r="B132" s="2"/>
      <c r="C132" s="2"/>
      <c r="D132" s="2"/>
      <c r="E132" s="2"/>
      <c r="F132" s="2"/>
      <c r="G132" s="2"/>
      <c r="H132" s="2"/>
      <c r="I132" s="2"/>
      <c r="J132" s="2"/>
      <c r="K132" s="2"/>
      <c r="L132" s="2"/>
      <c r="M132" s="2"/>
      <c r="N132" s="2"/>
      <c r="O132" s="2"/>
      <c r="P132" s="2"/>
    </row>
    <row r="133" spans="1:16" ht="16" x14ac:dyDescent="0.2">
      <c r="A133" s="2"/>
      <c r="B133" s="2"/>
      <c r="C133" s="2"/>
      <c r="D133" s="2"/>
      <c r="E133" s="2"/>
      <c r="F133" s="2"/>
      <c r="G133" s="2"/>
      <c r="H133" s="2"/>
      <c r="I133" s="2"/>
      <c r="J133" s="2"/>
      <c r="K133" s="2"/>
      <c r="L133" s="2"/>
      <c r="M133" s="2"/>
      <c r="N133" s="2"/>
      <c r="O133" s="2"/>
      <c r="P133" s="2"/>
    </row>
    <row r="134" spans="1:16" ht="16" x14ac:dyDescent="0.2">
      <c r="A134" s="2"/>
      <c r="B134" s="2"/>
      <c r="C134" s="2"/>
      <c r="D134" s="2"/>
      <c r="E134" s="2"/>
      <c r="F134" s="2"/>
      <c r="G134" s="2"/>
      <c r="H134" s="2"/>
      <c r="I134" s="2"/>
      <c r="J134" s="2"/>
      <c r="K134" s="2"/>
      <c r="L134" s="2"/>
      <c r="M134" s="2"/>
      <c r="N134" s="2"/>
      <c r="O134" s="2"/>
      <c r="P134" s="2"/>
    </row>
    <row r="135" spans="1:16" ht="16" x14ac:dyDescent="0.2">
      <c r="A135" s="2"/>
      <c r="B135" s="2"/>
      <c r="C135" s="2"/>
      <c r="D135" s="2"/>
      <c r="E135" s="2"/>
      <c r="F135" s="2"/>
      <c r="G135" s="2"/>
      <c r="H135" s="2"/>
      <c r="I135" s="2"/>
      <c r="J135" s="2"/>
      <c r="K135" s="2"/>
      <c r="L135" s="2"/>
      <c r="M135" s="2"/>
      <c r="N135" s="2"/>
      <c r="O135" s="2"/>
      <c r="P135" s="2"/>
    </row>
    <row r="136" spans="1:16" ht="16" x14ac:dyDescent="0.2">
      <c r="A136" s="2"/>
      <c r="B136" s="2"/>
      <c r="C136" s="2"/>
      <c r="D136" s="2"/>
      <c r="E136" s="2"/>
      <c r="F136" s="2"/>
      <c r="G136" s="2"/>
      <c r="H136" s="2"/>
      <c r="I136" s="2"/>
      <c r="J136" s="2"/>
      <c r="K136" s="2"/>
      <c r="L136" s="2"/>
      <c r="M136" s="2"/>
      <c r="N136" s="2"/>
      <c r="O136" s="2"/>
      <c r="P136" s="2"/>
    </row>
    <row r="137" spans="1:16" ht="16" x14ac:dyDescent="0.2">
      <c r="A137" s="2"/>
      <c r="B137" s="2"/>
      <c r="C137" s="2"/>
      <c r="D137" s="2"/>
      <c r="E137" s="2"/>
      <c r="F137" s="2"/>
      <c r="G137" s="2"/>
      <c r="H137" s="2"/>
      <c r="I137" s="2"/>
      <c r="J137" s="2"/>
      <c r="K137" s="2"/>
      <c r="L137" s="2"/>
      <c r="M137" s="2"/>
      <c r="N137" s="2"/>
      <c r="O137" s="2"/>
      <c r="P137" s="2"/>
    </row>
    <row r="138" spans="1:16" ht="16" x14ac:dyDescent="0.2">
      <c r="A138" s="2"/>
      <c r="B138" s="2"/>
      <c r="C138" s="2"/>
      <c r="D138" s="2"/>
      <c r="E138" s="2"/>
      <c r="F138" s="2"/>
      <c r="G138" s="2"/>
      <c r="H138" s="2"/>
      <c r="I138" s="2"/>
      <c r="J138" s="2"/>
      <c r="K138" s="2"/>
      <c r="L138" s="2"/>
      <c r="M138" s="2"/>
      <c r="N138" s="2"/>
      <c r="O138" s="2"/>
      <c r="P138" s="2"/>
    </row>
    <row r="139" spans="1:16" ht="16" x14ac:dyDescent="0.2">
      <c r="A139" s="2"/>
      <c r="B139" s="2"/>
      <c r="C139" s="2"/>
      <c r="D139" s="2"/>
      <c r="E139" s="2"/>
      <c r="F139" s="2"/>
      <c r="G139" s="2"/>
      <c r="H139" s="2"/>
      <c r="I139" s="2"/>
      <c r="J139" s="2"/>
      <c r="K139" s="2"/>
      <c r="L139" s="2"/>
      <c r="M139" s="2"/>
      <c r="N139" s="2"/>
      <c r="O139" s="2"/>
      <c r="P139" s="2"/>
    </row>
    <row r="140" spans="1:16" ht="16" x14ac:dyDescent="0.2">
      <c r="A140" s="2"/>
      <c r="B140" s="2"/>
      <c r="C140" s="2"/>
      <c r="D140" s="2"/>
      <c r="E140" s="2"/>
      <c r="F140" s="2"/>
      <c r="G140" s="2"/>
      <c r="H140" s="2"/>
      <c r="I140" s="2"/>
      <c r="J140" s="2"/>
      <c r="K140" s="2"/>
      <c r="L140" s="2"/>
      <c r="M140" s="2"/>
      <c r="N140" s="2"/>
      <c r="O140" s="2"/>
      <c r="P140" s="2"/>
    </row>
    <row r="141" spans="1:16" ht="16" x14ac:dyDescent="0.2">
      <c r="A141" s="2"/>
      <c r="B141" s="2"/>
      <c r="C141" s="2"/>
      <c r="D141" s="2"/>
      <c r="E141" s="2"/>
      <c r="F141" s="2"/>
      <c r="G141" s="2"/>
      <c r="H141" s="2"/>
      <c r="I141" s="2"/>
      <c r="J141" s="2"/>
      <c r="K141" s="2"/>
      <c r="L141" s="2"/>
      <c r="M141" s="2"/>
      <c r="N141" s="2"/>
      <c r="O141" s="2"/>
      <c r="P141" s="2"/>
    </row>
    <row r="142" spans="1:16" ht="16" x14ac:dyDescent="0.2">
      <c r="A142" s="2"/>
      <c r="B142" s="2"/>
      <c r="C142" s="2"/>
      <c r="D142" s="2"/>
      <c r="E142" s="2"/>
      <c r="F142" s="2"/>
      <c r="G142" s="2"/>
      <c r="H142" s="2"/>
      <c r="I142" s="2"/>
      <c r="J142" s="2"/>
      <c r="K142" s="2"/>
      <c r="L142" s="2"/>
      <c r="M142" s="2"/>
      <c r="N142" s="2"/>
      <c r="O142" s="2"/>
      <c r="P142" s="2"/>
    </row>
    <row r="143" spans="1:16" ht="16" x14ac:dyDescent="0.2">
      <c r="A143" s="2"/>
      <c r="B143" s="2"/>
      <c r="C143" s="2"/>
      <c r="D143" s="2"/>
      <c r="E143" s="2"/>
      <c r="F143" s="2"/>
      <c r="G143" s="2"/>
      <c r="H143" s="2"/>
      <c r="I143" s="2"/>
      <c r="J143" s="2"/>
      <c r="K143" s="2"/>
      <c r="L143" s="2"/>
      <c r="M143" s="2"/>
      <c r="N143" s="2"/>
      <c r="O143" s="2"/>
      <c r="P143" s="2"/>
    </row>
    <row r="144" spans="1:16" ht="16" x14ac:dyDescent="0.2">
      <c r="A144" s="2"/>
      <c r="B144" s="2"/>
      <c r="C144" s="2"/>
      <c r="D144" s="2"/>
      <c r="E144" s="2"/>
      <c r="F144" s="2"/>
      <c r="G144" s="2"/>
      <c r="H144" s="2"/>
      <c r="I144" s="2"/>
      <c r="J144" s="2"/>
      <c r="K144" s="2"/>
      <c r="L144" s="2"/>
      <c r="M144" s="2"/>
      <c r="N144" s="2"/>
      <c r="O144" s="2"/>
      <c r="P144" s="2"/>
    </row>
    <row r="145" spans="2:16" ht="16" x14ac:dyDescent="0.2">
      <c r="B145" s="2"/>
      <c r="C145" s="2"/>
      <c r="D145" s="2"/>
      <c r="E145" s="2"/>
      <c r="F145" s="2"/>
      <c r="G145" s="2"/>
      <c r="H145" s="2"/>
      <c r="I145" s="2"/>
      <c r="J145" s="2"/>
      <c r="K145" s="2"/>
      <c r="L145" s="2"/>
      <c r="M145" s="2"/>
      <c r="N145" s="2"/>
      <c r="O145" s="2"/>
      <c r="P145" s="2"/>
    </row>
    <row r="146" spans="2:16" ht="16" x14ac:dyDescent="0.2">
      <c r="B146" s="2"/>
      <c r="C146" s="2"/>
      <c r="D146" s="2"/>
      <c r="E146" s="2"/>
      <c r="F146" s="2"/>
      <c r="G146" s="2"/>
      <c r="H146" s="2"/>
      <c r="I146" s="2"/>
      <c r="J146" s="2"/>
      <c r="K146" s="2"/>
      <c r="L146" s="2"/>
      <c r="M146" s="2"/>
      <c r="N146" s="2"/>
      <c r="O146" s="2"/>
      <c r="P146" s="2"/>
    </row>
    <row r="147" spans="2:16" ht="16" x14ac:dyDescent="0.2">
      <c r="B147" s="2"/>
      <c r="C147" s="2"/>
      <c r="D147" s="2"/>
      <c r="E147" s="2"/>
      <c r="F147" s="2"/>
      <c r="G147" s="2"/>
      <c r="H147" s="2"/>
      <c r="I147" s="2"/>
      <c r="J147" s="2"/>
      <c r="K147" s="2"/>
      <c r="L147" s="2"/>
      <c r="M147" s="2"/>
      <c r="N147" s="2"/>
      <c r="O147" s="2"/>
      <c r="P147" s="2"/>
    </row>
    <row r="148" spans="2:16" ht="16" x14ac:dyDescent="0.2">
      <c r="B148" s="2"/>
      <c r="C148" s="2"/>
      <c r="D148" s="2"/>
      <c r="E148" s="2"/>
      <c r="F148" s="2"/>
      <c r="G148" s="2"/>
      <c r="H148" s="2"/>
      <c r="I148" s="2"/>
      <c r="J148" s="2"/>
      <c r="K148" s="2"/>
      <c r="L148" s="2"/>
      <c r="M148" s="2"/>
      <c r="N148" s="2"/>
      <c r="O148" s="2"/>
      <c r="P148" s="2"/>
    </row>
    <row r="149" spans="2:16" ht="16" x14ac:dyDescent="0.2">
      <c r="B149" s="2"/>
      <c r="C149" s="2"/>
      <c r="D149" s="2"/>
      <c r="E149" s="2"/>
      <c r="F149" s="2"/>
      <c r="G149" s="2"/>
      <c r="H149" s="2"/>
      <c r="I149" s="2"/>
      <c r="J149" s="2"/>
      <c r="K149" s="2"/>
      <c r="L149" s="2"/>
      <c r="M149" s="2"/>
      <c r="N149" s="2"/>
      <c r="O149" s="2"/>
      <c r="P149" s="2"/>
    </row>
    <row r="150" spans="2:16" ht="16" x14ac:dyDescent="0.2">
      <c r="B150" s="2"/>
      <c r="C150" s="2"/>
      <c r="D150" s="2"/>
      <c r="E150" s="2"/>
      <c r="F150" s="2"/>
      <c r="G150" s="2"/>
      <c r="H150" s="2"/>
      <c r="I150" s="2"/>
      <c r="J150" s="2"/>
      <c r="K150" s="2"/>
      <c r="L150" s="2"/>
      <c r="M150" s="2"/>
      <c r="N150" s="2"/>
      <c r="O150" s="2"/>
      <c r="P150" s="2"/>
    </row>
    <row r="151" spans="2:16" ht="16" x14ac:dyDescent="0.2">
      <c r="B151" s="2"/>
      <c r="C151" s="2"/>
      <c r="D151" s="2"/>
      <c r="E151" s="2"/>
      <c r="F151" s="2"/>
      <c r="G151" s="2"/>
      <c r="H151" s="2"/>
      <c r="I151" s="2"/>
      <c r="J151" s="2"/>
      <c r="K151" s="2"/>
      <c r="L151" s="2"/>
      <c r="M151" s="2"/>
      <c r="N151" s="2"/>
      <c r="O151" s="2"/>
      <c r="P151" s="2"/>
    </row>
    <row r="152" spans="2:16" ht="16" x14ac:dyDescent="0.2">
      <c r="B152" s="2"/>
      <c r="C152" s="2"/>
      <c r="D152" s="2"/>
      <c r="E152" s="2"/>
      <c r="F152" s="2"/>
      <c r="G152" s="2"/>
      <c r="H152" s="2"/>
      <c r="I152" s="2"/>
      <c r="J152" s="2"/>
      <c r="K152" s="2"/>
      <c r="L152" s="2"/>
      <c r="M152" s="2"/>
      <c r="N152" s="2"/>
      <c r="O152" s="2"/>
      <c r="P152" s="2"/>
    </row>
    <row r="153" spans="2:16" ht="16" x14ac:dyDescent="0.2">
      <c r="B153" s="2"/>
      <c r="C153" s="2"/>
      <c r="D153" s="2"/>
      <c r="E153" s="2"/>
      <c r="F153" s="2"/>
      <c r="G153" s="2"/>
      <c r="H153" s="2"/>
      <c r="I153" s="2"/>
      <c r="J153" s="2"/>
      <c r="K153" s="2"/>
      <c r="L153" s="2"/>
      <c r="M153" s="2"/>
      <c r="N153" s="2"/>
      <c r="O153" s="2"/>
      <c r="P153" s="2"/>
    </row>
    <row r="154" spans="2:16" ht="16" x14ac:dyDescent="0.2">
      <c r="B154" s="2"/>
      <c r="C154" s="2"/>
      <c r="D154" s="2"/>
      <c r="E154" s="2"/>
      <c r="F154" s="2"/>
      <c r="G154" s="2"/>
      <c r="H154" s="2"/>
      <c r="I154" s="2"/>
      <c r="J154" s="2"/>
      <c r="K154" s="2"/>
      <c r="L154" s="2"/>
      <c r="M154" s="2"/>
      <c r="N154" s="2"/>
      <c r="O154" s="2"/>
      <c r="P154" s="2"/>
    </row>
    <row r="155" spans="2:16" ht="16" x14ac:dyDescent="0.2">
      <c r="B155" s="2"/>
      <c r="C155" s="2"/>
      <c r="D155" s="2"/>
      <c r="E155" s="2"/>
      <c r="F155" s="2"/>
      <c r="G155" s="2"/>
      <c r="H155" s="2"/>
      <c r="I155" s="2"/>
      <c r="J155" s="2"/>
      <c r="K155" s="2"/>
      <c r="L155" s="2"/>
      <c r="M155" s="2"/>
      <c r="N155" s="2"/>
      <c r="O155" s="2"/>
      <c r="P155" s="2"/>
    </row>
    <row r="156" spans="2:16" ht="16" x14ac:dyDescent="0.2">
      <c r="B156" s="2"/>
      <c r="C156" s="2"/>
      <c r="D156" s="2"/>
      <c r="E156" s="2"/>
      <c r="F156" s="2"/>
      <c r="G156" s="2"/>
      <c r="H156" s="2"/>
      <c r="I156" s="2"/>
      <c r="J156" s="2"/>
      <c r="K156" s="2"/>
      <c r="L156" s="2"/>
      <c r="M156" s="2"/>
      <c r="N156" s="2"/>
      <c r="O156" s="2"/>
      <c r="P156" s="2"/>
    </row>
    <row r="157" spans="2:16" ht="16" x14ac:dyDescent="0.2">
      <c r="J157" s="2"/>
      <c r="K157" s="2"/>
      <c r="L157" s="2"/>
      <c r="M157" s="2"/>
      <c r="N157" s="2"/>
      <c r="O157" s="2"/>
      <c r="P157" s="2"/>
    </row>
    <row r="158" spans="2:16" ht="16" x14ac:dyDescent="0.2">
      <c r="J158" s="2"/>
      <c r="K158" s="2"/>
      <c r="L158" s="2"/>
      <c r="M158" s="2"/>
      <c r="N158" s="2"/>
      <c r="O158" s="2"/>
      <c r="P158" s="2"/>
    </row>
  </sheetData>
  <mergeCells count="6">
    <mergeCell ref="C15:E15"/>
    <mergeCell ref="B2:D2"/>
    <mergeCell ref="B5:D5"/>
    <mergeCell ref="C8:D8"/>
    <mergeCell ref="B11:F12"/>
    <mergeCell ref="C14:E14"/>
  </mergeCells>
  <conditionalFormatting sqref="D9">
    <cfRule type="containsText" dxfId="8" priority="1" operator="containsText" text="Pas ok">
      <formula>NOT(ISERROR(SEARCH("Pas ok",D9)))</formula>
    </cfRule>
    <cfRule type="containsText" dxfId="7" priority="2" operator="containsText" text="Calcul brouillon, ordre de grandeur">
      <formula>NOT(ISERROR(SEARCH("Calcul brouillon, ordre de grandeur",D9)))</formula>
    </cfRule>
    <cfRule type="containsText" dxfId="6" priority="3" operator="containsText" text="Bon ordre de grandeur">
      <formula>NOT(ISERROR(SEARCH("Bon ordre de grandeur",D9)))</formula>
    </cfRule>
    <cfRule type="containsText" dxfId="5" priority="4" operator="containsText" text="Calcul validé">
      <formula>NOT(ISERROR(SEARCH("Calcul validé",D9)))</formula>
    </cfRule>
    <cfRule type="containsText" dxfId="4" priority="5" operator="containsText" text="Pas ok">
      <formula>NOT(ISERROR(SEARCH("Pas ok",D9)))</formula>
    </cfRule>
    <cfRule type="containsText" dxfId="3" priority="6" operator="containsText" text="Calcul brouillon, ordre de grandeur">
      <formula>NOT(ISERROR(SEARCH("Calcul brouillon, ordre de grandeur",D9)))</formula>
    </cfRule>
    <cfRule type="containsText" dxfId="2" priority="7" operator="containsText" text="Bon ordre de grandeur">
      <formula>NOT(ISERROR(SEARCH("Bon ordre de grandeur",D9)))</formula>
    </cfRule>
    <cfRule type="containsText" dxfId="1" priority="8" operator="containsText" text="Calcul validé">
      <formula>NOT(ISERROR(SEARCH("Calcul validé",D9)))</formula>
    </cfRule>
  </conditionalFormatting>
  <conditionalFormatting sqref="D9:E9">
    <cfRule type="containsText" dxfId="0" priority="9" operator="containsText" text="Calcul brouillon, odg">
      <formula>NOT(ISERROR(SEARCH("Calcul brouillon, odg",D9)))</formula>
    </cfRule>
  </conditionalFormatting>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274"/>
  <sheetViews>
    <sheetView zoomScale="50" workbookViewId="0">
      <selection activeCell="J240" sqref="J240"/>
    </sheetView>
  </sheetViews>
  <sheetFormatPr baseColWidth="10" defaultColWidth="10.85546875" defaultRowHeight="16" outlineLevelRow="1" x14ac:dyDescent="0.2"/>
  <cols>
    <col min="1" max="1" width="10.85546875" style="55" customWidth="1"/>
    <col min="2" max="2" width="38.42578125" style="55" customWidth="1"/>
    <col min="3" max="22" width="20.28515625" style="55" customWidth="1"/>
    <col min="23" max="23" width="23.5703125" style="337" customWidth="1"/>
    <col min="24" max="24" width="15.85546875" style="328" customWidth="1"/>
    <col min="25" max="16384" width="10.85546875" style="55"/>
  </cols>
  <sheetData>
    <row r="1" spans="1:24" s="2007" customFormat="1" ht="42" customHeight="1" x14ac:dyDescent="0.2">
      <c r="A1" s="2010" t="s">
        <v>2361</v>
      </c>
      <c r="B1" s="2006"/>
      <c r="C1" s="2006"/>
      <c r="D1" s="2006"/>
      <c r="E1" s="2006"/>
      <c r="W1" s="2008"/>
      <c r="X1" s="2009"/>
    </row>
    <row r="2" spans="1:24" ht="22" customHeight="1" x14ac:dyDescent="0.2"/>
    <row r="3" spans="1:24" ht="22" customHeight="1" x14ac:dyDescent="0.2">
      <c r="B3" s="1378"/>
    </row>
    <row r="4" spans="1:24" ht="30" customHeight="1" x14ac:dyDescent="0.2">
      <c r="B4" s="1379" t="s">
        <v>1407</v>
      </c>
      <c r="F4" s="219"/>
    </row>
    <row r="5" spans="1:24" ht="32" customHeight="1" x14ac:dyDescent="0.2">
      <c r="B5" s="1379"/>
      <c r="F5" s="219"/>
    </row>
    <row r="6" spans="1:24" ht="33" customHeight="1" x14ac:dyDescent="0.2">
      <c r="B6" s="1380" t="s">
        <v>1400</v>
      </c>
      <c r="F6" s="219"/>
    </row>
    <row r="7" spans="1:24" ht="32" hidden="1" customHeight="1" outlineLevel="1" thickBot="1" x14ac:dyDescent="0.25">
      <c r="B7" s="118"/>
      <c r="F7" s="219"/>
    </row>
    <row r="8" spans="1:24" ht="38" hidden="1" customHeight="1" outlineLevel="1" x14ac:dyDescent="0.2">
      <c r="B8" s="1376" t="s">
        <v>26</v>
      </c>
      <c r="C8" s="3153" t="s">
        <v>1762</v>
      </c>
      <c r="D8" s="3154"/>
      <c r="E8" s="3154"/>
      <c r="F8" s="3154"/>
      <c r="G8" s="3154"/>
      <c r="H8" s="3154"/>
      <c r="I8" s="3154"/>
      <c r="J8" s="3154"/>
      <c r="K8" s="3154"/>
      <c r="L8" s="3154"/>
      <c r="M8" s="3154"/>
      <c r="N8" s="3154"/>
      <c r="O8" s="3154"/>
      <c r="P8" s="3154"/>
      <c r="Q8" s="3155"/>
    </row>
    <row r="9" spans="1:24" ht="38" hidden="1" customHeight="1" outlineLevel="1" thickBot="1" x14ac:dyDescent="0.25">
      <c r="B9" s="1377" t="s">
        <v>27</v>
      </c>
      <c r="C9" s="3156" t="s">
        <v>1420</v>
      </c>
      <c r="D9" s="3157"/>
      <c r="E9" s="3157"/>
      <c r="F9" s="3157"/>
      <c r="G9" s="3157"/>
      <c r="H9" s="3157"/>
      <c r="I9" s="3157"/>
      <c r="J9" s="3157"/>
      <c r="K9" s="3157"/>
      <c r="L9" s="3157"/>
      <c r="M9" s="3157"/>
      <c r="N9" s="3157"/>
      <c r="O9" s="3157"/>
      <c r="P9" s="3157"/>
      <c r="Q9" s="3158"/>
    </row>
    <row r="10" spans="1:24" ht="20" hidden="1" customHeight="1" outlineLevel="1" x14ac:dyDescent="0.2">
      <c r="B10" s="780"/>
      <c r="C10" s="1381"/>
      <c r="D10" s="477"/>
      <c r="E10" s="477"/>
    </row>
    <row r="11" spans="1:24" s="328" customFormat="1" ht="20" hidden="1" customHeight="1" outlineLevel="1" thickBot="1" x14ac:dyDescent="0.25"/>
    <row r="12" spans="1:24" ht="26" hidden="1" customHeight="1" outlineLevel="1" thickBot="1" x14ac:dyDescent="0.25">
      <c r="B12" s="3166" t="s">
        <v>1226</v>
      </c>
      <c r="C12" s="3167"/>
      <c r="D12" s="3167"/>
      <c r="E12" s="3167"/>
      <c r="F12" s="3167"/>
      <c r="G12" s="3167"/>
      <c r="H12" s="3167"/>
      <c r="I12" s="3167"/>
      <c r="J12" s="3167"/>
      <c r="K12" s="3167"/>
      <c r="L12" s="3167"/>
      <c r="M12" s="3167"/>
      <c r="N12" s="3167"/>
      <c r="O12" s="3167"/>
      <c r="P12" s="3167"/>
      <c r="Q12" s="3167"/>
      <c r="R12" s="3167"/>
      <c r="S12" s="3167"/>
      <c r="T12" s="3167"/>
      <c r="U12" s="3167"/>
      <c r="V12" s="3167"/>
      <c r="W12" s="3167"/>
      <c r="X12" s="3168"/>
    </row>
    <row r="13" spans="1:24" s="112" customFormat="1" ht="37" hidden="1" customHeight="1" outlineLevel="1" thickBot="1" x14ac:dyDescent="0.25">
      <c r="B13" s="1382" t="s">
        <v>1227</v>
      </c>
      <c r="C13" s="1383" t="s">
        <v>1228</v>
      </c>
      <c r="D13" s="1384" t="s">
        <v>1229</v>
      </c>
      <c r="E13" s="1384" t="s">
        <v>1230</v>
      </c>
      <c r="F13" s="1384" t="s">
        <v>1231</v>
      </c>
      <c r="G13" s="1384" t="s">
        <v>1232</v>
      </c>
      <c r="H13" s="1384" t="s">
        <v>1233</v>
      </c>
      <c r="I13" s="1384" t="s">
        <v>1234</v>
      </c>
      <c r="J13" s="1384" t="s">
        <v>1235</v>
      </c>
      <c r="K13" s="1384" t="s">
        <v>1236</v>
      </c>
      <c r="L13" s="1384" t="s">
        <v>1237</v>
      </c>
      <c r="M13" s="1384" t="s">
        <v>1238</v>
      </c>
      <c r="N13" s="1384" t="s">
        <v>1239</v>
      </c>
      <c r="O13" s="1384" t="s">
        <v>1240</v>
      </c>
      <c r="P13" s="1384" t="s">
        <v>1241</v>
      </c>
      <c r="Q13" s="1384" t="s">
        <v>1242</v>
      </c>
      <c r="R13" s="1384" t="s">
        <v>1243</v>
      </c>
      <c r="S13" s="1384" t="s">
        <v>1244</v>
      </c>
      <c r="T13" s="1384" t="s">
        <v>1245</v>
      </c>
      <c r="U13" s="1384" t="s">
        <v>1246</v>
      </c>
      <c r="V13" s="1384" t="s">
        <v>1247</v>
      </c>
      <c r="W13" s="1382" t="s">
        <v>1382</v>
      </c>
      <c r="X13" s="1385" t="s">
        <v>1383</v>
      </c>
    </row>
    <row r="14" spans="1:24" hidden="1" outlineLevel="1" x14ac:dyDescent="0.2">
      <c r="B14" s="1386" t="s">
        <v>1228</v>
      </c>
      <c r="C14" s="1387"/>
      <c r="D14" s="1252">
        <v>769</v>
      </c>
      <c r="E14" s="1252">
        <v>958</v>
      </c>
      <c r="F14" s="1252">
        <v>227</v>
      </c>
      <c r="G14" s="1252">
        <v>963</v>
      </c>
      <c r="H14" s="1252">
        <v>798</v>
      </c>
      <c r="I14" s="1252">
        <v>1152</v>
      </c>
      <c r="J14" s="1252">
        <v>1005</v>
      </c>
      <c r="K14" s="1252">
        <v>1062</v>
      </c>
      <c r="L14" s="1252">
        <v>439</v>
      </c>
      <c r="M14" s="1252">
        <v>231</v>
      </c>
      <c r="N14" s="1252">
        <v>315</v>
      </c>
      <c r="O14" s="1252">
        <v>530</v>
      </c>
      <c r="P14" s="1252">
        <v>919</v>
      </c>
      <c r="Q14" s="1252">
        <v>1049</v>
      </c>
      <c r="R14" s="1252">
        <v>745</v>
      </c>
      <c r="S14" s="1252">
        <v>1260</v>
      </c>
      <c r="T14" s="1252">
        <v>894</v>
      </c>
      <c r="U14" s="1252">
        <v>1068</v>
      </c>
      <c r="V14" s="1252">
        <v>624</v>
      </c>
      <c r="W14" s="1388">
        <v>7315</v>
      </c>
      <c r="X14" s="1389">
        <v>10660</v>
      </c>
    </row>
    <row r="15" spans="1:24" hidden="1" outlineLevel="1" x14ac:dyDescent="0.2">
      <c r="B15" s="1390" t="s">
        <v>1229</v>
      </c>
      <c r="C15" s="1253">
        <v>769</v>
      </c>
      <c r="D15" s="1391"/>
      <c r="E15" s="77">
        <v>406</v>
      </c>
      <c r="F15" s="77">
        <v>789</v>
      </c>
      <c r="G15" s="77">
        <v>303</v>
      </c>
      <c r="H15" s="77">
        <v>77</v>
      </c>
      <c r="I15" s="77">
        <v>627</v>
      </c>
      <c r="J15" s="77">
        <v>494</v>
      </c>
      <c r="K15" s="77">
        <v>385</v>
      </c>
      <c r="L15" s="77">
        <v>626</v>
      </c>
      <c r="M15" s="77">
        <v>767</v>
      </c>
      <c r="N15" s="77">
        <v>610</v>
      </c>
      <c r="O15" s="77">
        <v>300</v>
      </c>
      <c r="P15" s="77">
        <v>169</v>
      </c>
      <c r="Q15" s="77">
        <v>363</v>
      </c>
      <c r="R15" s="77">
        <v>485</v>
      </c>
      <c r="S15" s="77">
        <v>715</v>
      </c>
      <c r="T15" s="77">
        <v>206</v>
      </c>
      <c r="U15" s="77">
        <v>473</v>
      </c>
      <c r="V15" s="77">
        <v>610</v>
      </c>
      <c r="W15" s="1392">
        <v>15744</v>
      </c>
      <c r="X15" s="1393">
        <v>17924</v>
      </c>
    </row>
    <row r="16" spans="1:24" hidden="1" outlineLevel="1" x14ac:dyDescent="0.2">
      <c r="B16" s="1390" t="s">
        <v>1230</v>
      </c>
      <c r="C16" s="1253">
        <v>958</v>
      </c>
      <c r="D16" s="77">
        <v>406</v>
      </c>
      <c r="E16" s="1391"/>
      <c r="F16" s="77">
        <v>1084</v>
      </c>
      <c r="G16" s="77">
        <v>447</v>
      </c>
      <c r="H16" s="77">
        <v>428</v>
      </c>
      <c r="I16" s="77">
        <v>250</v>
      </c>
      <c r="J16" s="77">
        <v>90</v>
      </c>
      <c r="K16" s="77">
        <v>511</v>
      </c>
      <c r="L16" s="77">
        <v>771</v>
      </c>
      <c r="M16" s="77">
        <v>1062</v>
      </c>
      <c r="N16" s="77">
        <v>905</v>
      </c>
      <c r="O16" s="77">
        <v>596</v>
      </c>
      <c r="P16" s="77">
        <v>296</v>
      </c>
      <c r="Q16" s="77">
        <v>491</v>
      </c>
      <c r="R16" s="77">
        <v>773</v>
      </c>
      <c r="S16" s="77">
        <v>376</v>
      </c>
      <c r="T16" s="77">
        <v>430</v>
      </c>
      <c r="U16" s="77">
        <v>130</v>
      </c>
      <c r="V16" s="77">
        <v>635</v>
      </c>
      <c r="W16" s="1392">
        <v>9864</v>
      </c>
      <c r="X16" s="1393">
        <v>19800</v>
      </c>
    </row>
    <row r="17" spans="2:29" hidden="1" outlineLevel="1" x14ac:dyDescent="0.2">
      <c r="B17" s="1390" t="s">
        <v>1231</v>
      </c>
      <c r="C17" s="1253">
        <v>227</v>
      </c>
      <c r="D17" s="77">
        <v>789</v>
      </c>
      <c r="E17" s="77">
        <v>1084</v>
      </c>
      <c r="F17" s="1391"/>
      <c r="G17" s="77">
        <v>654</v>
      </c>
      <c r="H17" s="77">
        <v>867</v>
      </c>
      <c r="I17" s="77">
        <v>1332</v>
      </c>
      <c r="J17" s="77">
        <v>1166</v>
      </c>
      <c r="K17" s="77">
        <v>1180</v>
      </c>
      <c r="L17" s="77">
        <v>346</v>
      </c>
      <c r="M17" s="77">
        <v>22</v>
      </c>
      <c r="N17" s="77">
        <v>227</v>
      </c>
      <c r="O17" s="77">
        <v>494</v>
      </c>
      <c r="P17" s="77">
        <v>954</v>
      </c>
      <c r="Q17" s="77">
        <v>1159</v>
      </c>
      <c r="R17" s="77">
        <v>774</v>
      </c>
      <c r="S17" s="77">
        <v>1459</v>
      </c>
      <c r="T17" s="77">
        <v>978</v>
      </c>
      <c r="U17" s="77">
        <v>1226</v>
      </c>
      <c r="V17" s="77">
        <v>585</v>
      </c>
      <c r="W17" s="1392">
        <v>7084</v>
      </c>
      <c r="X17" s="1393">
        <v>18523</v>
      </c>
    </row>
    <row r="18" spans="2:29" hidden="1" outlineLevel="1" x14ac:dyDescent="0.2">
      <c r="B18" s="1390" t="s">
        <v>1232</v>
      </c>
      <c r="C18" s="1253">
        <v>963</v>
      </c>
      <c r="D18" s="77">
        <v>303</v>
      </c>
      <c r="E18" s="77">
        <v>447</v>
      </c>
      <c r="F18" s="77">
        <v>654</v>
      </c>
      <c r="G18" s="1391"/>
      <c r="H18" s="77">
        <v>443</v>
      </c>
      <c r="I18" s="77">
        <v>697</v>
      </c>
      <c r="J18" s="77">
        <v>537</v>
      </c>
      <c r="K18" s="77">
        <v>640</v>
      </c>
      <c r="L18" s="77">
        <v>335</v>
      </c>
      <c r="M18" s="77">
        <v>632</v>
      </c>
      <c r="N18" s="77">
        <v>476</v>
      </c>
      <c r="O18" s="77">
        <v>168</v>
      </c>
      <c r="P18" s="77">
        <v>425</v>
      </c>
      <c r="Q18" s="77">
        <v>619</v>
      </c>
      <c r="R18" s="77">
        <v>633</v>
      </c>
      <c r="S18" s="77">
        <v>823</v>
      </c>
      <c r="T18" s="77">
        <v>558</v>
      </c>
      <c r="U18" s="77">
        <v>589</v>
      </c>
      <c r="V18" s="77">
        <v>374</v>
      </c>
      <c r="W18" s="1392">
        <v>11383</v>
      </c>
      <c r="X18" s="1393">
        <v>13700</v>
      </c>
    </row>
    <row r="19" spans="2:29" hidden="1" outlineLevel="1" x14ac:dyDescent="0.2">
      <c r="B19" s="1390" t="s">
        <v>1233</v>
      </c>
      <c r="C19" s="1253">
        <v>798</v>
      </c>
      <c r="D19" s="77">
        <v>77</v>
      </c>
      <c r="E19" s="77">
        <v>428</v>
      </c>
      <c r="F19" s="77">
        <v>867</v>
      </c>
      <c r="G19" s="77">
        <v>443</v>
      </c>
      <c r="H19" s="1391"/>
      <c r="I19" s="77">
        <v>642</v>
      </c>
      <c r="J19" s="77">
        <v>524</v>
      </c>
      <c r="K19" s="77">
        <v>329</v>
      </c>
      <c r="L19" s="77">
        <v>677</v>
      </c>
      <c r="M19" s="77">
        <v>845</v>
      </c>
      <c r="N19" s="77">
        <v>688</v>
      </c>
      <c r="O19" s="77">
        <v>377</v>
      </c>
      <c r="P19" s="77">
        <v>183</v>
      </c>
      <c r="Q19" s="77">
        <v>308</v>
      </c>
      <c r="R19" s="77">
        <v>384</v>
      </c>
      <c r="S19" s="77">
        <v>730</v>
      </c>
      <c r="T19" s="77">
        <v>127</v>
      </c>
      <c r="U19" s="77">
        <v>488</v>
      </c>
      <c r="V19" s="77">
        <v>761</v>
      </c>
      <c r="W19" s="1392">
        <v>9650</v>
      </c>
      <c r="X19" s="1393">
        <v>20400</v>
      </c>
    </row>
    <row r="20" spans="2:29" hidden="1" outlineLevel="1" x14ac:dyDescent="0.2">
      <c r="B20" s="1390" t="s">
        <v>1234</v>
      </c>
      <c r="C20" s="1253">
        <v>1152</v>
      </c>
      <c r="D20" s="77">
        <v>627</v>
      </c>
      <c r="E20" s="77">
        <v>250</v>
      </c>
      <c r="F20" s="77">
        <v>1332</v>
      </c>
      <c r="G20" s="77">
        <v>697</v>
      </c>
      <c r="H20" s="77">
        <v>642</v>
      </c>
      <c r="I20" s="1391"/>
      <c r="J20" s="77">
        <v>173</v>
      </c>
      <c r="K20" s="77">
        <v>718</v>
      </c>
      <c r="L20" s="77">
        <v>994</v>
      </c>
      <c r="M20" s="77">
        <v>1310</v>
      </c>
      <c r="N20" s="77">
        <v>1154</v>
      </c>
      <c r="O20" s="77">
        <v>845</v>
      </c>
      <c r="P20" s="77">
        <v>503</v>
      </c>
      <c r="Q20" s="77">
        <v>697</v>
      </c>
      <c r="R20" s="77">
        <v>980</v>
      </c>
      <c r="S20" s="77">
        <v>135</v>
      </c>
      <c r="T20" s="77">
        <v>637</v>
      </c>
      <c r="U20" s="77">
        <v>153</v>
      </c>
      <c r="V20" s="77">
        <v>755</v>
      </c>
      <c r="W20" s="1392">
        <v>15022</v>
      </c>
      <c r="X20" s="1393">
        <v>18500</v>
      </c>
    </row>
    <row r="21" spans="2:29" hidden="1" outlineLevel="1" x14ac:dyDescent="0.2">
      <c r="B21" s="1390" t="s">
        <v>1235</v>
      </c>
      <c r="C21" s="1253">
        <v>1005</v>
      </c>
      <c r="D21" s="77">
        <v>494</v>
      </c>
      <c r="E21" s="77">
        <v>90</v>
      </c>
      <c r="F21" s="77">
        <v>1166</v>
      </c>
      <c r="G21" s="77">
        <v>537</v>
      </c>
      <c r="H21" s="77">
        <v>524</v>
      </c>
      <c r="I21" s="77">
        <v>173</v>
      </c>
      <c r="J21" s="1391"/>
      <c r="K21" s="77">
        <v>600</v>
      </c>
      <c r="L21" s="77">
        <v>825</v>
      </c>
      <c r="M21" s="77">
        <v>1144</v>
      </c>
      <c r="N21" s="77">
        <v>987</v>
      </c>
      <c r="O21" s="77">
        <v>685</v>
      </c>
      <c r="P21" s="77">
        <v>385</v>
      </c>
      <c r="Q21" s="77">
        <v>579</v>
      </c>
      <c r="R21" s="77">
        <v>862</v>
      </c>
      <c r="S21" s="77">
        <v>300</v>
      </c>
      <c r="T21" s="77">
        <v>519</v>
      </c>
      <c r="U21" s="77">
        <v>111</v>
      </c>
      <c r="V21" s="77">
        <v>586</v>
      </c>
      <c r="W21" s="1392">
        <v>29773</v>
      </c>
      <c r="X21" s="1393">
        <v>35320</v>
      </c>
    </row>
    <row r="22" spans="2:29" hidden="1" outlineLevel="1" x14ac:dyDescent="0.2">
      <c r="B22" s="1390" t="s">
        <v>1236</v>
      </c>
      <c r="C22" s="1253">
        <v>1062</v>
      </c>
      <c r="D22" s="77">
        <v>385</v>
      </c>
      <c r="E22" s="77">
        <v>511</v>
      </c>
      <c r="F22" s="77">
        <v>1180</v>
      </c>
      <c r="G22" s="77">
        <v>640</v>
      </c>
      <c r="H22" s="77">
        <v>329</v>
      </c>
      <c r="I22" s="77">
        <v>718</v>
      </c>
      <c r="J22" s="77">
        <v>600</v>
      </c>
      <c r="K22" s="1391"/>
      <c r="L22" s="77">
        <v>990</v>
      </c>
      <c r="M22" s="77">
        <v>1158</v>
      </c>
      <c r="N22" s="77">
        <v>1002</v>
      </c>
      <c r="O22" s="77">
        <v>691</v>
      </c>
      <c r="P22" s="77">
        <v>225</v>
      </c>
      <c r="Q22" s="77">
        <v>38</v>
      </c>
      <c r="R22" s="77">
        <v>521</v>
      </c>
      <c r="S22" s="77">
        <v>759</v>
      </c>
      <c r="T22" s="77">
        <v>198</v>
      </c>
      <c r="U22" s="77">
        <v>565</v>
      </c>
      <c r="V22" s="77">
        <v>894</v>
      </c>
      <c r="W22" s="1392">
        <v>36392</v>
      </c>
      <c r="X22" s="1393">
        <v>50150</v>
      </c>
    </row>
    <row r="23" spans="2:29" hidden="1" outlineLevel="1" x14ac:dyDescent="0.2">
      <c r="B23" s="1390" t="s">
        <v>1237</v>
      </c>
      <c r="C23" s="1253">
        <v>439</v>
      </c>
      <c r="D23" s="77">
        <v>626</v>
      </c>
      <c r="E23" s="77">
        <v>771</v>
      </c>
      <c r="F23" s="77">
        <v>346</v>
      </c>
      <c r="G23" s="77">
        <v>335</v>
      </c>
      <c r="H23" s="77">
        <v>677</v>
      </c>
      <c r="I23" s="77">
        <v>994</v>
      </c>
      <c r="J23" s="77">
        <v>825</v>
      </c>
      <c r="K23" s="77">
        <v>990</v>
      </c>
      <c r="L23" s="1391"/>
      <c r="M23" s="77">
        <v>324</v>
      </c>
      <c r="N23" s="77">
        <v>167</v>
      </c>
      <c r="O23" s="77">
        <v>301</v>
      </c>
      <c r="P23" s="77">
        <v>762</v>
      </c>
      <c r="Q23" s="77">
        <v>966</v>
      </c>
      <c r="R23" s="77">
        <v>787</v>
      </c>
      <c r="S23" s="77">
        <v>1126</v>
      </c>
      <c r="T23" s="77">
        <v>788</v>
      </c>
      <c r="U23" s="77">
        <v>916</v>
      </c>
      <c r="V23" s="77">
        <v>246</v>
      </c>
      <c r="W23" s="1392">
        <v>13602</v>
      </c>
      <c r="X23" s="1393">
        <v>22000</v>
      </c>
    </row>
    <row r="24" spans="2:29" hidden="1" outlineLevel="1" x14ac:dyDescent="0.2">
      <c r="B24" s="1390" t="s">
        <v>1238</v>
      </c>
      <c r="C24" s="1253">
        <v>231</v>
      </c>
      <c r="D24" s="77">
        <v>767</v>
      </c>
      <c r="E24" s="77">
        <v>1062</v>
      </c>
      <c r="F24" s="77">
        <v>22</v>
      </c>
      <c r="G24" s="77">
        <v>632</v>
      </c>
      <c r="H24" s="77">
        <v>845</v>
      </c>
      <c r="I24" s="77">
        <v>1310</v>
      </c>
      <c r="J24" s="77">
        <v>1144</v>
      </c>
      <c r="K24" s="77">
        <v>1158</v>
      </c>
      <c r="L24" s="77">
        <v>324</v>
      </c>
      <c r="M24" s="1391"/>
      <c r="N24" s="77">
        <v>199</v>
      </c>
      <c r="O24" s="77">
        <v>472</v>
      </c>
      <c r="P24" s="77">
        <v>933</v>
      </c>
      <c r="Q24" s="77">
        <v>1136</v>
      </c>
      <c r="R24" s="77">
        <v>787</v>
      </c>
      <c r="S24" s="77">
        <v>1438</v>
      </c>
      <c r="T24" s="77">
        <v>956</v>
      </c>
      <c r="U24" s="77">
        <v>1204</v>
      </c>
      <c r="V24" s="77">
        <v>561</v>
      </c>
      <c r="W24" s="1392">
        <v>22447</v>
      </c>
      <c r="X24" s="1393">
        <v>36170</v>
      </c>
      <c r="AC24" s="346"/>
    </row>
    <row r="25" spans="2:29" hidden="1" outlineLevel="1" x14ac:dyDescent="0.2">
      <c r="B25" s="1390" t="s">
        <v>1239</v>
      </c>
      <c r="C25" s="1253">
        <v>315</v>
      </c>
      <c r="D25" s="77">
        <v>610</v>
      </c>
      <c r="E25" s="77">
        <v>905</v>
      </c>
      <c r="F25" s="77">
        <v>227</v>
      </c>
      <c r="G25" s="77">
        <v>476</v>
      </c>
      <c r="H25" s="77">
        <v>688</v>
      </c>
      <c r="I25" s="77">
        <v>1154</v>
      </c>
      <c r="J25" s="77">
        <v>987</v>
      </c>
      <c r="K25" s="77">
        <v>1002</v>
      </c>
      <c r="L25" s="77">
        <v>167</v>
      </c>
      <c r="M25" s="77">
        <v>199</v>
      </c>
      <c r="N25" s="1391"/>
      <c r="O25" s="77">
        <v>315</v>
      </c>
      <c r="P25" s="77">
        <v>776</v>
      </c>
      <c r="Q25" s="77">
        <v>980</v>
      </c>
      <c r="R25" s="77">
        <v>801</v>
      </c>
      <c r="S25" s="77">
        <v>1282</v>
      </c>
      <c r="T25" s="77">
        <v>799</v>
      </c>
      <c r="U25" s="77">
        <v>1048</v>
      </c>
      <c r="V25" s="77">
        <v>404</v>
      </c>
      <c r="W25" s="1392">
        <v>62522</v>
      </c>
      <c r="X25" s="1393">
        <v>67390</v>
      </c>
    </row>
    <row r="26" spans="2:29" hidden="1" outlineLevel="1" x14ac:dyDescent="0.2">
      <c r="B26" s="1390" t="s">
        <v>1240</v>
      </c>
      <c r="C26" s="1253">
        <v>530</v>
      </c>
      <c r="D26" s="77">
        <v>300</v>
      </c>
      <c r="E26" s="77">
        <v>596</v>
      </c>
      <c r="F26" s="77">
        <v>494</v>
      </c>
      <c r="G26" s="77">
        <v>168</v>
      </c>
      <c r="H26" s="77">
        <v>377</v>
      </c>
      <c r="I26" s="77">
        <v>845</v>
      </c>
      <c r="J26" s="77">
        <v>685</v>
      </c>
      <c r="K26" s="77">
        <v>691</v>
      </c>
      <c r="L26" s="77">
        <v>301</v>
      </c>
      <c r="M26" s="77">
        <v>472</v>
      </c>
      <c r="N26" s="77">
        <v>315</v>
      </c>
      <c r="O26" s="1391"/>
      <c r="P26" s="77">
        <v>465</v>
      </c>
      <c r="Q26" s="77">
        <v>669</v>
      </c>
      <c r="R26" s="77">
        <v>490</v>
      </c>
      <c r="S26" s="77">
        <v>971</v>
      </c>
      <c r="T26" s="77">
        <v>489</v>
      </c>
      <c r="U26" s="77">
        <v>737</v>
      </c>
      <c r="V26" s="77">
        <v>538</v>
      </c>
      <c r="W26" s="1392">
        <v>47583</v>
      </c>
      <c r="X26" s="1393">
        <v>59180</v>
      </c>
    </row>
    <row r="27" spans="2:29" hidden="1" outlineLevel="1" x14ac:dyDescent="0.2">
      <c r="B27" s="1390" t="s">
        <v>1241</v>
      </c>
      <c r="C27" s="1253">
        <v>919</v>
      </c>
      <c r="D27" s="77">
        <v>169</v>
      </c>
      <c r="E27" s="77">
        <v>296</v>
      </c>
      <c r="F27" s="77">
        <v>954</v>
      </c>
      <c r="G27" s="77">
        <v>425</v>
      </c>
      <c r="H27" s="77">
        <v>183</v>
      </c>
      <c r="I27" s="77">
        <v>503</v>
      </c>
      <c r="J27" s="77">
        <v>385</v>
      </c>
      <c r="K27" s="77">
        <v>225</v>
      </c>
      <c r="L27" s="77">
        <v>762</v>
      </c>
      <c r="M27" s="77">
        <v>933</v>
      </c>
      <c r="N27" s="77">
        <v>776</v>
      </c>
      <c r="O27" s="77">
        <v>465</v>
      </c>
      <c r="P27" s="1391"/>
      <c r="Q27" s="77">
        <v>204</v>
      </c>
      <c r="R27" s="77">
        <v>487</v>
      </c>
      <c r="S27" s="77">
        <v>591</v>
      </c>
      <c r="T27" s="77">
        <v>143</v>
      </c>
      <c r="U27" s="77">
        <v>349</v>
      </c>
      <c r="V27" s="77">
        <v>678</v>
      </c>
      <c r="W27" s="1392">
        <v>47361</v>
      </c>
      <c r="X27" s="1393">
        <v>48580</v>
      </c>
    </row>
    <row r="28" spans="2:29" hidden="1" outlineLevel="1" x14ac:dyDescent="0.2">
      <c r="B28" s="1390" t="s">
        <v>1242</v>
      </c>
      <c r="C28" s="1253">
        <v>1049</v>
      </c>
      <c r="D28" s="77">
        <v>363</v>
      </c>
      <c r="E28" s="77">
        <v>491</v>
      </c>
      <c r="F28" s="77">
        <v>1159</v>
      </c>
      <c r="G28" s="77">
        <v>619</v>
      </c>
      <c r="H28" s="77">
        <v>308</v>
      </c>
      <c r="I28" s="77">
        <v>697</v>
      </c>
      <c r="J28" s="77">
        <v>579</v>
      </c>
      <c r="K28" s="77">
        <v>38</v>
      </c>
      <c r="L28" s="77">
        <v>966</v>
      </c>
      <c r="M28" s="77">
        <v>1136</v>
      </c>
      <c r="N28" s="77">
        <v>980</v>
      </c>
      <c r="O28" s="77">
        <v>669</v>
      </c>
      <c r="P28" s="77">
        <v>204</v>
      </c>
      <c r="Q28" s="1391"/>
      <c r="R28" s="77">
        <v>529</v>
      </c>
      <c r="S28" s="77">
        <v>738</v>
      </c>
      <c r="T28" s="77">
        <v>177</v>
      </c>
      <c r="U28" s="77">
        <v>544</v>
      </c>
      <c r="V28" s="77">
        <v>873</v>
      </c>
      <c r="W28" s="1392">
        <v>37719</v>
      </c>
      <c r="X28" s="1393">
        <v>38050</v>
      </c>
    </row>
    <row r="29" spans="2:29" hidden="1" outlineLevel="1" x14ac:dyDescent="0.2">
      <c r="B29" s="1390" t="s">
        <v>1243</v>
      </c>
      <c r="C29" s="1253">
        <v>745</v>
      </c>
      <c r="D29" s="77">
        <v>485</v>
      </c>
      <c r="E29" s="77">
        <v>773</v>
      </c>
      <c r="F29" s="77">
        <v>774</v>
      </c>
      <c r="G29" s="77">
        <v>633</v>
      </c>
      <c r="H29" s="77">
        <v>384</v>
      </c>
      <c r="I29" s="77">
        <v>980</v>
      </c>
      <c r="J29" s="77">
        <v>862</v>
      </c>
      <c r="K29" s="77">
        <v>521</v>
      </c>
      <c r="L29" s="77">
        <v>787</v>
      </c>
      <c r="M29" s="77">
        <v>787</v>
      </c>
      <c r="N29" s="77">
        <v>801</v>
      </c>
      <c r="O29" s="77">
        <v>490</v>
      </c>
      <c r="P29" s="77">
        <v>487</v>
      </c>
      <c r="Q29" s="77">
        <v>529</v>
      </c>
      <c r="R29" s="1391"/>
      <c r="S29" s="77">
        <v>1069</v>
      </c>
      <c r="T29" s="77">
        <v>348</v>
      </c>
      <c r="U29" s="77">
        <v>827</v>
      </c>
      <c r="V29" s="77">
        <v>974</v>
      </c>
      <c r="W29" s="1392">
        <v>25299</v>
      </c>
      <c r="X29" s="1393">
        <v>26280</v>
      </c>
    </row>
    <row r="30" spans="2:29" hidden="1" outlineLevel="1" x14ac:dyDescent="0.2">
      <c r="B30" s="1390" t="s">
        <v>1244</v>
      </c>
      <c r="C30" s="1253">
        <v>1260</v>
      </c>
      <c r="D30" s="77">
        <v>715</v>
      </c>
      <c r="E30" s="77">
        <v>376</v>
      </c>
      <c r="F30" s="77">
        <v>1459</v>
      </c>
      <c r="G30" s="77">
        <v>823</v>
      </c>
      <c r="H30" s="77">
        <v>730</v>
      </c>
      <c r="I30" s="77">
        <v>135</v>
      </c>
      <c r="J30" s="77">
        <v>300</v>
      </c>
      <c r="K30" s="77">
        <v>759</v>
      </c>
      <c r="L30" s="77">
        <v>1126</v>
      </c>
      <c r="M30" s="77">
        <v>1438</v>
      </c>
      <c r="N30" s="77">
        <v>1282</v>
      </c>
      <c r="O30" s="77">
        <v>971</v>
      </c>
      <c r="P30" s="77">
        <v>591</v>
      </c>
      <c r="Q30" s="77">
        <v>738</v>
      </c>
      <c r="R30" s="77">
        <v>1069</v>
      </c>
      <c r="S30" s="1391"/>
      <c r="T30" s="77">
        <v>725</v>
      </c>
      <c r="U30" s="77">
        <v>242</v>
      </c>
      <c r="V30" s="77">
        <v>882</v>
      </c>
      <c r="W30" s="1392">
        <v>12754</v>
      </c>
      <c r="X30" s="1393">
        <v>15220</v>
      </c>
    </row>
    <row r="31" spans="2:29" hidden="1" outlineLevel="1" x14ac:dyDescent="0.2">
      <c r="B31" s="1390" t="s">
        <v>1245</v>
      </c>
      <c r="C31" s="1253">
        <v>894</v>
      </c>
      <c r="D31" s="77">
        <v>206</v>
      </c>
      <c r="E31" s="77">
        <v>430</v>
      </c>
      <c r="F31" s="77">
        <v>978</v>
      </c>
      <c r="G31" s="77">
        <v>558</v>
      </c>
      <c r="H31" s="77">
        <v>127</v>
      </c>
      <c r="I31" s="77">
        <v>637</v>
      </c>
      <c r="J31" s="77">
        <v>519</v>
      </c>
      <c r="K31" s="77">
        <v>198</v>
      </c>
      <c r="L31" s="77">
        <v>788</v>
      </c>
      <c r="M31" s="77">
        <v>956</v>
      </c>
      <c r="N31" s="77">
        <v>799</v>
      </c>
      <c r="O31" s="77">
        <v>489</v>
      </c>
      <c r="P31" s="77">
        <v>143</v>
      </c>
      <c r="Q31" s="77">
        <v>177</v>
      </c>
      <c r="R31" s="77">
        <v>348</v>
      </c>
      <c r="S31" s="77">
        <v>725</v>
      </c>
      <c r="T31" s="1391"/>
      <c r="U31" s="77">
        <v>483</v>
      </c>
      <c r="V31" s="77">
        <v>812</v>
      </c>
      <c r="W31" s="1392">
        <v>13906</v>
      </c>
      <c r="X31" s="1393">
        <v>21029</v>
      </c>
    </row>
    <row r="32" spans="2:29" hidden="1" outlineLevel="1" x14ac:dyDescent="0.2">
      <c r="B32" s="1390" t="s">
        <v>1246</v>
      </c>
      <c r="C32" s="1253">
        <v>1068</v>
      </c>
      <c r="D32" s="77">
        <v>473</v>
      </c>
      <c r="E32" s="77">
        <v>130</v>
      </c>
      <c r="F32" s="77">
        <v>1226</v>
      </c>
      <c r="G32" s="77">
        <v>589</v>
      </c>
      <c r="H32" s="77">
        <v>488</v>
      </c>
      <c r="I32" s="77">
        <v>153</v>
      </c>
      <c r="J32" s="77">
        <v>111</v>
      </c>
      <c r="K32" s="77">
        <v>565</v>
      </c>
      <c r="L32" s="77">
        <v>916</v>
      </c>
      <c r="M32" s="77">
        <v>1204</v>
      </c>
      <c r="N32" s="77">
        <v>1048</v>
      </c>
      <c r="O32" s="77">
        <v>737</v>
      </c>
      <c r="P32" s="77">
        <v>349</v>
      </c>
      <c r="Q32" s="77">
        <v>544</v>
      </c>
      <c r="R32" s="77">
        <v>827</v>
      </c>
      <c r="S32" s="77">
        <v>242</v>
      </c>
      <c r="T32" s="77">
        <v>483</v>
      </c>
      <c r="U32" s="1391"/>
      <c r="V32" s="77">
        <v>698</v>
      </c>
      <c r="W32" s="1392">
        <v>27790</v>
      </c>
      <c r="X32" s="1393">
        <v>29778</v>
      </c>
    </row>
    <row r="33" spans="2:27" hidden="1" outlineLevel="1" x14ac:dyDescent="0.2">
      <c r="B33" s="1390" t="s">
        <v>1247</v>
      </c>
      <c r="C33" s="1253">
        <v>624</v>
      </c>
      <c r="D33" s="77">
        <v>610</v>
      </c>
      <c r="E33" s="77">
        <v>635</v>
      </c>
      <c r="F33" s="77">
        <v>585</v>
      </c>
      <c r="G33" s="77">
        <v>374</v>
      </c>
      <c r="H33" s="77">
        <v>761</v>
      </c>
      <c r="I33" s="77">
        <v>755</v>
      </c>
      <c r="J33" s="77">
        <v>586</v>
      </c>
      <c r="K33" s="77">
        <v>894</v>
      </c>
      <c r="L33" s="77">
        <v>246</v>
      </c>
      <c r="M33" s="77">
        <v>561</v>
      </c>
      <c r="N33" s="77">
        <v>404</v>
      </c>
      <c r="O33" s="77">
        <v>538</v>
      </c>
      <c r="P33" s="77">
        <v>678</v>
      </c>
      <c r="Q33" s="77">
        <v>873</v>
      </c>
      <c r="R33" s="77">
        <v>974</v>
      </c>
      <c r="S33" s="77">
        <v>882</v>
      </c>
      <c r="T33" s="77">
        <v>812</v>
      </c>
      <c r="U33" s="77">
        <v>698</v>
      </c>
      <c r="V33" s="1391"/>
      <c r="W33" s="1392">
        <v>24312</v>
      </c>
      <c r="X33" s="1393">
        <v>33150</v>
      </c>
    </row>
    <row r="34" spans="2:27" ht="17" hidden="1" outlineLevel="1" thickBot="1" x14ac:dyDescent="0.25">
      <c r="B34" s="1394"/>
      <c r="C34" s="322"/>
      <c r="D34" s="322"/>
      <c r="E34" s="322"/>
      <c r="F34" s="322"/>
      <c r="G34" s="322"/>
      <c r="H34" s="322"/>
      <c r="I34" s="322"/>
      <c r="J34" s="322"/>
      <c r="K34" s="322"/>
      <c r="L34" s="322"/>
      <c r="M34" s="322"/>
      <c r="N34" s="322"/>
      <c r="O34" s="322"/>
      <c r="P34" s="322"/>
      <c r="Q34" s="322"/>
      <c r="R34" s="322"/>
      <c r="S34" s="322"/>
      <c r="T34" s="322"/>
      <c r="U34" s="322"/>
      <c r="V34" s="322"/>
      <c r="W34" s="1395"/>
      <c r="X34" s="1396"/>
    </row>
    <row r="35" spans="2:27" s="328" customFormat="1" hidden="1" outlineLevel="1" x14ac:dyDescent="0.2">
      <c r="B35" s="1397" t="s">
        <v>1090</v>
      </c>
      <c r="C35" s="1398">
        <f>SUM(C14:C33)</f>
        <v>15008</v>
      </c>
      <c r="D35" s="1399">
        <f t="shared" ref="D35:V35" si="0">SUM(D14:D33)</f>
        <v>9174</v>
      </c>
      <c r="E35" s="1399">
        <f t="shared" si="0"/>
        <v>10639</v>
      </c>
      <c r="F35" s="1399">
        <f t="shared" si="0"/>
        <v>15523</v>
      </c>
      <c r="G35" s="1399">
        <f t="shared" si="0"/>
        <v>10316</v>
      </c>
      <c r="H35" s="1399">
        <f t="shared" si="0"/>
        <v>9676</v>
      </c>
      <c r="I35" s="1399">
        <f t="shared" si="0"/>
        <v>13754</v>
      </c>
      <c r="J35" s="1399">
        <f t="shared" si="0"/>
        <v>11572</v>
      </c>
      <c r="K35" s="1399">
        <f t="shared" si="0"/>
        <v>12466</v>
      </c>
      <c r="L35" s="1399">
        <f t="shared" si="0"/>
        <v>12386</v>
      </c>
      <c r="M35" s="1399">
        <f t="shared" si="0"/>
        <v>15181</v>
      </c>
      <c r="N35" s="1399">
        <f t="shared" si="0"/>
        <v>13135</v>
      </c>
      <c r="O35" s="1399">
        <f t="shared" si="0"/>
        <v>10133</v>
      </c>
      <c r="P35" s="1399">
        <f t="shared" si="0"/>
        <v>9447</v>
      </c>
      <c r="Q35" s="1399">
        <f t="shared" si="0"/>
        <v>12119</v>
      </c>
      <c r="R35" s="1399">
        <f t="shared" si="0"/>
        <v>13256</v>
      </c>
      <c r="S35" s="1399">
        <f t="shared" si="0"/>
        <v>15621</v>
      </c>
      <c r="T35" s="1399">
        <f t="shared" si="0"/>
        <v>10267</v>
      </c>
      <c r="U35" s="1399">
        <f t="shared" si="0"/>
        <v>11851</v>
      </c>
      <c r="V35" s="1399">
        <f t="shared" si="0"/>
        <v>12490</v>
      </c>
      <c r="W35" s="1400">
        <f>SUM(W14:W33)</f>
        <v>477522</v>
      </c>
      <c r="X35" s="1401"/>
      <c r="Z35" s="11"/>
      <c r="AA35" s="55"/>
    </row>
    <row r="36" spans="2:27" s="328" customFormat="1" ht="17" hidden="1" outlineLevel="1" thickBot="1" x14ac:dyDescent="0.25">
      <c r="B36" s="1402" t="s">
        <v>374</v>
      </c>
      <c r="C36" s="1403">
        <f>AVERAGE(C14:C33)</f>
        <v>789.89473684210532</v>
      </c>
      <c r="D36" s="1404">
        <f t="shared" ref="D36:V36" si="1">AVERAGE(D14:D33)</f>
        <v>482.84210526315792</v>
      </c>
      <c r="E36" s="1404">
        <f t="shared" si="1"/>
        <v>559.9473684210526</v>
      </c>
      <c r="F36" s="1404">
        <f t="shared" si="1"/>
        <v>817</v>
      </c>
      <c r="G36" s="1404">
        <f t="shared" si="1"/>
        <v>542.9473684210526</v>
      </c>
      <c r="H36" s="1404">
        <f t="shared" si="1"/>
        <v>509.26315789473682</v>
      </c>
      <c r="I36" s="1404">
        <f t="shared" si="1"/>
        <v>723.89473684210532</v>
      </c>
      <c r="J36" s="1404">
        <f t="shared" si="1"/>
        <v>609.0526315789474</v>
      </c>
      <c r="K36" s="1404">
        <f t="shared" si="1"/>
        <v>656.10526315789468</v>
      </c>
      <c r="L36" s="1404">
        <f t="shared" si="1"/>
        <v>651.89473684210532</v>
      </c>
      <c r="M36" s="1404">
        <f t="shared" si="1"/>
        <v>799</v>
      </c>
      <c r="N36" s="1404">
        <f t="shared" si="1"/>
        <v>691.31578947368416</v>
      </c>
      <c r="O36" s="1404">
        <f t="shared" si="1"/>
        <v>533.31578947368416</v>
      </c>
      <c r="P36" s="1404">
        <f t="shared" si="1"/>
        <v>497.21052631578948</v>
      </c>
      <c r="Q36" s="1404">
        <f t="shared" si="1"/>
        <v>637.84210526315792</v>
      </c>
      <c r="R36" s="1404">
        <f t="shared" si="1"/>
        <v>697.68421052631584</v>
      </c>
      <c r="S36" s="1404">
        <f t="shared" si="1"/>
        <v>822.15789473684208</v>
      </c>
      <c r="T36" s="1404">
        <f t="shared" si="1"/>
        <v>540.36842105263156</v>
      </c>
      <c r="U36" s="1404">
        <f t="shared" si="1"/>
        <v>623.73684210526312</v>
      </c>
      <c r="V36" s="1404">
        <f t="shared" si="1"/>
        <v>657.36842105263156</v>
      </c>
      <c r="W36" s="1405">
        <f>AVERAGE(W14:W33)</f>
        <v>23876.1</v>
      </c>
      <c r="X36" s="1406">
        <f>AVERAGE(X14:X33)</f>
        <v>30090.2</v>
      </c>
      <c r="Z36" s="11"/>
      <c r="AA36" s="55"/>
    </row>
    <row r="37" spans="2:27" s="328" customFormat="1" ht="27" customHeight="1" collapsed="1" x14ac:dyDescent="0.2">
      <c r="C37" s="477"/>
      <c r="D37" s="477"/>
      <c r="E37" s="477"/>
      <c r="F37" s="477"/>
      <c r="G37" s="477"/>
      <c r="H37" s="477"/>
      <c r="I37" s="477"/>
      <c r="J37" s="477"/>
      <c r="K37" s="477"/>
      <c r="L37" s="477"/>
      <c r="M37" s="477"/>
      <c r="N37" s="477"/>
      <c r="O37" s="477"/>
      <c r="P37" s="477"/>
      <c r="Q37" s="477"/>
      <c r="R37" s="477"/>
      <c r="S37" s="477"/>
      <c r="T37" s="477"/>
      <c r="U37" s="477"/>
      <c r="V37" s="477"/>
      <c r="W37" s="1407"/>
      <c r="X37" s="1407"/>
      <c r="Z37" s="11"/>
      <c r="AA37" s="55"/>
    </row>
    <row r="38" spans="2:27" s="328" customFormat="1" ht="33" customHeight="1" x14ac:dyDescent="0.2">
      <c r="B38" s="1380" t="s">
        <v>1401</v>
      </c>
      <c r="C38" s="55"/>
      <c r="D38" s="55"/>
      <c r="E38" s="55"/>
      <c r="F38" s="219"/>
      <c r="G38" s="55"/>
      <c r="H38" s="55"/>
      <c r="I38" s="55"/>
      <c r="J38" s="55"/>
      <c r="K38" s="55"/>
      <c r="L38" s="55"/>
      <c r="M38" s="55"/>
      <c r="N38" s="55"/>
      <c r="O38" s="55"/>
      <c r="P38" s="55"/>
      <c r="Q38" s="55"/>
      <c r="R38" s="477"/>
      <c r="S38" s="477"/>
      <c r="T38" s="477"/>
      <c r="U38" s="477"/>
      <c r="V38" s="477"/>
      <c r="W38" s="1407"/>
      <c r="X38" s="1407"/>
      <c r="Z38" s="11"/>
      <c r="AA38" s="55"/>
    </row>
    <row r="39" spans="2:27" s="328" customFormat="1" ht="29" hidden="1" customHeight="1" outlineLevel="1" thickBot="1" x14ac:dyDescent="0.25">
      <c r="B39" s="118"/>
      <c r="C39" s="55"/>
      <c r="D39" s="55"/>
      <c r="E39" s="55"/>
      <c r="F39" s="219"/>
      <c r="G39" s="55"/>
      <c r="H39" s="55"/>
      <c r="I39" s="55"/>
      <c r="J39" s="55"/>
      <c r="K39" s="55"/>
      <c r="L39" s="55"/>
      <c r="M39" s="55"/>
      <c r="N39" s="55"/>
      <c r="O39" s="55"/>
      <c r="P39" s="55"/>
      <c r="Q39" s="55"/>
      <c r="R39" s="477"/>
      <c r="S39" s="477"/>
      <c r="T39" s="477"/>
      <c r="U39" s="477"/>
      <c r="V39" s="477"/>
      <c r="W39" s="1407"/>
      <c r="X39" s="1407"/>
      <c r="Z39" s="11"/>
      <c r="AA39" s="55"/>
    </row>
    <row r="40" spans="2:27" s="328" customFormat="1" ht="33" hidden="1" customHeight="1" outlineLevel="1" x14ac:dyDescent="0.2">
      <c r="B40" s="1376" t="s">
        <v>26</v>
      </c>
      <c r="C40" s="3153" t="s">
        <v>1762</v>
      </c>
      <c r="D40" s="3154"/>
      <c r="E40" s="3154"/>
      <c r="F40" s="3154"/>
      <c r="G40" s="3154"/>
      <c r="H40" s="3154"/>
      <c r="I40" s="3154"/>
      <c r="J40" s="3154"/>
      <c r="K40" s="3154"/>
      <c r="L40" s="3154"/>
      <c r="M40" s="3154"/>
      <c r="N40" s="3154"/>
      <c r="O40" s="3154"/>
      <c r="P40" s="3154"/>
      <c r="Q40" s="3155"/>
      <c r="R40" s="477"/>
      <c r="S40" s="477"/>
      <c r="T40" s="477"/>
      <c r="U40" s="477"/>
      <c r="V40" s="477"/>
      <c r="W40" s="1407"/>
      <c r="X40" s="1407"/>
      <c r="Z40" s="11"/>
      <c r="AA40" s="55"/>
    </row>
    <row r="41" spans="2:27" s="328" customFormat="1" ht="33" hidden="1" customHeight="1" outlineLevel="1" thickBot="1" x14ac:dyDescent="0.25">
      <c r="B41" s="1377" t="s">
        <v>27</v>
      </c>
      <c r="C41" s="3156" t="s">
        <v>1420</v>
      </c>
      <c r="D41" s="3157"/>
      <c r="E41" s="3157"/>
      <c r="F41" s="3157"/>
      <c r="G41" s="3157"/>
      <c r="H41" s="3157"/>
      <c r="I41" s="3157"/>
      <c r="J41" s="3157"/>
      <c r="K41" s="3157"/>
      <c r="L41" s="3157"/>
      <c r="M41" s="3157"/>
      <c r="N41" s="3157"/>
      <c r="O41" s="3157"/>
      <c r="P41" s="3157"/>
      <c r="Q41" s="3158"/>
      <c r="R41" s="477"/>
      <c r="S41" s="477"/>
      <c r="T41" s="477"/>
      <c r="U41" s="477"/>
      <c r="V41" s="477"/>
      <c r="W41" s="1407"/>
      <c r="X41" s="1407"/>
      <c r="Z41" s="11"/>
      <c r="AA41" s="55"/>
    </row>
    <row r="42" spans="2:27" s="328" customFormat="1" ht="21" hidden="1" customHeight="1" outlineLevel="1" x14ac:dyDescent="0.2">
      <c r="C42" s="477"/>
      <c r="D42" s="477"/>
      <c r="E42" s="477"/>
      <c r="F42" s="477"/>
      <c r="G42" s="477"/>
      <c r="H42" s="477"/>
      <c r="I42" s="477"/>
      <c r="J42" s="477"/>
      <c r="K42" s="477"/>
      <c r="L42" s="477"/>
      <c r="M42" s="477"/>
      <c r="N42" s="477"/>
      <c r="O42" s="477"/>
      <c r="P42" s="477"/>
      <c r="Q42" s="477"/>
      <c r="R42" s="477"/>
      <c r="S42" s="477"/>
      <c r="T42" s="477"/>
      <c r="U42" s="477"/>
      <c r="V42" s="477"/>
      <c r="W42" s="1407"/>
      <c r="X42" s="1407"/>
      <c r="Z42" s="11"/>
      <c r="AA42" s="55"/>
    </row>
    <row r="43" spans="2:27" ht="21" hidden="1" customHeight="1" outlineLevel="1" thickBot="1" x14ac:dyDescent="0.25"/>
    <row r="44" spans="2:27" ht="30" hidden="1" customHeight="1" outlineLevel="1" thickBot="1" x14ac:dyDescent="0.25">
      <c r="B44" s="3149" t="s">
        <v>1248</v>
      </c>
      <c r="C44" s="3150"/>
      <c r="D44" s="3150"/>
      <c r="E44" s="3150"/>
      <c r="F44" s="3150"/>
      <c r="G44" s="3150"/>
      <c r="H44" s="3150"/>
      <c r="I44" s="3150"/>
      <c r="J44" s="3150"/>
      <c r="K44" s="3150"/>
      <c r="L44" s="3150"/>
      <c r="M44" s="3150"/>
      <c r="N44" s="3150"/>
      <c r="O44" s="3150"/>
      <c r="P44" s="3150"/>
      <c r="Q44" s="3150"/>
      <c r="R44" s="3150"/>
      <c r="S44" s="3150"/>
      <c r="T44" s="3150"/>
      <c r="U44" s="3150"/>
      <c r="V44" s="3150"/>
      <c r="W44" s="3150"/>
      <c r="X44" s="3151"/>
    </row>
    <row r="45" spans="2:27" s="112" customFormat="1" ht="44" hidden="1" customHeight="1" outlineLevel="1" thickBot="1" x14ac:dyDescent="0.25">
      <c r="B45" s="1382" t="s">
        <v>1227</v>
      </c>
      <c r="C45" s="1383" t="s">
        <v>1249</v>
      </c>
      <c r="D45" s="1384" t="s">
        <v>1250</v>
      </c>
      <c r="E45" s="1384" t="s">
        <v>1251</v>
      </c>
      <c r="F45" s="1384" t="s">
        <v>1252</v>
      </c>
      <c r="G45" s="1384" t="s">
        <v>1253</v>
      </c>
      <c r="H45" s="1384" t="s">
        <v>1254</v>
      </c>
      <c r="I45" s="1384" t="s">
        <v>1255</v>
      </c>
      <c r="J45" s="1384" t="s">
        <v>1256</v>
      </c>
      <c r="K45" s="1384" t="s">
        <v>1257</v>
      </c>
      <c r="L45" s="1384" t="s">
        <v>1258</v>
      </c>
      <c r="M45" s="1384" t="s">
        <v>1259</v>
      </c>
      <c r="N45" s="1384" t="s">
        <v>1260</v>
      </c>
      <c r="O45" s="1384" t="s">
        <v>1261</v>
      </c>
      <c r="P45" s="1384" t="s">
        <v>1262</v>
      </c>
      <c r="Q45" s="1384" t="s">
        <v>1263</v>
      </c>
      <c r="R45" s="1384" t="s">
        <v>1264</v>
      </c>
      <c r="S45" s="1384" t="s">
        <v>1265</v>
      </c>
      <c r="T45" s="1384" t="s">
        <v>1266</v>
      </c>
      <c r="U45" s="1384" t="s">
        <v>1267</v>
      </c>
      <c r="V45" s="1384" t="s">
        <v>1268</v>
      </c>
      <c r="W45" s="1382" t="s">
        <v>1382</v>
      </c>
      <c r="X45" s="1385" t="s">
        <v>1383</v>
      </c>
    </row>
    <row r="46" spans="2:27" hidden="1" outlineLevel="1" x14ac:dyDescent="0.2">
      <c r="B46" s="1386" t="s">
        <v>1249</v>
      </c>
      <c r="C46" s="1387"/>
      <c r="D46" s="1252">
        <v>665</v>
      </c>
      <c r="E46" s="1252">
        <v>552</v>
      </c>
      <c r="F46" s="1252">
        <v>470</v>
      </c>
      <c r="G46" s="1252">
        <v>512</v>
      </c>
      <c r="H46" s="1252">
        <v>708</v>
      </c>
      <c r="I46" s="1252">
        <v>732</v>
      </c>
      <c r="J46" s="1252">
        <v>363</v>
      </c>
      <c r="K46" s="1252">
        <v>557</v>
      </c>
      <c r="L46" s="1252">
        <v>724</v>
      </c>
      <c r="M46" s="1252">
        <v>181</v>
      </c>
      <c r="N46" s="1252">
        <v>862</v>
      </c>
      <c r="O46" s="1252">
        <v>158</v>
      </c>
      <c r="P46" s="1252">
        <v>937</v>
      </c>
      <c r="Q46" s="1252">
        <v>118</v>
      </c>
      <c r="R46" s="1252">
        <v>802</v>
      </c>
      <c r="S46" s="1252">
        <v>970</v>
      </c>
      <c r="T46" s="1252">
        <v>403</v>
      </c>
      <c r="U46" s="1252">
        <v>251</v>
      </c>
      <c r="V46" s="1252">
        <v>127</v>
      </c>
      <c r="W46" s="1409">
        <v>7559</v>
      </c>
      <c r="X46" s="1410">
        <v>12999</v>
      </c>
    </row>
    <row r="47" spans="2:27" hidden="1" outlineLevel="1" x14ac:dyDescent="0.2">
      <c r="B47" s="1390" t="s">
        <v>1250</v>
      </c>
      <c r="C47" s="1253">
        <v>665</v>
      </c>
      <c r="D47" s="1391"/>
      <c r="E47" s="77">
        <v>527</v>
      </c>
      <c r="F47" s="77">
        <v>253</v>
      </c>
      <c r="G47" s="77">
        <v>847</v>
      </c>
      <c r="H47" s="77">
        <v>186</v>
      </c>
      <c r="I47" s="77">
        <v>534</v>
      </c>
      <c r="J47" s="77">
        <v>514</v>
      </c>
      <c r="K47" s="77">
        <v>383</v>
      </c>
      <c r="L47" s="77">
        <v>153</v>
      </c>
      <c r="M47" s="77">
        <v>670</v>
      </c>
      <c r="N47" s="77">
        <v>271</v>
      </c>
      <c r="O47" s="77">
        <v>480</v>
      </c>
      <c r="P47" s="77">
        <v>727</v>
      </c>
      <c r="Q47" s="77">
        <v>609</v>
      </c>
      <c r="R47" s="77">
        <v>283</v>
      </c>
      <c r="S47" s="77">
        <v>506</v>
      </c>
      <c r="T47" s="77">
        <v>649</v>
      </c>
      <c r="U47" s="77">
        <v>720</v>
      </c>
      <c r="V47" s="77">
        <v>719</v>
      </c>
      <c r="W47" s="1411">
        <v>22318</v>
      </c>
      <c r="X47" s="1412">
        <v>41960</v>
      </c>
    </row>
    <row r="48" spans="2:27" hidden="1" outlineLevel="1" x14ac:dyDescent="0.2">
      <c r="B48" s="1390" t="s">
        <v>1251</v>
      </c>
      <c r="C48" s="1253">
        <v>552</v>
      </c>
      <c r="D48" s="77">
        <v>527</v>
      </c>
      <c r="E48" s="1391"/>
      <c r="F48" s="77">
        <v>592</v>
      </c>
      <c r="G48" s="77">
        <v>386</v>
      </c>
      <c r="H48" s="77">
        <v>662</v>
      </c>
      <c r="I48" s="77">
        <v>192</v>
      </c>
      <c r="J48" s="77">
        <v>732</v>
      </c>
      <c r="K48" s="77">
        <v>761</v>
      </c>
      <c r="L48" s="77">
        <v>660</v>
      </c>
      <c r="M48" s="77">
        <v>478</v>
      </c>
      <c r="N48" s="77">
        <v>713</v>
      </c>
      <c r="O48" s="77">
        <v>410</v>
      </c>
      <c r="P48" s="77">
        <v>397</v>
      </c>
      <c r="Q48" s="77">
        <v>480</v>
      </c>
      <c r="R48" s="77">
        <v>418</v>
      </c>
      <c r="S48" s="77">
        <v>883</v>
      </c>
      <c r="T48" s="77">
        <v>280</v>
      </c>
      <c r="U48" s="77">
        <v>428</v>
      </c>
      <c r="V48" s="77">
        <v>612</v>
      </c>
      <c r="W48" s="1411">
        <v>2576</v>
      </c>
      <c r="X48" s="1412">
        <v>6398</v>
      </c>
    </row>
    <row r="49" spans="2:24" hidden="1" outlineLevel="1" x14ac:dyDescent="0.2">
      <c r="B49" s="1390" t="s">
        <v>1252</v>
      </c>
      <c r="C49" s="1253">
        <v>470</v>
      </c>
      <c r="D49" s="77">
        <v>253</v>
      </c>
      <c r="E49" s="77">
        <v>592</v>
      </c>
      <c r="F49" s="1391"/>
      <c r="G49" s="77">
        <v>749</v>
      </c>
      <c r="H49" s="77">
        <v>281</v>
      </c>
      <c r="I49" s="77">
        <v>671</v>
      </c>
      <c r="J49" s="77">
        <v>267</v>
      </c>
      <c r="K49" s="77">
        <v>166</v>
      </c>
      <c r="L49" s="77">
        <v>305</v>
      </c>
      <c r="M49" s="77">
        <v>505</v>
      </c>
      <c r="N49" s="77">
        <v>442</v>
      </c>
      <c r="O49" s="77">
        <v>314</v>
      </c>
      <c r="P49" s="77">
        <v>864</v>
      </c>
      <c r="Q49" s="77">
        <v>444</v>
      </c>
      <c r="R49" s="77">
        <v>568</v>
      </c>
      <c r="S49" s="77">
        <v>620</v>
      </c>
      <c r="T49" s="77">
        <v>551</v>
      </c>
      <c r="U49" s="77">
        <v>543</v>
      </c>
      <c r="V49" s="77">
        <v>471</v>
      </c>
      <c r="W49" s="1411">
        <v>7805</v>
      </c>
      <c r="X49" s="1412">
        <v>18376</v>
      </c>
    </row>
    <row r="50" spans="2:24" hidden="1" outlineLevel="1" x14ac:dyDescent="0.2">
      <c r="B50" s="1390" t="s">
        <v>1253</v>
      </c>
      <c r="C50" s="1253">
        <v>512</v>
      </c>
      <c r="D50" s="77">
        <v>847</v>
      </c>
      <c r="E50" s="77">
        <v>386</v>
      </c>
      <c r="F50" s="77">
        <v>749</v>
      </c>
      <c r="G50" s="1391"/>
      <c r="H50" s="77">
        <v>994</v>
      </c>
      <c r="I50" s="77">
        <v>594</v>
      </c>
      <c r="J50" s="77">
        <v>803</v>
      </c>
      <c r="K50" s="77">
        <v>918</v>
      </c>
      <c r="L50" s="77">
        <v>979</v>
      </c>
      <c r="M50" s="77">
        <v>357</v>
      </c>
      <c r="N50" s="77">
        <v>1100</v>
      </c>
      <c r="O50" s="77">
        <v>481</v>
      </c>
      <c r="P50" s="77">
        <v>799</v>
      </c>
      <c r="Q50" s="77">
        <v>389</v>
      </c>
      <c r="R50" s="77">
        <v>824</v>
      </c>
      <c r="S50" s="77">
        <v>1175</v>
      </c>
      <c r="T50" s="77">
        <v>206</v>
      </c>
      <c r="U50" s="77">
        <v>265</v>
      </c>
      <c r="V50" s="77">
        <v>636</v>
      </c>
      <c r="W50" s="1411">
        <v>8808</v>
      </c>
      <c r="X50" s="1412">
        <v>19060</v>
      </c>
    </row>
    <row r="51" spans="2:24" hidden="1" outlineLevel="1" x14ac:dyDescent="0.2">
      <c r="B51" s="1390" t="s">
        <v>1254</v>
      </c>
      <c r="C51" s="1253">
        <v>708</v>
      </c>
      <c r="D51" s="77">
        <v>186</v>
      </c>
      <c r="E51" s="77">
        <v>662</v>
      </c>
      <c r="F51" s="77">
        <v>281</v>
      </c>
      <c r="G51" s="77">
        <v>994</v>
      </c>
      <c r="H51" s="1391"/>
      <c r="I51" s="77">
        <v>697</v>
      </c>
      <c r="J51" s="77">
        <v>535</v>
      </c>
      <c r="K51" s="77">
        <v>256</v>
      </c>
      <c r="L51" s="77">
        <v>107</v>
      </c>
      <c r="M51" s="77">
        <v>752</v>
      </c>
      <c r="N51" s="77">
        <v>363</v>
      </c>
      <c r="O51" s="77">
        <v>561</v>
      </c>
      <c r="P51" s="77">
        <v>836</v>
      </c>
      <c r="Q51" s="77">
        <v>691</v>
      </c>
      <c r="R51" s="77">
        <v>465</v>
      </c>
      <c r="S51" s="77">
        <v>443</v>
      </c>
      <c r="T51" s="77">
        <v>798</v>
      </c>
      <c r="U51" s="77">
        <v>790</v>
      </c>
      <c r="V51" s="77">
        <v>739</v>
      </c>
      <c r="W51" s="1411">
        <v>6844</v>
      </c>
      <c r="X51" s="1412">
        <v>15714</v>
      </c>
    </row>
    <row r="52" spans="2:24" hidden="1" outlineLevel="1" x14ac:dyDescent="0.2">
      <c r="B52" s="1390" t="s">
        <v>1255</v>
      </c>
      <c r="C52" s="1253">
        <v>732</v>
      </c>
      <c r="D52" s="77">
        <v>534</v>
      </c>
      <c r="E52" s="77">
        <v>192</v>
      </c>
      <c r="F52" s="77">
        <v>671</v>
      </c>
      <c r="G52" s="77">
        <v>594</v>
      </c>
      <c r="H52" s="77">
        <v>697</v>
      </c>
      <c r="I52" s="1391"/>
      <c r="J52" s="77">
        <v>911</v>
      </c>
      <c r="K52" s="77">
        <v>802</v>
      </c>
      <c r="L52" s="77">
        <v>664</v>
      </c>
      <c r="M52" s="77">
        <v>657</v>
      </c>
      <c r="N52" s="77">
        <v>532</v>
      </c>
      <c r="O52" s="77">
        <v>590</v>
      </c>
      <c r="P52" s="77">
        <v>216</v>
      </c>
      <c r="Q52" s="77">
        <v>660</v>
      </c>
      <c r="R52" s="77">
        <v>382</v>
      </c>
      <c r="S52" s="77">
        <v>840</v>
      </c>
      <c r="T52" s="77">
        <v>488</v>
      </c>
      <c r="U52" s="77">
        <v>608</v>
      </c>
      <c r="V52" s="77">
        <v>792</v>
      </c>
      <c r="W52" s="1411">
        <v>20711</v>
      </c>
      <c r="X52" s="1412">
        <v>42150</v>
      </c>
    </row>
    <row r="53" spans="2:24" hidden="1" outlineLevel="1" x14ac:dyDescent="0.2">
      <c r="B53" s="1390" t="s">
        <v>1256</v>
      </c>
      <c r="C53" s="1253">
        <v>363</v>
      </c>
      <c r="D53" s="77">
        <v>514</v>
      </c>
      <c r="E53" s="77">
        <v>732</v>
      </c>
      <c r="F53" s="77">
        <v>267</v>
      </c>
      <c r="G53" s="77">
        <v>803</v>
      </c>
      <c r="H53" s="77">
        <v>535</v>
      </c>
      <c r="I53" s="77">
        <v>911</v>
      </c>
      <c r="J53" s="1391"/>
      <c r="K53" s="77">
        <v>243</v>
      </c>
      <c r="L53" s="77">
        <v>567</v>
      </c>
      <c r="M53" s="77">
        <v>541</v>
      </c>
      <c r="N53" s="77">
        <v>705</v>
      </c>
      <c r="O53" s="77">
        <v>332</v>
      </c>
      <c r="P53" s="77">
        <v>1117</v>
      </c>
      <c r="Q53" s="77">
        <v>478</v>
      </c>
      <c r="R53" s="77">
        <v>830</v>
      </c>
      <c r="S53" s="77">
        <v>758</v>
      </c>
      <c r="T53" s="77">
        <v>605</v>
      </c>
      <c r="U53" s="77">
        <v>570</v>
      </c>
      <c r="V53" s="77">
        <v>330</v>
      </c>
      <c r="W53" s="1411">
        <v>15848</v>
      </c>
      <c r="X53" s="1412">
        <v>28000</v>
      </c>
    </row>
    <row r="54" spans="2:24" hidden="1" outlineLevel="1" x14ac:dyDescent="0.2">
      <c r="B54" s="1390" t="s">
        <v>1257</v>
      </c>
      <c r="C54" s="1253">
        <v>557</v>
      </c>
      <c r="D54" s="77">
        <v>383</v>
      </c>
      <c r="E54" s="77">
        <v>761</v>
      </c>
      <c r="F54" s="77">
        <v>166</v>
      </c>
      <c r="G54" s="77">
        <v>918</v>
      </c>
      <c r="H54" s="77">
        <v>256</v>
      </c>
      <c r="I54" s="77">
        <v>802</v>
      </c>
      <c r="J54" s="77">
        <v>243</v>
      </c>
      <c r="K54" s="1391"/>
      <c r="L54" s="77">
        <v>411</v>
      </c>
      <c r="M54" s="77">
        <v>674</v>
      </c>
      <c r="N54" s="77">
        <v>574</v>
      </c>
      <c r="O54" s="77">
        <v>484</v>
      </c>
      <c r="P54" s="77">
        <v>997</v>
      </c>
      <c r="Q54" s="77">
        <v>613</v>
      </c>
      <c r="R54" s="77">
        <v>701</v>
      </c>
      <c r="S54" s="77">
        <v>574</v>
      </c>
      <c r="T54" s="77">
        <v>720</v>
      </c>
      <c r="U54" s="77">
        <v>712</v>
      </c>
      <c r="V54" s="77">
        <v>550</v>
      </c>
      <c r="W54" s="1411">
        <v>11969</v>
      </c>
      <c r="X54" s="1412">
        <v>20005</v>
      </c>
    </row>
    <row r="55" spans="2:24" hidden="1" outlineLevel="1" x14ac:dyDescent="0.2">
      <c r="B55" s="1390" t="s">
        <v>1258</v>
      </c>
      <c r="C55" s="1253">
        <v>724</v>
      </c>
      <c r="D55" s="77">
        <v>153</v>
      </c>
      <c r="E55" s="77">
        <v>660</v>
      </c>
      <c r="F55" s="77">
        <v>305</v>
      </c>
      <c r="G55" s="77">
        <v>979</v>
      </c>
      <c r="H55" s="77">
        <v>107</v>
      </c>
      <c r="I55" s="77">
        <v>664</v>
      </c>
      <c r="J55" s="77">
        <v>567</v>
      </c>
      <c r="K55" s="77">
        <v>411</v>
      </c>
      <c r="L55" s="1391"/>
      <c r="M55" s="77">
        <v>766</v>
      </c>
      <c r="N55" s="77">
        <v>245</v>
      </c>
      <c r="O55" s="77">
        <v>575</v>
      </c>
      <c r="P55" s="77">
        <v>718</v>
      </c>
      <c r="Q55" s="77">
        <v>705</v>
      </c>
      <c r="R55" s="77">
        <v>465</v>
      </c>
      <c r="S55" s="77">
        <v>406</v>
      </c>
      <c r="T55" s="77">
        <v>779</v>
      </c>
      <c r="U55" s="77">
        <v>804</v>
      </c>
      <c r="V55" s="77">
        <v>770</v>
      </c>
      <c r="W55" s="1411">
        <v>5627</v>
      </c>
      <c r="X55" s="1412">
        <v>20068</v>
      </c>
    </row>
    <row r="56" spans="2:24" hidden="1" outlineLevel="1" x14ac:dyDescent="0.2">
      <c r="B56" s="1390" t="s">
        <v>1259</v>
      </c>
      <c r="C56" s="1253">
        <v>181</v>
      </c>
      <c r="D56" s="77">
        <v>670</v>
      </c>
      <c r="E56" s="77">
        <v>478</v>
      </c>
      <c r="F56" s="77">
        <v>505</v>
      </c>
      <c r="G56" s="77">
        <v>357</v>
      </c>
      <c r="H56" s="77">
        <v>752</v>
      </c>
      <c r="I56" s="77">
        <v>657</v>
      </c>
      <c r="J56" s="77">
        <v>541</v>
      </c>
      <c r="K56" s="77">
        <v>674</v>
      </c>
      <c r="L56" s="77">
        <v>766</v>
      </c>
      <c r="M56" s="1391"/>
      <c r="N56" s="77">
        <v>903</v>
      </c>
      <c r="O56" s="77">
        <v>196</v>
      </c>
      <c r="P56" s="77">
        <v>862</v>
      </c>
      <c r="Q56" s="77">
        <v>90</v>
      </c>
      <c r="R56" s="77">
        <v>828</v>
      </c>
      <c r="S56" s="77">
        <v>1043</v>
      </c>
      <c r="T56" s="77">
        <v>234</v>
      </c>
      <c r="U56" s="77">
        <v>94</v>
      </c>
      <c r="V56" s="77">
        <v>304</v>
      </c>
      <c r="W56" s="1411">
        <v>12483</v>
      </c>
      <c r="X56" s="1412">
        <v>25181</v>
      </c>
    </row>
    <row r="57" spans="2:24" hidden="1" outlineLevel="1" x14ac:dyDescent="0.2">
      <c r="B57" s="1390" t="s">
        <v>1260</v>
      </c>
      <c r="C57" s="1253">
        <v>862</v>
      </c>
      <c r="D57" s="77">
        <v>271</v>
      </c>
      <c r="E57" s="77">
        <v>713</v>
      </c>
      <c r="F57" s="77">
        <v>442</v>
      </c>
      <c r="G57" s="77">
        <v>1100</v>
      </c>
      <c r="H57" s="77">
        <v>363</v>
      </c>
      <c r="I57" s="77">
        <v>532</v>
      </c>
      <c r="J57" s="77">
        <v>705</v>
      </c>
      <c r="K57" s="77">
        <v>574</v>
      </c>
      <c r="L57" s="77">
        <v>245</v>
      </c>
      <c r="M57" s="77">
        <v>903</v>
      </c>
      <c r="N57" s="1391"/>
      <c r="O57" s="77">
        <v>713</v>
      </c>
      <c r="P57" s="77">
        <v>477</v>
      </c>
      <c r="Q57" s="77">
        <v>843</v>
      </c>
      <c r="R57" s="77">
        <v>224</v>
      </c>
      <c r="S57" s="77">
        <v>431</v>
      </c>
      <c r="T57" s="77">
        <v>899</v>
      </c>
      <c r="U57" s="77">
        <v>942</v>
      </c>
      <c r="V57" s="77">
        <v>909</v>
      </c>
      <c r="W57" s="1411">
        <v>2774</v>
      </c>
      <c r="X57" s="1412">
        <v>8033</v>
      </c>
    </row>
    <row r="58" spans="2:24" hidden="1" outlineLevel="1" x14ac:dyDescent="0.2">
      <c r="B58" s="1390" t="s">
        <v>1261</v>
      </c>
      <c r="C58" s="1253">
        <v>158</v>
      </c>
      <c r="D58" s="77">
        <v>480</v>
      </c>
      <c r="E58" s="77">
        <v>410</v>
      </c>
      <c r="F58" s="77">
        <v>314</v>
      </c>
      <c r="G58" s="77">
        <v>481</v>
      </c>
      <c r="H58" s="77">
        <v>561</v>
      </c>
      <c r="I58" s="77">
        <v>590</v>
      </c>
      <c r="J58" s="77">
        <v>332</v>
      </c>
      <c r="K58" s="77">
        <v>484</v>
      </c>
      <c r="L58" s="77">
        <v>575</v>
      </c>
      <c r="M58" s="77">
        <v>196</v>
      </c>
      <c r="N58" s="77">
        <v>713</v>
      </c>
      <c r="O58" s="1391"/>
      <c r="P58" s="77">
        <v>794</v>
      </c>
      <c r="Q58" s="77">
        <v>149</v>
      </c>
      <c r="R58" s="77">
        <v>659</v>
      </c>
      <c r="S58" s="77">
        <v>880</v>
      </c>
      <c r="T58" s="77">
        <v>282</v>
      </c>
      <c r="U58" s="77">
        <v>248</v>
      </c>
      <c r="V58" s="77">
        <v>211</v>
      </c>
      <c r="W58" s="1411">
        <v>4135</v>
      </c>
      <c r="X58" s="1412">
        <v>19151</v>
      </c>
    </row>
    <row r="59" spans="2:24" hidden="1" outlineLevel="1" x14ac:dyDescent="0.2">
      <c r="B59" s="1390" t="s">
        <v>1262</v>
      </c>
      <c r="C59" s="1253">
        <v>937</v>
      </c>
      <c r="D59" s="77">
        <v>727</v>
      </c>
      <c r="E59" s="77">
        <v>397</v>
      </c>
      <c r="F59" s="77">
        <v>864</v>
      </c>
      <c r="G59" s="77">
        <v>799</v>
      </c>
      <c r="H59" s="77">
        <v>836</v>
      </c>
      <c r="I59" s="77">
        <v>216</v>
      </c>
      <c r="J59" s="77">
        <v>1117</v>
      </c>
      <c r="K59" s="77">
        <v>997</v>
      </c>
      <c r="L59" s="77">
        <v>718</v>
      </c>
      <c r="M59" s="77">
        <v>862</v>
      </c>
      <c r="N59" s="77">
        <v>477</v>
      </c>
      <c r="O59" s="77">
        <v>794</v>
      </c>
      <c r="P59" s="1391"/>
      <c r="Q59" s="77">
        <v>865</v>
      </c>
      <c r="R59" s="77">
        <v>348</v>
      </c>
      <c r="S59" s="77">
        <v>801</v>
      </c>
      <c r="T59" s="77">
        <v>693</v>
      </c>
      <c r="U59" s="77">
        <v>812</v>
      </c>
      <c r="V59" s="77">
        <v>996</v>
      </c>
      <c r="W59" s="1411">
        <v>3049</v>
      </c>
      <c r="X59" s="1412">
        <v>8500</v>
      </c>
    </row>
    <row r="60" spans="2:24" hidden="1" outlineLevel="1" x14ac:dyDescent="0.2">
      <c r="B60" s="1390" t="s">
        <v>1263</v>
      </c>
      <c r="C60" s="1253">
        <v>118</v>
      </c>
      <c r="D60" s="77">
        <v>609</v>
      </c>
      <c r="E60" s="77">
        <v>480</v>
      </c>
      <c r="F60" s="77">
        <v>444</v>
      </c>
      <c r="G60" s="77">
        <v>389</v>
      </c>
      <c r="H60" s="77">
        <v>691</v>
      </c>
      <c r="I60" s="77">
        <v>660</v>
      </c>
      <c r="J60" s="77">
        <v>478</v>
      </c>
      <c r="K60" s="77">
        <v>613</v>
      </c>
      <c r="L60" s="77">
        <v>705</v>
      </c>
      <c r="M60" s="77">
        <v>90</v>
      </c>
      <c r="N60" s="77">
        <v>843</v>
      </c>
      <c r="O60" s="77">
        <v>149</v>
      </c>
      <c r="P60" s="77">
        <v>865</v>
      </c>
      <c r="Q60" s="1391"/>
      <c r="R60" s="77">
        <v>764</v>
      </c>
      <c r="S60" s="77">
        <v>988</v>
      </c>
      <c r="T60" s="77">
        <v>284</v>
      </c>
      <c r="U60" s="77">
        <v>128</v>
      </c>
      <c r="V60" s="77">
        <v>242</v>
      </c>
      <c r="W60" s="1411">
        <v>3774</v>
      </c>
      <c r="X60" s="1412">
        <v>12018</v>
      </c>
    </row>
    <row r="61" spans="2:24" hidden="1" outlineLevel="1" x14ac:dyDescent="0.2">
      <c r="B61" s="1390" t="s">
        <v>1264</v>
      </c>
      <c r="C61" s="1253">
        <v>802</v>
      </c>
      <c r="D61" s="77">
        <v>283</v>
      </c>
      <c r="E61" s="77">
        <v>418</v>
      </c>
      <c r="F61" s="77">
        <v>568</v>
      </c>
      <c r="G61" s="77">
        <v>824</v>
      </c>
      <c r="H61" s="77">
        <v>465</v>
      </c>
      <c r="I61" s="77">
        <v>382</v>
      </c>
      <c r="J61" s="77">
        <v>830</v>
      </c>
      <c r="K61" s="77">
        <v>701</v>
      </c>
      <c r="L61" s="77">
        <v>465</v>
      </c>
      <c r="M61" s="77">
        <v>828</v>
      </c>
      <c r="N61" s="77">
        <v>224</v>
      </c>
      <c r="O61" s="77">
        <v>659</v>
      </c>
      <c r="P61" s="77">
        <v>348</v>
      </c>
      <c r="Q61" s="77">
        <v>764</v>
      </c>
      <c r="R61" s="1391"/>
      <c r="S61" s="77">
        <v>584</v>
      </c>
      <c r="T61" s="77">
        <v>758</v>
      </c>
      <c r="U61" s="77">
        <v>829</v>
      </c>
      <c r="V61" s="77">
        <v>862</v>
      </c>
      <c r="W61" s="1411">
        <v>2188</v>
      </c>
      <c r="X61" s="1412">
        <v>3400</v>
      </c>
    </row>
    <row r="62" spans="2:24" hidden="1" outlineLevel="1" x14ac:dyDescent="0.2">
      <c r="B62" s="1390" t="s">
        <v>1265</v>
      </c>
      <c r="C62" s="1253">
        <v>970</v>
      </c>
      <c r="D62" s="77">
        <v>506</v>
      </c>
      <c r="E62" s="77">
        <v>883</v>
      </c>
      <c r="F62" s="77">
        <v>620</v>
      </c>
      <c r="G62" s="77">
        <v>1175</v>
      </c>
      <c r="H62" s="77">
        <v>443</v>
      </c>
      <c r="I62" s="77">
        <v>840</v>
      </c>
      <c r="J62" s="77">
        <v>758</v>
      </c>
      <c r="K62" s="77">
        <v>574</v>
      </c>
      <c r="L62" s="77">
        <v>406</v>
      </c>
      <c r="M62" s="77">
        <v>1043</v>
      </c>
      <c r="N62" s="77">
        <v>431</v>
      </c>
      <c r="O62" s="77">
        <v>880</v>
      </c>
      <c r="P62" s="77">
        <v>801</v>
      </c>
      <c r="Q62" s="77">
        <v>988</v>
      </c>
      <c r="R62" s="77">
        <v>584</v>
      </c>
      <c r="S62" s="1391"/>
      <c r="T62" s="77">
        <v>880</v>
      </c>
      <c r="U62" s="77">
        <v>1046</v>
      </c>
      <c r="V62" s="77">
        <v>965</v>
      </c>
      <c r="W62" s="1413">
        <v>9900</v>
      </c>
      <c r="X62" s="1414">
        <v>16078</v>
      </c>
    </row>
    <row r="63" spans="2:24" hidden="1" outlineLevel="1" x14ac:dyDescent="0.2">
      <c r="B63" s="1390" t="s">
        <v>1266</v>
      </c>
      <c r="C63" s="1253">
        <v>403</v>
      </c>
      <c r="D63" s="77">
        <v>649</v>
      </c>
      <c r="E63" s="77">
        <v>280</v>
      </c>
      <c r="F63" s="77">
        <v>551</v>
      </c>
      <c r="G63" s="77">
        <v>206</v>
      </c>
      <c r="H63" s="77">
        <v>798</v>
      </c>
      <c r="I63" s="77">
        <v>488</v>
      </c>
      <c r="J63" s="77">
        <v>605</v>
      </c>
      <c r="K63" s="77">
        <v>720</v>
      </c>
      <c r="L63" s="77">
        <v>779</v>
      </c>
      <c r="M63" s="77">
        <v>234</v>
      </c>
      <c r="N63" s="77">
        <v>899</v>
      </c>
      <c r="O63" s="77">
        <v>282</v>
      </c>
      <c r="P63" s="77">
        <v>693</v>
      </c>
      <c r="Q63" s="77">
        <v>284</v>
      </c>
      <c r="R63" s="77">
        <v>758</v>
      </c>
      <c r="S63" s="77">
        <v>880</v>
      </c>
      <c r="T63" s="1391"/>
      <c r="U63" s="77">
        <v>145</v>
      </c>
      <c r="V63" s="77">
        <v>484</v>
      </c>
      <c r="W63" s="1411">
        <v>7113</v>
      </c>
      <c r="X63" s="1412">
        <v>11107</v>
      </c>
    </row>
    <row r="64" spans="2:24" hidden="1" outlineLevel="1" x14ac:dyDescent="0.2">
      <c r="B64" s="1390" t="s">
        <v>1267</v>
      </c>
      <c r="C64" s="1253">
        <v>251</v>
      </c>
      <c r="D64" s="77">
        <v>720</v>
      </c>
      <c r="E64" s="77">
        <v>428</v>
      </c>
      <c r="F64" s="77">
        <v>543</v>
      </c>
      <c r="G64" s="77">
        <v>265</v>
      </c>
      <c r="H64" s="77">
        <v>790</v>
      </c>
      <c r="I64" s="77">
        <v>608</v>
      </c>
      <c r="J64" s="77">
        <v>570</v>
      </c>
      <c r="K64" s="77">
        <v>712</v>
      </c>
      <c r="L64" s="77">
        <v>804</v>
      </c>
      <c r="M64" s="77">
        <v>94</v>
      </c>
      <c r="N64" s="77">
        <v>942</v>
      </c>
      <c r="O64" s="77">
        <v>248</v>
      </c>
      <c r="P64" s="77">
        <v>812</v>
      </c>
      <c r="Q64" s="77">
        <v>128</v>
      </c>
      <c r="R64" s="77">
        <v>829</v>
      </c>
      <c r="S64" s="77">
        <v>1046</v>
      </c>
      <c r="T64" s="77">
        <v>145</v>
      </c>
      <c r="U64" s="1391"/>
      <c r="V64" s="77">
        <v>373</v>
      </c>
      <c r="W64" s="1411">
        <v>14005</v>
      </c>
      <c r="X64" s="1412">
        <v>20300</v>
      </c>
    </row>
    <row r="65" spans="2:26" hidden="1" outlineLevel="1" x14ac:dyDescent="0.2">
      <c r="B65" s="1390" t="s">
        <v>1268</v>
      </c>
      <c r="C65" s="1253">
        <v>127</v>
      </c>
      <c r="D65" s="77">
        <v>719</v>
      </c>
      <c r="E65" s="77">
        <v>612</v>
      </c>
      <c r="F65" s="77">
        <v>471</v>
      </c>
      <c r="G65" s="77">
        <v>636</v>
      </c>
      <c r="H65" s="77">
        <v>739</v>
      </c>
      <c r="I65" s="77">
        <v>792</v>
      </c>
      <c r="J65" s="77">
        <v>330</v>
      </c>
      <c r="K65" s="77">
        <v>550</v>
      </c>
      <c r="L65" s="77">
        <v>770</v>
      </c>
      <c r="M65" s="77">
        <v>304</v>
      </c>
      <c r="N65" s="77">
        <v>909</v>
      </c>
      <c r="O65" s="77">
        <v>211</v>
      </c>
      <c r="P65" s="77">
        <v>996</v>
      </c>
      <c r="Q65" s="77">
        <v>242</v>
      </c>
      <c r="R65" s="77">
        <v>862</v>
      </c>
      <c r="S65" s="77">
        <v>965</v>
      </c>
      <c r="T65" s="77">
        <v>484</v>
      </c>
      <c r="U65" s="77">
        <v>373</v>
      </c>
      <c r="V65" s="1391"/>
      <c r="W65" s="1411">
        <v>7981</v>
      </c>
      <c r="X65" s="1412">
        <v>25172</v>
      </c>
    </row>
    <row r="66" spans="2:26" ht="17" hidden="1" outlineLevel="1" thickBot="1" x14ac:dyDescent="0.25">
      <c r="B66" s="1394"/>
      <c r="C66" s="322"/>
      <c r="D66" s="322"/>
      <c r="E66" s="322"/>
      <c r="F66" s="322"/>
      <c r="G66" s="322"/>
      <c r="H66" s="322"/>
      <c r="I66" s="322"/>
      <c r="J66" s="322"/>
      <c r="K66" s="322"/>
      <c r="L66" s="322"/>
      <c r="M66" s="322"/>
      <c r="N66" s="322"/>
      <c r="O66" s="322"/>
      <c r="P66" s="322"/>
      <c r="Q66" s="322"/>
      <c r="R66" s="322"/>
      <c r="S66" s="322"/>
      <c r="T66" s="322"/>
      <c r="U66" s="322"/>
      <c r="V66" s="322"/>
      <c r="W66" s="1251"/>
      <c r="X66" s="1396"/>
    </row>
    <row r="67" spans="2:26" s="328" customFormat="1" hidden="1" outlineLevel="1" x14ac:dyDescent="0.2">
      <c r="B67" s="1397" t="s">
        <v>1090</v>
      </c>
      <c r="C67" s="1398">
        <f>SUM(C46:C65)</f>
        <v>10092</v>
      </c>
      <c r="D67" s="1399">
        <f t="shared" ref="D67:V67" si="2">SUM(D46:D65)</f>
        <v>9696</v>
      </c>
      <c r="E67" s="1399">
        <f t="shared" si="2"/>
        <v>10163</v>
      </c>
      <c r="F67" s="1399">
        <f t="shared" si="2"/>
        <v>9076</v>
      </c>
      <c r="G67" s="1399">
        <f t="shared" si="2"/>
        <v>13014</v>
      </c>
      <c r="H67" s="1399">
        <f t="shared" si="2"/>
        <v>10864</v>
      </c>
      <c r="I67" s="1399">
        <f t="shared" si="2"/>
        <v>11562</v>
      </c>
      <c r="J67" s="1399">
        <f t="shared" si="2"/>
        <v>11201</v>
      </c>
      <c r="K67" s="1399">
        <f t="shared" si="2"/>
        <v>11096</v>
      </c>
      <c r="L67" s="1399">
        <f t="shared" si="2"/>
        <v>10803</v>
      </c>
      <c r="M67" s="1399">
        <f t="shared" si="2"/>
        <v>10135</v>
      </c>
      <c r="N67" s="1399">
        <f t="shared" si="2"/>
        <v>12148</v>
      </c>
      <c r="O67" s="1399">
        <f t="shared" si="2"/>
        <v>8517</v>
      </c>
      <c r="P67" s="1399">
        <f t="shared" si="2"/>
        <v>14256</v>
      </c>
      <c r="Q67" s="1399">
        <f t="shared" si="2"/>
        <v>9540</v>
      </c>
      <c r="R67" s="1399">
        <f t="shared" si="2"/>
        <v>11594</v>
      </c>
      <c r="S67" s="1399">
        <f t="shared" si="2"/>
        <v>14793</v>
      </c>
      <c r="T67" s="1399">
        <f t="shared" si="2"/>
        <v>10138</v>
      </c>
      <c r="U67" s="1399">
        <f t="shared" si="2"/>
        <v>10308</v>
      </c>
      <c r="V67" s="1399">
        <f t="shared" si="2"/>
        <v>11092</v>
      </c>
      <c r="W67" s="1415">
        <f>SUM(W46:W65)</f>
        <v>177467</v>
      </c>
      <c r="X67" s="1416"/>
      <c r="Z67" s="11"/>
    </row>
    <row r="68" spans="2:26" s="328" customFormat="1" ht="17" hidden="1" outlineLevel="1" thickBot="1" x14ac:dyDescent="0.25">
      <c r="B68" s="1402" t="s">
        <v>374</v>
      </c>
      <c r="C68" s="1403">
        <f>AVERAGE(C46:C65)</f>
        <v>531.15789473684208</v>
      </c>
      <c r="D68" s="1404">
        <f t="shared" ref="D68:V68" si="3">AVERAGE(D46:D65)</f>
        <v>510.31578947368422</v>
      </c>
      <c r="E68" s="1404">
        <f t="shared" si="3"/>
        <v>534.89473684210532</v>
      </c>
      <c r="F68" s="1404">
        <f t="shared" si="3"/>
        <v>477.68421052631578</v>
      </c>
      <c r="G68" s="1404">
        <f t="shared" si="3"/>
        <v>684.9473684210526</v>
      </c>
      <c r="H68" s="1404">
        <f t="shared" si="3"/>
        <v>571.78947368421052</v>
      </c>
      <c r="I68" s="1404">
        <f t="shared" si="3"/>
        <v>608.52631578947364</v>
      </c>
      <c r="J68" s="1404">
        <f t="shared" si="3"/>
        <v>589.52631578947364</v>
      </c>
      <c r="K68" s="1404">
        <f t="shared" si="3"/>
        <v>584</v>
      </c>
      <c r="L68" s="1404">
        <f t="shared" si="3"/>
        <v>568.57894736842104</v>
      </c>
      <c r="M68" s="1404">
        <f t="shared" si="3"/>
        <v>533.42105263157896</v>
      </c>
      <c r="N68" s="1404">
        <f t="shared" si="3"/>
        <v>639.36842105263156</v>
      </c>
      <c r="O68" s="1404">
        <f t="shared" si="3"/>
        <v>448.26315789473682</v>
      </c>
      <c r="P68" s="1404">
        <f t="shared" si="3"/>
        <v>750.31578947368416</v>
      </c>
      <c r="Q68" s="1404">
        <f t="shared" si="3"/>
        <v>502.10526315789474</v>
      </c>
      <c r="R68" s="1404">
        <f t="shared" si="3"/>
        <v>610.21052631578948</v>
      </c>
      <c r="S68" s="1404">
        <f t="shared" si="3"/>
        <v>778.57894736842104</v>
      </c>
      <c r="T68" s="1404">
        <f t="shared" si="3"/>
        <v>533.57894736842104</v>
      </c>
      <c r="U68" s="1404">
        <f t="shared" si="3"/>
        <v>542.52631578947364</v>
      </c>
      <c r="V68" s="1404">
        <f t="shared" si="3"/>
        <v>583.78947368421052</v>
      </c>
      <c r="W68" s="1417">
        <f>AVERAGE(W46:W65)</f>
        <v>8873.35</v>
      </c>
      <c r="X68" s="1406">
        <f>AVERAGE(X46:X65)</f>
        <v>18683.5</v>
      </c>
      <c r="Z68" s="11"/>
    </row>
    <row r="69" spans="2:26" s="328" customFormat="1" ht="22" customHeight="1" collapsed="1" x14ac:dyDescent="0.2">
      <c r="C69" s="477"/>
      <c r="D69" s="477"/>
      <c r="E69" s="477"/>
      <c r="F69" s="477"/>
      <c r="G69" s="477"/>
      <c r="H69" s="477"/>
      <c r="I69" s="477"/>
      <c r="J69" s="477"/>
      <c r="K69" s="477"/>
      <c r="L69" s="477"/>
      <c r="M69" s="477"/>
      <c r="N69" s="477"/>
      <c r="O69" s="477"/>
      <c r="P69" s="477"/>
      <c r="Q69" s="477"/>
      <c r="R69" s="477"/>
      <c r="S69" s="477"/>
      <c r="T69" s="477"/>
      <c r="U69" s="477"/>
      <c r="V69" s="477"/>
      <c r="W69" s="1418"/>
      <c r="X69" s="1407"/>
      <c r="Z69" s="11"/>
    </row>
    <row r="70" spans="2:26" s="328" customFormat="1" ht="33" customHeight="1" x14ac:dyDescent="0.2">
      <c r="B70" s="1380" t="s">
        <v>1402</v>
      </c>
      <c r="C70" s="55"/>
      <c r="D70" s="55"/>
      <c r="E70" s="55"/>
      <c r="F70" s="219"/>
      <c r="G70" s="55"/>
      <c r="H70" s="55"/>
      <c r="I70" s="55"/>
      <c r="J70" s="55"/>
      <c r="K70" s="55"/>
      <c r="L70" s="55"/>
      <c r="M70" s="55"/>
      <c r="N70" s="55"/>
      <c r="O70" s="55"/>
      <c r="P70" s="55"/>
      <c r="Q70" s="55"/>
      <c r="R70" s="477"/>
      <c r="S70" s="477"/>
      <c r="T70" s="477"/>
      <c r="U70" s="477"/>
      <c r="V70" s="477"/>
      <c r="W70" s="1418"/>
      <c r="X70" s="1407"/>
      <c r="Z70" s="11"/>
    </row>
    <row r="71" spans="2:26" s="328" customFormat="1" ht="34" hidden="1" customHeight="1" outlineLevel="1" thickBot="1" x14ac:dyDescent="0.25">
      <c r="B71" s="118"/>
      <c r="C71" s="55"/>
      <c r="D71" s="55"/>
      <c r="E71" s="55"/>
      <c r="F71" s="219"/>
      <c r="G71" s="55"/>
      <c r="H71" s="55"/>
      <c r="I71" s="55"/>
      <c r="J71" s="55"/>
      <c r="K71" s="55"/>
      <c r="L71" s="55"/>
      <c r="M71" s="55"/>
      <c r="N71" s="55"/>
      <c r="O71" s="55"/>
      <c r="P71" s="55"/>
      <c r="Q71" s="55"/>
      <c r="R71" s="477"/>
      <c r="S71" s="477"/>
      <c r="T71" s="477"/>
      <c r="U71" s="477"/>
      <c r="V71" s="477"/>
      <c r="W71" s="1418"/>
      <c r="X71" s="1407"/>
      <c r="Z71" s="11"/>
    </row>
    <row r="72" spans="2:26" s="328" customFormat="1" ht="52" hidden="1" customHeight="1" outlineLevel="1" x14ac:dyDescent="0.2">
      <c r="B72" s="1376" t="s">
        <v>26</v>
      </c>
      <c r="C72" s="3173" t="s">
        <v>1759</v>
      </c>
      <c r="D72" s="3154"/>
      <c r="E72" s="3154"/>
      <c r="F72" s="3154"/>
      <c r="G72" s="3154"/>
      <c r="H72" s="3154"/>
      <c r="I72" s="3154"/>
      <c r="J72" s="3154"/>
      <c r="K72" s="3154"/>
      <c r="L72" s="3154"/>
      <c r="M72" s="3154"/>
      <c r="N72" s="3154"/>
      <c r="O72" s="3154"/>
      <c r="P72" s="3154"/>
      <c r="Q72" s="3155"/>
      <c r="R72" s="477"/>
      <c r="S72" s="477"/>
      <c r="T72" s="477"/>
      <c r="U72" s="477"/>
      <c r="V72" s="477"/>
      <c r="W72" s="1418"/>
      <c r="X72" s="1407"/>
      <c r="Z72" s="11"/>
    </row>
    <row r="73" spans="2:26" s="328" customFormat="1" ht="30" hidden="1" customHeight="1" outlineLevel="1" thickBot="1" x14ac:dyDescent="0.25">
      <c r="B73" s="1377" t="s">
        <v>27</v>
      </c>
      <c r="C73" s="3156" t="s">
        <v>1381</v>
      </c>
      <c r="D73" s="3157"/>
      <c r="E73" s="3157"/>
      <c r="F73" s="3157"/>
      <c r="G73" s="3157"/>
      <c r="H73" s="3157"/>
      <c r="I73" s="3157"/>
      <c r="J73" s="3157"/>
      <c r="K73" s="3157"/>
      <c r="L73" s="3157"/>
      <c r="M73" s="3157"/>
      <c r="N73" s="3157"/>
      <c r="O73" s="3157"/>
      <c r="P73" s="3157"/>
      <c r="Q73" s="3158"/>
      <c r="R73" s="477"/>
      <c r="S73" s="477"/>
      <c r="T73" s="477"/>
      <c r="U73" s="477"/>
      <c r="V73" s="477"/>
      <c r="W73" s="1418"/>
      <c r="X73" s="1407"/>
      <c r="Z73" s="11"/>
    </row>
    <row r="74" spans="2:26" s="328" customFormat="1" ht="22" hidden="1" customHeight="1" outlineLevel="1" x14ac:dyDescent="0.2">
      <c r="B74" s="55"/>
      <c r="C74" s="477"/>
      <c r="D74" s="477"/>
      <c r="E74" s="477"/>
      <c r="F74" s="477"/>
      <c r="G74" s="477"/>
      <c r="H74" s="477"/>
      <c r="I74" s="477"/>
      <c r="J74" s="477"/>
      <c r="K74" s="477"/>
      <c r="L74" s="477"/>
      <c r="M74" s="477"/>
      <c r="N74" s="477"/>
      <c r="O74" s="477"/>
      <c r="P74" s="477"/>
      <c r="Q74" s="477"/>
      <c r="R74" s="477"/>
      <c r="S74" s="477"/>
      <c r="T74" s="477"/>
      <c r="U74" s="477"/>
      <c r="V74" s="477"/>
      <c r="W74" s="1418"/>
      <c r="X74" s="1407"/>
      <c r="Z74" s="11"/>
    </row>
    <row r="75" spans="2:26" s="328" customFormat="1" ht="22" hidden="1" customHeight="1" outlineLevel="1" thickBot="1" x14ac:dyDescent="0.25">
      <c r="B75" s="55"/>
      <c r="C75" s="477"/>
      <c r="D75" s="477"/>
      <c r="E75" s="477"/>
      <c r="F75" s="477"/>
      <c r="G75" s="477"/>
      <c r="H75" s="477"/>
      <c r="I75" s="477"/>
      <c r="J75" s="477"/>
      <c r="K75" s="477"/>
      <c r="L75" s="477"/>
      <c r="M75" s="477"/>
      <c r="N75" s="477"/>
      <c r="O75" s="477"/>
      <c r="P75" s="477"/>
      <c r="Q75" s="477"/>
      <c r="R75" s="477"/>
      <c r="S75" s="477"/>
      <c r="T75" s="477"/>
      <c r="U75" s="477"/>
      <c r="V75" s="477"/>
      <c r="W75" s="1418"/>
      <c r="X75" s="1407"/>
      <c r="Z75" s="11"/>
    </row>
    <row r="76" spans="2:26" s="328" customFormat="1" ht="30" hidden="1" customHeight="1" outlineLevel="1" thickBot="1" x14ac:dyDescent="0.25">
      <c r="B76" s="3169" t="s">
        <v>1367</v>
      </c>
      <c r="C76" s="3170"/>
      <c r="D76" s="3171"/>
      <c r="E76" s="2"/>
      <c r="F76" s="2"/>
      <c r="G76" s="2"/>
      <c r="H76" s="2"/>
      <c r="I76" s="2"/>
      <c r="J76" s="2"/>
      <c r="K76" s="2"/>
      <c r="L76" s="2"/>
      <c r="M76" s="2"/>
      <c r="N76" s="2"/>
      <c r="O76" s="2"/>
      <c r="P76" s="2"/>
      <c r="Q76" s="2"/>
      <c r="R76" s="2"/>
      <c r="S76" s="2"/>
      <c r="T76" s="2"/>
      <c r="U76" s="2"/>
      <c r="V76" s="2"/>
      <c r="W76" s="558"/>
      <c r="X76" s="558"/>
      <c r="Z76" s="11"/>
    </row>
    <row r="77" spans="2:26" s="328" customFormat="1" ht="35" hidden="1" outlineLevel="1" thickBot="1" x14ac:dyDescent="0.25">
      <c r="B77" s="1373" t="s">
        <v>1227</v>
      </c>
      <c r="C77" s="1445" t="s">
        <v>1382</v>
      </c>
      <c r="D77" s="1373" t="s">
        <v>1368</v>
      </c>
      <c r="E77" s="2"/>
      <c r="F77" s="2"/>
      <c r="G77" s="2"/>
      <c r="H77" s="2"/>
      <c r="I77" s="2"/>
      <c r="J77" s="2"/>
      <c r="K77" s="2"/>
      <c r="L77" s="2"/>
      <c r="M77" s="2"/>
      <c r="N77" s="2"/>
      <c r="O77" s="2"/>
      <c r="P77" s="2"/>
      <c r="Q77" s="2"/>
      <c r="R77" s="2"/>
      <c r="S77" s="2"/>
      <c r="T77" s="2"/>
      <c r="U77" s="2"/>
      <c r="V77" s="2"/>
      <c r="W77" s="558"/>
      <c r="X77" s="558"/>
      <c r="Z77" s="11"/>
    </row>
    <row r="78" spans="2:26" s="328" customFormat="1" hidden="1" outlineLevel="1" x14ac:dyDescent="0.2">
      <c r="B78" s="1420" t="s">
        <v>1369</v>
      </c>
      <c r="C78" s="1421">
        <f>787*(1-14%)</f>
        <v>676.81999999999994</v>
      </c>
      <c r="D78" s="1422">
        <v>1524</v>
      </c>
      <c r="E78" s="2"/>
      <c r="F78" s="2"/>
      <c r="G78" s="2"/>
      <c r="H78" s="2"/>
      <c r="I78" s="2"/>
      <c r="J78" s="2"/>
      <c r="K78" s="2"/>
      <c r="L78" s="2"/>
      <c r="M78" s="2"/>
      <c r="N78" s="2"/>
      <c r="O78" s="2"/>
      <c r="P78" s="2"/>
      <c r="Q78" s="2"/>
      <c r="R78" s="2"/>
      <c r="S78" s="2"/>
      <c r="T78" s="2"/>
      <c r="U78" s="2"/>
      <c r="V78" s="2"/>
      <c r="W78" s="558"/>
      <c r="X78" s="558"/>
      <c r="Z78" s="11"/>
    </row>
    <row r="79" spans="2:26" s="328" customFormat="1" hidden="1" outlineLevel="1" x14ac:dyDescent="0.2">
      <c r="B79" s="1423" t="s">
        <v>1370</v>
      </c>
      <c r="C79" s="1424">
        <f>5575*(1-14%)</f>
        <v>4794.5</v>
      </c>
      <c r="D79" s="1425">
        <v>2164</v>
      </c>
      <c r="E79" s="2"/>
      <c r="F79" s="2"/>
      <c r="G79" s="2"/>
      <c r="H79" s="2"/>
      <c r="I79" s="2"/>
      <c r="J79" s="2"/>
      <c r="K79" s="2"/>
      <c r="L79" s="2"/>
      <c r="M79" s="2"/>
      <c r="N79" s="2"/>
      <c r="O79" s="2"/>
      <c r="P79" s="2"/>
      <c r="Q79" s="2"/>
      <c r="R79" s="2"/>
      <c r="S79" s="2"/>
      <c r="T79" s="2"/>
      <c r="U79" s="2"/>
      <c r="V79" s="2"/>
      <c r="W79" s="558"/>
      <c r="X79" s="558"/>
      <c r="Z79" s="11"/>
    </row>
    <row r="80" spans="2:26" s="328" customFormat="1" hidden="1" outlineLevel="1" x14ac:dyDescent="0.2">
      <c r="B80" s="1423" t="s">
        <v>890</v>
      </c>
      <c r="C80" s="1424">
        <f>1834*(1-14%)</f>
        <v>1577.24</v>
      </c>
      <c r="D80" s="1425">
        <v>18845</v>
      </c>
      <c r="E80" s="2"/>
      <c r="F80" s="2"/>
      <c r="G80" s="2"/>
      <c r="H80" s="2"/>
      <c r="I80" s="2"/>
      <c r="J80" s="2"/>
      <c r="K80" s="2"/>
      <c r="L80" s="2"/>
      <c r="M80" s="2"/>
      <c r="N80" s="2"/>
      <c r="O80" s="2"/>
      <c r="P80" s="2"/>
      <c r="Q80" s="2"/>
      <c r="R80" s="2"/>
      <c r="S80" s="2"/>
      <c r="T80" s="2"/>
      <c r="U80" s="2"/>
      <c r="V80" s="2"/>
      <c r="W80" s="558"/>
      <c r="X80" s="558"/>
      <c r="Z80" s="11"/>
    </row>
    <row r="81" spans="2:26" s="328" customFormat="1" hidden="1" outlineLevel="1" x14ac:dyDescent="0.2">
      <c r="B81" s="1423" t="s">
        <v>1371</v>
      </c>
      <c r="C81" s="1424">
        <f>549*(1-14%)</f>
        <v>472.14</v>
      </c>
      <c r="D81" s="1425">
        <v>1000</v>
      </c>
      <c r="E81" s="2"/>
      <c r="F81" s="2"/>
      <c r="G81" s="2"/>
      <c r="H81" s="2"/>
      <c r="I81" s="2"/>
      <c r="J81" s="2"/>
      <c r="K81" s="2"/>
      <c r="L81" s="2"/>
      <c r="M81" s="2"/>
      <c r="N81" s="2"/>
      <c r="O81" s="2"/>
      <c r="P81" s="2"/>
      <c r="Q81" s="2"/>
      <c r="R81" s="2"/>
      <c r="S81" s="2"/>
      <c r="T81" s="2"/>
      <c r="U81" s="2"/>
      <c r="V81" s="2"/>
      <c r="W81" s="558"/>
      <c r="X81" s="558"/>
      <c r="Z81" s="11"/>
    </row>
    <row r="82" spans="2:26" s="328" customFormat="1" hidden="1" outlineLevel="1" x14ac:dyDescent="0.2">
      <c r="B82" s="1423" t="s">
        <v>1372</v>
      </c>
      <c r="C82" s="1424">
        <f>330*(1-14%)</f>
        <v>283.8</v>
      </c>
      <c r="D82" s="1425">
        <v>1280</v>
      </c>
      <c r="E82" s="2"/>
      <c r="F82" s="2"/>
      <c r="G82" s="2"/>
      <c r="H82" s="2"/>
      <c r="I82" s="2"/>
      <c r="J82" s="2"/>
      <c r="K82" s="2"/>
      <c r="L82" s="2"/>
      <c r="M82" s="2"/>
      <c r="N82" s="2"/>
      <c r="O82" s="2"/>
      <c r="P82" s="2"/>
      <c r="Q82" s="2"/>
      <c r="R82" s="2"/>
      <c r="S82" s="2"/>
      <c r="T82" s="2"/>
      <c r="U82" s="2"/>
      <c r="V82" s="2"/>
      <c r="W82" s="558"/>
      <c r="X82" s="558"/>
      <c r="Z82" s="11"/>
    </row>
    <row r="83" spans="2:26" s="328" customFormat="1" hidden="1" outlineLevel="1" x14ac:dyDescent="0.2">
      <c r="B83" s="1423" t="s">
        <v>1373</v>
      </c>
      <c r="C83" s="1424">
        <f>1116*(1-14%)</f>
        <v>959.76</v>
      </c>
      <c r="D83" s="1425">
        <v>7000</v>
      </c>
      <c r="E83" s="2"/>
      <c r="F83" s="2"/>
      <c r="G83" s="2"/>
      <c r="H83" s="2"/>
      <c r="I83" s="2"/>
      <c r="J83" s="2"/>
      <c r="K83" s="2"/>
      <c r="L83" s="2"/>
      <c r="M83" s="2"/>
      <c r="N83" s="2"/>
      <c r="O83" s="2"/>
      <c r="P83" s="2"/>
      <c r="Q83" s="2"/>
      <c r="R83" s="2"/>
      <c r="S83" s="2"/>
      <c r="T83" s="2"/>
      <c r="U83" s="2"/>
      <c r="V83" s="2"/>
      <c r="W83" s="558"/>
      <c r="X83" s="558"/>
      <c r="Z83" s="11"/>
    </row>
    <row r="84" spans="2:26" s="328" customFormat="1" hidden="1" outlineLevel="1" x14ac:dyDescent="0.2">
      <c r="B84" s="1423" t="s">
        <v>1374</v>
      </c>
      <c r="C84" s="1424">
        <f>474*(1-14%)</f>
        <v>407.64</v>
      </c>
      <c r="D84" s="1425">
        <v>500</v>
      </c>
      <c r="E84" s="2"/>
      <c r="F84" s="2"/>
      <c r="G84" s="2"/>
      <c r="H84" s="2"/>
      <c r="I84" s="2"/>
      <c r="J84" s="2"/>
      <c r="K84" s="2"/>
      <c r="L84" s="2"/>
      <c r="M84" s="2"/>
      <c r="N84" s="2"/>
      <c r="O84" s="2"/>
      <c r="P84" s="2"/>
      <c r="Q84" s="2"/>
      <c r="R84" s="2"/>
      <c r="S84" s="2"/>
      <c r="T84" s="2"/>
      <c r="U84" s="2"/>
      <c r="V84" s="2"/>
      <c r="W84" s="558"/>
      <c r="X84" s="558"/>
      <c r="Z84" s="11"/>
    </row>
    <row r="85" spans="2:26" s="328" customFormat="1" hidden="1" outlineLevel="1" x14ac:dyDescent="0.2">
      <c r="B85" s="1423" t="s">
        <v>1375</v>
      </c>
      <c r="C85" s="1424">
        <f>790*(1-14%)</f>
        <v>679.4</v>
      </c>
      <c r="D85" s="1425">
        <v>1960</v>
      </c>
      <c r="E85" s="2"/>
      <c r="F85" s="2"/>
      <c r="G85" s="2"/>
      <c r="H85" s="2"/>
      <c r="I85" s="2"/>
      <c r="J85" s="2"/>
      <c r="K85" s="2"/>
      <c r="L85" s="2"/>
      <c r="M85" s="2"/>
      <c r="N85" s="2"/>
      <c r="O85" s="2"/>
      <c r="P85" s="2"/>
      <c r="Q85" s="2"/>
      <c r="R85" s="2"/>
      <c r="S85" s="2"/>
      <c r="T85" s="2"/>
      <c r="U85" s="2"/>
      <c r="V85" s="2"/>
      <c r="W85" s="558"/>
      <c r="X85" s="558"/>
      <c r="Z85" s="11"/>
    </row>
    <row r="86" spans="2:26" s="328" customFormat="1" hidden="1" outlineLevel="1" x14ac:dyDescent="0.2">
      <c r="B86" s="1423" t="s">
        <v>1376</v>
      </c>
      <c r="C86" s="1424">
        <f>1000*(1-14%)</f>
        <v>860</v>
      </c>
      <c r="D86" s="1425">
        <v>385</v>
      </c>
      <c r="E86" s="2"/>
      <c r="F86" s="2"/>
      <c r="G86" s="2"/>
      <c r="H86" s="2"/>
      <c r="I86" s="2"/>
      <c r="J86" s="2"/>
      <c r="K86" s="2"/>
      <c r="L86" s="2"/>
      <c r="M86" s="2"/>
      <c r="N86" s="2"/>
      <c r="O86" s="2"/>
      <c r="P86" s="2"/>
      <c r="Q86" s="2"/>
      <c r="R86" s="2"/>
      <c r="S86" s="2"/>
      <c r="T86" s="2"/>
      <c r="U86" s="2"/>
      <c r="V86" s="2"/>
      <c r="W86" s="558"/>
      <c r="X86" s="558"/>
      <c r="Z86" s="11"/>
    </row>
    <row r="87" spans="2:26" s="328" customFormat="1" hidden="1" outlineLevel="1" x14ac:dyDescent="0.2">
      <c r="B87" s="1423" t="s">
        <v>1377</v>
      </c>
      <c r="C87" s="1424">
        <f>715*(1-14%)</f>
        <v>614.9</v>
      </c>
      <c r="D87" s="1425">
        <v>498</v>
      </c>
      <c r="E87" s="2"/>
      <c r="F87" s="2"/>
      <c r="G87" s="2"/>
      <c r="H87" s="2"/>
      <c r="I87" s="2"/>
      <c r="J87" s="2"/>
      <c r="K87" s="2"/>
      <c r="L87" s="2"/>
      <c r="M87" s="2"/>
      <c r="N87" s="2"/>
      <c r="O87" s="2"/>
      <c r="P87" s="2"/>
      <c r="Q87" s="2"/>
      <c r="R87" s="2"/>
      <c r="S87" s="2"/>
      <c r="T87" s="2"/>
      <c r="U87" s="2"/>
      <c r="V87" s="2"/>
      <c r="W87" s="558"/>
      <c r="X87" s="558"/>
      <c r="Z87" s="11"/>
    </row>
    <row r="88" spans="2:26" s="328" customFormat="1" hidden="1" outlineLevel="1" x14ac:dyDescent="0.2">
      <c r="B88" s="1423" t="s">
        <v>1378</v>
      </c>
      <c r="C88" s="1424">
        <f>1781*(1-14%)</f>
        <v>1531.66</v>
      </c>
      <c r="D88" s="1425">
        <v>25178</v>
      </c>
      <c r="E88" s="2"/>
      <c r="F88" s="2"/>
      <c r="G88" s="2"/>
      <c r="H88" s="2"/>
      <c r="I88" s="2"/>
      <c r="J88" s="2"/>
      <c r="K88" s="2"/>
      <c r="L88" s="2"/>
      <c r="M88" s="2"/>
      <c r="N88" s="2"/>
      <c r="O88" s="2"/>
      <c r="P88" s="2"/>
      <c r="Q88" s="2"/>
      <c r="R88" s="2"/>
      <c r="S88" s="2"/>
      <c r="T88" s="2"/>
      <c r="U88" s="2"/>
      <c r="V88" s="2"/>
      <c r="W88" s="558"/>
      <c r="X88" s="558"/>
      <c r="Z88" s="11"/>
    </row>
    <row r="89" spans="2:26" s="328" customFormat="1" hidden="1" outlineLevel="1" x14ac:dyDescent="0.2">
      <c r="B89" s="1423" t="s">
        <v>1379</v>
      </c>
      <c r="C89" s="1424">
        <f>1000*(1-14%)</f>
        <v>860</v>
      </c>
      <c r="D89" s="1425">
        <v>400</v>
      </c>
      <c r="E89" s="2"/>
      <c r="F89" s="2"/>
      <c r="G89" s="2"/>
      <c r="H89" s="2"/>
      <c r="I89" s="2"/>
      <c r="J89" s="2"/>
      <c r="K89" s="2"/>
      <c r="L89" s="2"/>
      <c r="M89" s="2"/>
      <c r="N89" s="2"/>
      <c r="O89" s="2"/>
      <c r="P89" s="2"/>
      <c r="Q89" s="2"/>
      <c r="R89" s="2"/>
      <c r="S89" s="2"/>
      <c r="T89" s="2"/>
      <c r="U89" s="2"/>
      <c r="V89" s="2"/>
      <c r="W89" s="558"/>
      <c r="X89" s="558"/>
      <c r="Z89" s="11"/>
    </row>
    <row r="90" spans="2:26" s="328" customFormat="1" ht="17" hidden="1" outlineLevel="1" thickBot="1" x14ac:dyDescent="0.25">
      <c r="B90" s="1372"/>
      <c r="C90" s="1372"/>
      <c r="D90" s="1394"/>
      <c r="E90" s="2"/>
      <c r="F90" s="2"/>
      <c r="G90" s="2"/>
      <c r="H90" s="2"/>
      <c r="I90" s="2"/>
      <c r="J90" s="2"/>
      <c r="K90" s="2"/>
      <c r="L90" s="2"/>
      <c r="M90" s="2"/>
      <c r="N90" s="2"/>
      <c r="O90" s="2"/>
      <c r="P90" s="2"/>
      <c r="Q90" s="2"/>
      <c r="R90" s="2"/>
      <c r="S90" s="2"/>
      <c r="T90" s="2"/>
      <c r="U90" s="2"/>
      <c r="V90" s="2"/>
      <c r="W90" s="558"/>
      <c r="X90" s="558"/>
      <c r="Z90" s="11"/>
    </row>
    <row r="91" spans="2:26" s="328" customFormat="1" ht="17" hidden="1" outlineLevel="1" thickBot="1" x14ac:dyDescent="0.25">
      <c r="B91" s="1426" t="s">
        <v>374</v>
      </c>
      <c r="C91" s="1427">
        <f>AVERAGE(C78:C89)</f>
        <v>1143.155</v>
      </c>
      <c r="D91" s="1428">
        <f>AVERAGE(D78:D89)</f>
        <v>5061.166666666667</v>
      </c>
      <c r="E91" s="2"/>
      <c r="F91" s="2"/>
      <c r="G91" s="2"/>
      <c r="H91" s="2"/>
      <c r="I91" s="2"/>
      <c r="J91" s="2"/>
      <c r="K91" s="2"/>
      <c r="L91" s="2"/>
      <c r="M91" s="2"/>
      <c r="N91" s="2"/>
      <c r="O91" s="2"/>
      <c r="P91" s="2"/>
      <c r="Q91" s="2"/>
      <c r="R91" s="2"/>
      <c r="S91" s="2"/>
      <c r="T91" s="2"/>
      <c r="U91" s="2"/>
      <c r="V91" s="2"/>
      <c r="W91" s="558"/>
      <c r="X91" s="558"/>
      <c r="Z91" s="11"/>
    </row>
    <row r="92" spans="2:26" s="328" customFormat="1" hidden="1" outlineLevel="1" x14ac:dyDescent="0.2">
      <c r="C92" s="1407"/>
      <c r="D92" s="1407"/>
      <c r="F92" s="477"/>
      <c r="G92" s="477"/>
      <c r="H92" s="477"/>
      <c r="I92" s="477"/>
      <c r="J92" s="477"/>
      <c r="K92" s="477"/>
      <c r="L92" s="477"/>
      <c r="M92" s="477"/>
      <c r="N92" s="477"/>
      <c r="O92" s="477"/>
      <c r="P92" s="477"/>
      <c r="Q92" s="477"/>
      <c r="R92" s="477"/>
      <c r="S92" s="477"/>
      <c r="T92" s="477"/>
      <c r="U92" s="477"/>
      <c r="V92" s="477"/>
      <c r="W92" s="1429"/>
      <c r="X92" s="1429"/>
      <c r="Z92" s="11"/>
    </row>
    <row r="93" spans="2:26" s="328" customFormat="1" ht="18" hidden="1" customHeight="1" outlineLevel="1" x14ac:dyDescent="0.2">
      <c r="F93" s="477"/>
      <c r="G93" s="477"/>
      <c r="H93" s="477"/>
      <c r="I93" s="477"/>
      <c r="J93" s="477"/>
      <c r="K93" s="477"/>
      <c r="L93" s="477"/>
      <c r="M93" s="477"/>
      <c r="N93" s="477"/>
      <c r="O93" s="477"/>
      <c r="P93" s="477"/>
      <c r="Q93" s="477"/>
      <c r="R93" s="477"/>
      <c r="S93" s="477"/>
      <c r="T93" s="477"/>
      <c r="U93" s="477"/>
      <c r="V93" s="477"/>
      <c r="W93" s="1418"/>
      <c r="X93" s="1407"/>
      <c r="Z93" s="11"/>
    </row>
    <row r="94" spans="2:26" s="328" customFormat="1" ht="40" hidden="1" customHeight="1" outlineLevel="1" x14ac:dyDescent="0.2">
      <c r="B94" s="3164" t="s">
        <v>1423</v>
      </c>
      <c r="C94" s="3165"/>
      <c r="D94" s="3165"/>
      <c r="E94" s="2"/>
      <c r="F94" s="477"/>
      <c r="G94" s="477"/>
      <c r="H94" s="477"/>
      <c r="I94" s="477"/>
      <c r="J94" s="477"/>
      <c r="K94" s="477"/>
      <c r="L94" s="477"/>
      <c r="M94" s="477"/>
      <c r="N94" s="477"/>
      <c r="O94" s="477"/>
      <c r="P94" s="477"/>
      <c r="Q94" s="477"/>
      <c r="R94" s="477"/>
      <c r="S94" s="477"/>
      <c r="T94" s="477"/>
      <c r="U94" s="477"/>
      <c r="V94" s="477"/>
      <c r="W94" s="1418"/>
      <c r="X94" s="1407"/>
      <c r="Z94" s="11"/>
    </row>
    <row r="95" spans="2:26" s="328" customFormat="1" ht="35" hidden="1" customHeight="1" outlineLevel="1" x14ac:dyDescent="0.2">
      <c r="B95" s="76" t="s">
        <v>1384</v>
      </c>
      <c r="C95" s="76">
        <f>C239</f>
        <v>1120</v>
      </c>
      <c r="D95" s="81" t="s">
        <v>685</v>
      </c>
      <c r="F95" s="477"/>
      <c r="G95" s="477"/>
      <c r="H95" s="477"/>
      <c r="I95" s="477"/>
      <c r="J95" s="477"/>
      <c r="K95" s="477"/>
      <c r="L95" s="477"/>
      <c r="M95" s="477"/>
      <c r="N95" s="477"/>
      <c r="O95" s="477"/>
      <c r="P95" s="477"/>
      <c r="Q95" s="477"/>
      <c r="R95" s="477"/>
      <c r="S95" s="477"/>
      <c r="T95" s="477"/>
      <c r="U95" s="477"/>
      <c r="V95" s="477"/>
      <c r="W95" s="1418"/>
      <c r="X95" s="1407"/>
      <c r="Z95" s="11"/>
    </row>
    <row r="96" spans="2:26" s="328" customFormat="1" ht="26" customHeight="1" collapsed="1" x14ac:dyDescent="0.2">
      <c r="B96" s="55"/>
      <c r="C96" s="55"/>
      <c r="D96" s="55"/>
      <c r="F96" s="477"/>
      <c r="G96" s="477"/>
      <c r="H96" s="477"/>
      <c r="I96" s="477"/>
      <c r="J96" s="477"/>
      <c r="K96" s="477"/>
      <c r="L96" s="477"/>
      <c r="M96" s="477"/>
      <c r="N96" s="477"/>
      <c r="O96" s="477"/>
      <c r="P96" s="477"/>
      <c r="Q96" s="477"/>
      <c r="R96" s="477"/>
      <c r="S96" s="477"/>
      <c r="T96" s="477"/>
      <c r="U96" s="477"/>
      <c r="V96" s="477"/>
      <c r="W96" s="1418"/>
      <c r="X96" s="1407"/>
      <c r="Z96" s="11"/>
    </row>
    <row r="97" spans="2:26" s="328" customFormat="1" ht="33" customHeight="1" x14ac:dyDescent="0.2">
      <c r="B97" s="1380" t="s">
        <v>1403</v>
      </c>
      <c r="C97" s="477"/>
      <c r="D97" s="477"/>
      <c r="E97" s="477"/>
      <c r="F97" s="477"/>
      <c r="G97" s="477"/>
      <c r="H97" s="477"/>
      <c r="I97" s="477"/>
      <c r="J97" s="477"/>
      <c r="K97" s="477"/>
      <c r="L97" s="477"/>
      <c r="M97" s="477"/>
      <c r="N97" s="477"/>
      <c r="O97" s="477"/>
      <c r="P97" s="477"/>
      <c r="Q97" s="477"/>
      <c r="R97" s="477"/>
      <c r="S97" s="477"/>
      <c r="T97" s="477"/>
      <c r="U97" s="477"/>
      <c r="V97" s="477"/>
      <c r="W97" s="1418"/>
      <c r="X97" s="1407"/>
      <c r="Z97" s="11"/>
    </row>
    <row r="98" spans="2:26" s="328" customFormat="1" ht="26" hidden="1" customHeight="1" outlineLevel="1" thickBot="1" x14ac:dyDescent="0.25">
      <c r="B98" s="1380"/>
      <c r="C98" s="477"/>
      <c r="D98" s="477"/>
      <c r="E98" s="477"/>
      <c r="F98" s="477"/>
      <c r="G98" s="477"/>
      <c r="H98" s="477"/>
      <c r="I98" s="477"/>
      <c r="J98" s="477"/>
      <c r="K98" s="477"/>
      <c r="L98" s="477"/>
      <c r="M98" s="477"/>
      <c r="N98" s="477"/>
      <c r="O98" s="477"/>
      <c r="P98" s="477"/>
      <c r="Q98" s="477"/>
      <c r="R98" s="477"/>
      <c r="S98" s="477"/>
      <c r="T98" s="477"/>
      <c r="U98" s="477"/>
      <c r="V98" s="477"/>
      <c r="W98" s="1418"/>
      <c r="X98" s="1407"/>
      <c r="Z98" s="11"/>
    </row>
    <row r="99" spans="2:26" s="328" customFormat="1" ht="34" hidden="1" customHeight="1" outlineLevel="1" x14ac:dyDescent="0.2">
      <c r="B99" s="146" t="s">
        <v>26</v>
      </c>
      <c r="C99" s="3172" t="s">
        <v>1760</v>
      </c>
      <c r="D99" s="2625"/>
      <c r="E99" s="2625"/>
      <c r="F99" s="2625"/>
      <c r="G99" s="2625"/>
      <c r="H99" s="2625"/>
      <c r="I99" s="2625"/>
      <c r="J99" s="2625"/>
      <c r="K99" s="2625"/>
      <c r="L99" s="2625"/>
      <c r="M99" s="2625"/>
      <c r="N99" s="2625"/>
      <c r="O99" s="2625"/>
      <c r="P99" s="2625"/>
      <c r="Q99" s="2626"/>
      <c r="R99" s="477"/>
      <c r="S99" s="477"/>
      <c r="T99" s="477"/>
      <c r="U99" s="477"/>
      <c r="V99" s="477"/>
      <c r="W99" s="1418"/>
      <c r="X99" s="1407"/>
      <c r="Z99" s="11"/>
    </row>
    <row r="100" spans="2:26" s="328" customFormat="1" ht="49" hidden="1" customHeight="1" outlineLevel="1" x14ac:dyDescent="0.2">
      <c r="B100" s="147" t="s">
        <v>27</v>
      </c>
      <c r="C100" s="2630" t="s">
        <v>1421</v>
      </c>
      <c r="D100" s="2631"/>
      <c r="E100" s="2631"/>
      <c r="F100" s="2631"/>
      <c r="G100" s="2631"/>
      <c r="H100" s="2631"/>
      <c r="I100" s="2631"/>
      <c r="J100" s="2631"/>
      <c r="K100" s="2631"/>
      <c r="L100" s="2631"/>
      <c r="M100" s="2631"/>
      <c r="N100" s="2631"/>
      <c r="O100" s="2631"/>
      <c r="P100" s="2631"/>
      <c r="Q100" s="2632"/>
      <c r="R100" s="477"/>
      <c r="S100" s="477"/>
      <c r="T100" s="477"/>
      <c r="U100" s="477"/>
      <c r="V100" s="477"/>
      <c r="W100" s="1418"/>
      <c r="X100" s="1407"/>
      <c r="Z100" s="11"/>
    </row>
    <row r="101" spans="2:26" s="328" customFormat="1" ht="34" hidden="1" customHeight="1" outlineLevel="1" thickBot="1" x14ac:dyDescent="0.25">
      <c r="B101" s="148" t="s">
        <v>28</v>
      </c>
      <c r="C101" s="2633" t="s">
        <v>1422</v>
      </c>
      <c r="D101" s="2634"/>
      <c r="E101" s="2634"/>
      <c r="F101" s="2634"/>
      <c r="G101" s="2634"/>
      <c r="H101" s="2634"/>
      <c r="I101" s="2634"/>
      <c r="J101" s="2634"/>
      <c r="K101" s="2634"/>
      <c r="L101" s="2634"/>
      <c r="M101" s="2634"/>
      <c r="N101" s="2634"/>
      <c r="O101" s="2634"/>
      <c r="P101" s="2634"/>
      <c r="Q101" s="2635"/>
      <c r="R101" s="477"/>
      <c r="S101" s="477"/>
      <c r="T101" s="477"/>
      <c r="U101" s="477"/>
      <c r="V101" s="477"/>
      <c r="W101" s="1418"/>
      <c r="X101" s="1407"/>
      <c r="Z101" s="11"/>
    </row>
    <row r="102" spans="2:26" s="328" customFormat="1" ht="18" hidden="1" customHeight="1" outlineLevel="1" x14ac:dyDescent="0.2">
      <c r="C102" s="477"/>
      <c r="D102" s="477"/>
      <c r="E102" s="477"/>
      <c r="F102" s="477"/>
      <c r="G102" s="477"/>
      <c r="H102" s="477"/>
      <c r="I102" s="477"/>
      <c r="J102" s="477"/>
      <c r="K102" s="477"/>
      <c r="L102" s="477"/>
      <c r="M102" s="477"/>
      <c r="N102" s="477"/>
      <c r="O102" s="477"/>
      <c r="P102" s="477"/>
      <c r="Q102" s="477"/>
      <c r="R102" s="477"/>
      <c r="S102" s="477"/>
      <c r="T102" s="477"/>
      <c r="U102" s="477"/>
      <c r="V102" s="477"/>
      <c r="W102" s="1418"/>
      <c r="X102" s="1407"/>
      <c r="Z102" s="11"/>
    </row>
    <row r="103" spans="2:26" s="328" customFormat="1" ht="18" hidden="1" customHeight="1" outlineLevel="1" thickBot="1" x14ac:dyDescent="0.25">
      <c r="B103" s="86"/>
      <c r="C103" s="477"/>
      <c r="D103" s="477"/>
      <c r="E103" s="477"/>
      <c r="F103" s="477"/>
      <c r="G103" s="477"/>
      <c r="H103" s="477"/>
      <c r="I103" s="477"/>
      <c r="J103" s="477"/>
      <c r="K103" s="477"/>
      <c r="L103" s="477"/>
      <c r="M103" s="477"/>
      <c r="N103" s="477"/>
      <c r="O103" s="477"/>
      <c r="P103" s="477"/>
      <c r="Q103" s="477"/>
      <c r="R103" s="477"/>
      <c r="S103" s="477"/>
      <c r="T103" s="477"/>
      <c r="U103" s="477"/>
      <c r="V103" s="477"/>
      <c r="W103" s="1418"/>
      <c r="X103" s="1407"/>
      <c r="Z103" s="11"/>
    </row>
    <row r="104" spans="2:26" s="328" customFormat="1" ht="40" hidden="1" customHeight="1" outlineLevel="1" thickBot="1" x14ac:dyDescent="0.25">
      <c r="B104" s="3169" t="s">
        <v>1404</v>
      </c>
      <c r="C104" s="3170"/>
      <c r="D104" s="3170"/>
      <c r="E104" s="3171"/>
      <c r="F104" s="2"/>
      <c r="G104" s="2"/>
      <c r="H104" s="2"/>
      <c r="I104" s="2"/>
      <c r="J104" s="2"/>
      <c r="K104" s="2"/>
      <c r="L104" s="2"/>
      <c r="M104" s="2"/>
      <c r="N104" s="2"/>
      <c r="O104" s="2"/>
      <c r="P104" s="2"/>
      <c r="Q104" s="2"/>
      <c r="R104" s="2"/>
      <c r="S104" s="2"/>
      <c r="T104" s="2"/>
      <c r="U104" s="2"/>
      <c r="V104" s="2"/>
      <c r="W104" s="558"/>
      <c r="X104" s="558"/>
      <c r="Y104" s="2"/>
      <c r="Z104" s="2"/>
    </row>
    <row r="105" spans="2:26" s="328" customFormat="1" ht="33" hidden="1" customHeight="1" outlineLevel="1" thickBot="1" x14ac:dyDescent="0.25">
      <c r="B105" s="1408" t="s">
        <v>1405</v>
      </c>
      <c r="C105" s="1384" t="s">
        <v>1399</v>
      </c>
      <c r="D105" s="1438" t="s">
        <v>1406</v>
      </c>
      <c r="E105" s="1441" t="s">
        <v>1385</v>
      </c>
      <c r="F105" s="2"/>
      <c r="G105" s="2"/>
      <c r="H105" s="2"/>
      <c r="I105" s="2"/>
      <c r="J105" s="2"/>
      <c r="K105" s="2"/>
      <c r="L105" s="2"/>
      <c r="M105" s="2"/>
      <c r="N105" s="2"/>
      <c r="O105" s="2"/>
      <c r="P105" s="2"/>
      <c r="Q105" s="2"/>
      <c r="R105" s="2"/>
      <c r="S105" s="2"/>
      <c r="T105" s="2"/>
      <c r="U105" s="2"/>
      <c r="V105" s="2"/>
      <c r="W105" s="558"/>
      <c r="X105" s="558"/>
      <c r="Y105" s="2"/>
      <c r="Z105" s="2"/>
    </row>
    <row r="106" spans="2:26" s="328" customFormat="1" ht="18" hidden="1" customHeight="1" outlineLevel="1" x14ac:dyDescent="0.2">
      <c r="B106" s="524" t="s">
        <v>1386</v>
      </c>
      <c r="C106" s="853" t="s">
        <v>1260</v>
      </c>
      <c r="D106" s="1252">
        <v>2269</v>
      </c>
      <c r="E106" s="1440"/>
      <c r="F106" s="2"/>
      <c r="G106" s="2"/>
      <c r="H106" s="2"/>
      <c r="I106" s="477"/>
      <c r="J106" s="477"/>
      <c r="K106" s="477"/>
      <c r="L106" s="477"/>
      <c r="M106" s="477"/>
      <c r="N106" s="477"/>
      <c r="O106" s="477"/>
      <c r="P106" s="477"/>
      <c r="Q106" s="477"/>
      <c r="R106" s="477"/>
      <c r="S106" s="477"/>
      <c r="T106" s="477"/>
      <c r="U106" s="477"/>
      <c r="V106" s="477"/>
      <c r="Z106" s="11"/>
    </row>
    <row r="107" spans="2:26" s="328" customFormat="1" ht="18" hidden="1" customHeight="1" outlineLevel="1" x14ac:dyDescent="0.2">
      <c r="B107" s="274" t="s">
        <v>1262</v>
      </c>
      <c r="C107" s="81" t="s">
        <v>1387</v>
      </c>
      <c r="D107" s="77">
        <v>3349</v>
      </c>
      <c r="E107" s="488"/>
      <c r="F107" s="2"/>
      <c r="G107" s="2"/>
      <c r="H107" s="2"/>
      <c r="I107" s="477"/>
      <c r="J107" s="477"/>
      <c r="K107" s="477"/>
      <c r="L107" s="477"/>
      <c r="M107" s="477"/>
      <c r="N107" s="477"/>
      <c r="O107" s="477"/>
      <c r="P107" s="477"/>
      <c r="Q107" s="477"/>
      <c r="R107" s="477"/>
      <c r="S107" s="477"/>
      <c r="T107" s="477"/>
      <c r="U107" s="477"/>
      <c r="V107" s="477"/>
      <c r="Z107" s="11"/>
    </row>
    <row r="108" spans="2:26" s="328" customFormat="1" ht="18" hidden="1" customHeight="1" outlineLevel="1" x14ac:dyDescent="0.2">
      <c r="B108" s="274" t="s">
        <v>1231</v>
      </c>
      <c r="C108" s="81" t="s">
        <v>1388</v>
      </c>
      <c r="D108" s="77">
        <v>3327</v>
      </c>
      <c r="E108" s="488"/>
      <c r="F108" s="2"/>
      <c r="G108" s="2"/>
      <c r="H108" s="2"/>
      <c r="I108" s="477"/>
      <c r="J108" s="477"/>
      <c r="K108" s="477"/>
      <c r="L108" s="477"/>
      <c r="M108" s="477"/>
      <c r="N108" s="477"/>
      <c r="O108" s="477"/>
      <c r="P108" s="477"/>
      <c r="Q108" s="477"/>
      <c r="R108" s="477"/>
      <c r="S108" s="477"/>
      <c r="T108" s="477"/>
      <c r="U108" s="477"/>
      <c r="V108" s="477"/>
      <c r="Z108" s="11"/>
    </row>
    <row r="109" spans="2:26" s="328" customFormat="1" ht="18" hidden="1" customHeight="1" outlineLevel="1" x14ac:dyDescent="0.2">
      <c r="B109" s="274" t="s">
        <v>1389</v>
      </c>
      <c r="C109" s="81" t="s">
        <v>1246</v>
      </c>
      <c r="D109" s="77">
        <v>23944</v>
      </c>
      <c r="E109" s="488"/>
      <c r="F109" s="2"/>
      <c r="G109" s="2"/>
      <c r="H109" s="2"/>
      <c r="I109" s="477"/>
      <c r="J109" s="477"/>
      <c r="K109" s="477"/>
      <c r="L109" s="477"/>
      <c r="M109" s="477"/>
      <c r="N109" s="477"/>
      <c r="O109" s="477"/>
      <c r="P109" s="477"/>
      <c r="Q109" s="477"/>
      <c r="R109" s="477"/>
      <c r="S109" s="477"/>
      <c r="T109" s="477"/>
      <c r="U109" s="477"/>
      <c r="V109" s="477"/>
      <c r="Z109" s="11"/>
    </row>
    <row r="110" spans="2:26" s="328" customFormat="1" ht="18" hidden="1" customHeight="1" outlineLevel="1" x14ac:dyDescent="0.2">
      <c r="B110" s="486" t="s">
        <v>1261</v>
      </c>
      <c r="C110" s="487" t="s">
        <v>1268</v>
      </c>
      <c r="D110" s="388">
        <v>2614</v>
      </c>
      <c r="E110" s="489"/>
      <c r="F110" s="2"/>
      <c r="G110" s="2"/>
      <c r="H110" s="2"/>
      <c r="I110" s="477"/>
      <c r="J110" s="477"/>
      <c r="K110" s="477"/>
      <c r="L110" s="477"/>
      <c r="M110" s="477"/>
      <c r="N110" s="477"/>
      <c r="O110" s="477"/>
      <c r="P110" s="477"/>
      <c r="Q110" s="477"/>
      <c r="R110" s="477"/>
      <c r="S110" s="477"/>
      <c r="T110" s="477"/>
      <c r="U110" s="477"/>
      <c r="V110" s="477"/>
      <c r="Z110" s="11"/>
    </row>
    <row r="111" spans="2:26" s="328" customFormat="1" ht="18" hidden="1" customHeight="1" outlineLevel="1" x14ac:dyDescent="0.2">
      <c r="B111" s="274" t="s">
        <v>1236</v>
      </c>
      <c r="C111" s="81" t="s">
        <v>1390</v>
      </c>
      <c r="D111" s="77">
        <v>13185</v>
      </c>
      <c r="E111" s="490"/>
      <c r="F111" s="2"/>
      <c r="G111" s="2"/>
      <c r="H111" s="2"/>
      <c r="I111" s="477"/>
      <c r="J111" s="477"/>
      <c r="K111" s="477"/>
      <c r="L111" s="477"/>
      <c r="M111" s="477"/>
      <c r="N111" s="477"/>
      <c r="O111" s="477"/>
      <c r="P111" s="477"/>
      <c r="Q111" s="477"/>
      <c r="R111" s="477"/>
      <c r="S111" s="477"/>
      <c r="T111" s="477"/>
      <c r="U111" s="477"/>
      <c r="V111" s="477"/>
      <c r="Z111" s="11"/>
    </row>
    <row r="112" spans="2:26" s="328" customFormat="1" ht="18" hidden="1" customHeight="1" outlineLevel="1" x14ac:dyDescent="0.2">
      <c r="B112" s="274" t="s">
        <v>1391</v>
      </c>
      <c r="C112" s="81" t="s">
        <v>1230</v>
      </c>
      <c r="D112" s="77">
        <v>10323</v>
      </c>
      <c r="E112" s="490"/>
      <c r="F112" s="2"/>
      <c r="G112" s="2"/>
      <c r="H112" s="2"/>
      <c r="I112" s="477"/>
      <c r="J112" s="477"/>
      <c r="K112" s="477"/>
      <c r="L112" s="477"/>
      <c r="M112" s="477"/>
      <c r="N112" s="477"/>
      <c r="O112" s="477"/>
      <c r="P112" s="477"/>
      <c r="Q112" s="477"/>
      <c r="R112" s="477"/>
      <c r="S112" s="477"/>
      <c r="T112" s="477"/>
      <c r="U112" s="477"/>
      <c r="V112" s="477"/>
      <c r="Z112" s="11"/>
    </row>
    <row r="113" spans="2:26" s="328" customFormat="1" ht="18" hidden="1" customHeight="1" outlineLevel="1" x14ac:dyDescent="0.2">
      <c r="B113" s="274" t="s">
        <v>1392</v>
      </c>
      <c r="C113" s="81" t="s">
        <v>1393</v>
      </c>
      <c r="D113" s="77">
        <v>8000</v>
      </c>
      <c r="E113" s="490"/>
      <c r="F113" s="2"/>
      <c r="G113" s="2"/>
      <c r="H113" s="2"/>
      <c r="I113" s="477"/>
      <c r="J113" s="477"/>
      <c r="K113" s="477"/>
      <c r="L113" s="477"/>
      <c r="M113" s="477"/>
      <c r="N113" s="477"/>
      <c r="O113" s="477"/>
      <c r="P113" s="477"/>
      <c r="Q113" s="477"/>
      <c r="R113" s="477"/>
      <c r="S113" s="477"/>
      <c r="T113" s="477"/>
      <c r="U113" s="477"/>
      <c r="V113" s="477"/>
      <c r="Z113" s="11"/>
    </row>
    <row r="114" spans="2:26" s="328" customFormat="1" ht="18" hidden="1" customHeight="1" outlineLevel="1" x14ac:dyDescent="0.2">
      <c r="B114" s="274" t="s">
        <v>1240</v>
      </c>
      <c r="C114" s="81" t="s">
        <v>1256</v>
      </c>
      <c r="D114" s="77">
        <v>29763</v>
      </c>
      <c r="E114" s="491"/>
      <c r="F114" s="2"/>
      <c r="G114" s="2"/>
      <c r="H114" s="2"/>
      <c r="I114" s="477"/>
      <c r="J114" s="477"/>
      <c r="K114" s="477"/>
      <c r="L114" s="477"/>
      <c r="M114" s="477"/>
      <c r="N114" s="477"/>
      <c r="O114" s="477"/>
      <c r="P114" s="477"/>
      <c r="Q114" s="477"/>
      <c r="R114" s="477"/>
      <c r="S114" s="477"/>
      <c r="T114" s="477"/>
      <c r="U114" s="477"/>
      <c r="V114" s="477"/>
      <c r="Z114" s="11"/>
    </row>
    <row r="115" spans="2:26" s="328" customFormat="1" ht="18" hidden="1" customHeight="1" outlineLevel="1" x14ac:dyDescent="0.2">
      <c r="B115" s="274" t="s">
        <v>1392</v>
      </c>
      <c r="C115" s="81" t="s">
        <v>1246</v>
      </c>
      <c r="D115" s="77">
        <v>57103</v>
      </c>
      <c r="E115" s="491"/>
      <c r="F115" s="2"/>
      <c r="G115" s="2"/>
      <c r="H115" s="2"/>
      <c r="I115" s="477"/>
      <c r="J115" s="477"/>
      <c r="K115" s="477"/>
      <c r="L115" s="477"/>
      <c r="M115" s="477"/>
      <c r="N115" s="477"/>
      <c r="O115" s="477"/>
      <c r="P115" s="477"/>
      <c r="Q115" s="477"/>
      <c r="R115" s="477"/>
      <c r="S115" s="477"/>
      <c r="T115" s="477"/>
      <c r="U115" s="477"/>
      <c r="V115" s="477"/>
      <c r="Z115" s="11"/>
    </row>
    <row r="116" spans="2:26" s="328" customFormat="1" ht="18" hidden="1" customHeight="1" outlineLevel="1" x14ac:dyDescent="0.2">
      <c r="B116" s="274" t="s">
        <v>1394</v>
      </c>
      <c r="C116" s="81" t="s">
        <v>1240</v>
      </c>
      <c r="D116" s="77">
        <v>18344</v>
      </c>
      <c r="E116" s="491"/>
      <c r="F116" s="2"/>
      <c r="G116" s="2"/>
      <c r="H116" s="2"/>
      <c r="I116" s="477"/>
      <c r="J116" s="477"/>
      <c r="K116" s="477"/>
      <c r="L116" s="477"/>
      <c r="M116" s="477"/>
      <c r="N116" s="477"/>
      <c r="O116" s="477"/>
      <c r="P116" s="477"/>
      <c r="Q116" s="477"/>
      <c r="R116" s="477"/>
      <c r="S116" s="477"/>
      <c r="T116" s="477"/>
      <c r="U116" s="477"/>
      <c r="V116" s="477"/>
      <c r="Z116" s="11"/>
    </row>
    <row r="117" spans="2:26" s="328" customFormat="1" ht="18" hidden="1" customHeight="1" outlineLevel="1" x14ac:dyDescent="0.2">
      <c r="B117" s="274" t="s">
        <v>1247</v>
      </c>
      <c r="C117" s="81" t="s">
        <v>1228</v>
      </c>
      <c r="D117" s="77">
        <v>18708</v>
      </c>
      <c r="E117" s="490"/>
      <c r="F117" s="2"/>
      <c r="G117" s="2"/>
      <c r="H117" s="2"/>
      <c r="I117" s="477"/>
      <c r="J117" s="477"/>
      <c r="K117" s="477"/>
      <c r="L117" s="477"/>
      <c r="M117" s="477"/>
      <c r="N117" s="477"/>
      <c r="O117" s="477"/>
      <c r="P117" s="477"/>
      <c r="Q117" s="477"/>
      <c r="R117" s="477"/>
      <c r="S117" s="477"/>
      <c r="T117" s="477"/>
      <c r="U117" s="477"/>
      <c r="V117" s="477"/>
      <c r="Z117" s="11"/>
    </row>
    <row r="118" spans="2:26" s="328" customFormat="1" ht="18" hidden="1" customHeight="1" outlineLevel="1" x14ac:dyDescent="0.2">
      <c r="B118" s="274" t="s">
        <v>1265</v>
      </c>
      <c r="C118" s="81" t="s">
        <v>1234</v>
      </c>
      <c r="D118" s="77">
        <v>7468</v>
      </c>
      <c r="E118" s="488"/>
      <c r="F118" s="2"/>
      <c r="G118" s="2"/>
      <c r="H118" s="2"/>
      <c r="I118" s="477"/>
      <c r="J118" s="477"/>
      <c r="K118" s="477"/>
      <c r="L118" s="477"/>
      <c r="M118" s="477"/>
      <c r="N118" s="477"/>
      <c r="O118" s="477"/>
      <c r="P118" s="477"/>
      <c r="Q118" s="477"/>
      <c r="R118" s="477"/>
      <c r="S118" s="477"/>
      <c r="T118" s="477"/>
      <c r="U118" s="477"/>
      <c r="V118" s="477"/>
      <c r="Z118" s="11"/>
    </row>
    <row r="119" spans="2:26" s="328" customFormat="1" ht="18" hidden="1" customHeight="1" outlineLevel="1" x14ac:dyDescent="0.2">
      <c r="B119" s="274" t="s">
        <v>1236</v>
      </c>
      <c r="C119" s="81" t="s">
        <v>1262</v>
      </c>
      <c r="D119" s="77">
        <v>12480</v>
      </c>
      <c r="E119" s="488"/>
      <c r="F119" s="2"/>
      <c r="G119" s="2"/>
      <c r="H119" s="2"/>
      <c r="I119" s="477"/>
      <c r="J119" s="477"/>
      <c r="K119" s="477"/>
      <c r="L119" s="477"/>
      <c r="M119" s="477"/>
      <c r="N119" s="477"/>
      <c r="O119" s="477"/>
      <c r="P119" s="477"/>
      <c r="Q119" s="477"/>
      <c r="R119" s="477"/>
      <c r="S119" s="477"/>
      <c r="T119" s="477"/>
      <c r="U119" s="477"/>
      <c r="V119" s="477"/>
      <c r="Z119" s="11"/>
    </row>
    <row r="120" spans="2:26" s="328" customFormat="1" ht="18" hidden="1" customHeight="1" outlineLevel="1" x14ac:dyDescent="0.2">
      <c r="B120" s="274" t="s">
        <v>1395</v>
      </c>
      <c r="C120" s="81" t="s">
        <v>1229</v>
      </c>
      <c r="D120" s="77">
        <v>2429</v>
      </c>
      <c r="E120" s="488"/>
      <c r="F120" s="2"/>
      <c r="G120" s="2"/>
      <c r="H120" s="2"/>
      <c r="I120" s="477"/>
      <c r="J120" s="477"/>
      <c r="K120" s="477"/>
      <c r="L120" s="477"/>
      <c r="M120" s="477"/>
      <c r="N120" s="477"/>
      <c r="O120" s="477"/>
      <c r="P120" s="477"/>
      <c r="Q120" s="477"/>
      <c r="R120" s="477"/>
      <c r="S120" s="477"/>
      <c r="T120" s="477"/>
      <c r="U120" s="477"/>
      <c r="V120" s="477"/>
      <c r="Z120" s="11"/>
    </row>
    <row r="121" spans="2:26" s="328" customFormat="1" ht="18" hidden="1" customHeight="1" outlineLevel="1" x14ac:dyDescent="0.2">
      <c r="B121" s="274" t="s">
        <v>1396</v>
      </c>
      <c r="C121" s="81" t="s">
        <v>1242</v>
      </c>
      <c r="D121" s="77">
        <v>7012</v>
      </c>
      <c r="E121" s="488"/>
      <c r="F121" s="2"/>
      <c r="G121" s="2"/>
      <c r="H121" s="2"/>
      <c r="I121" s="477"/>
      <c r="J121" s="477"/>
      <c r="K121" s="477"/>
      <c r="L121" s="477"/>
      <c r="M121" s="477"/>
      <c r="N121" s="477"/>
      <c r="O121" s="477"/>
      <c r="P121" s="477"/>
      <c r="Q121" s="477"/>
      <c r="R121" s="477"/>
      <c r="S121" s="477"/>
      <c r="T121" s="477"/>
      <c r="U121" s="477"/>
      <c r="V121" s="477"/>
      <c r="Z121" s="11"/>
    </row>
    <row r="122" spans="2:26" s="328" customFormat="1" ht="18" hidden="1" customHeight="1" outlineLevel="1" x14ac:dyDescent="0.2">
      <c r="B122" s="274" t="s">
        <v>1240</v>
      </c>
      <c r="C122" s="81" t="s">
        <v>1236</v>
      </c>
      <c r="D122" s="77">
        <v>24779</v>
      </c>
      <c r="E122" s="488"/>
      <c r="F122" s="2"/>
      <c r="G122" s="2"/>
      <c r="H122" s="2"/>
      <c r="I122" s="477"/>
      <c r="J122" s="477"/>
      <c r="K122" s="477"/>
      <c r="L122" s="477"/>
      <c r="M122" s="477"/>
      <c r="N122" s="477"/>
      <c r="O122" s="477"/>
      <c r="P122" s="477"/>
      <c r="Q122" s="477"/>
      <c r="R122" s="477"/>
      <c r="S122" s="477"/>
      <c r="T122" s="477"/>
      <c r="U122" s="477"/>
      <c r="V122" s="477"/>
      <c r="Z122" s="11"/>
    </row>
    <row r="123" spans="2:26" s="328" customFormat="1" ht="18" hidden="1" customHeight="1" outlineLevel="1" x14ac:dyDescent="0.2">
      <c r="B123" s="274" t="s">
        <v>1230</v>
      </c>
      <c r="C123" s="81" t="s">
        <v>1235</v>
      </c>
      <c r="D123" s="77">
        <v>13934</v>
      </c>
      <c r="E123" s="488"/>
      <c r="F123" s="2"/>
      <c r="G123" s="2"/>
      <c r="H123" s="2"/>
      <c r="I123" s="477"/>
      <c r="J123" s="477"/>
      <c r="K123" s="477"/>
      <c r="L123" s="477"/>
      <c r="M123" s="477"/>
      <c r="N123" s="477"/>
      <c r="O123" s="477"/>
      <c r="P123" s="477"/>
      <c r="Q123" s="477"/>
      <c r="R123" s="477"/>
      <c r="S123" s="477"/>
      <c r="T123" s="477"/>
      <c r="U123" s="477"/>
      <c r="V123" s="477"/>
      <c r="Z123" s="11"/>
    </row>
    <row r="124" spans="2:26" s="328" customFormat="1" ht="18" hidden="1" customHeight="1" outlineLevel="1" x14ac:dyDescent="0.2">
      <c r="B124" s="274" t="s">
        <v>1247</v>
      </c>
      <c r="C124" s="81" t="s">
        <v>1245</v>
      </c>
      <c r="D124" s="77">
        <v>17660</v>
      </c>
      <c r="E124" s="488"/>
      <c r="F124" s="2"/>
      <c r="G124" s="2"/>
      <c r="H124" s="2"/>
      <c r="I124" s="477"/>
      <c r="J124" s="477"/>
      <c r="K124" s="477"/>
      <c r="L124" s="477"/>
      <c r="M124" s="477"/>
      <c r="N124" s="477"/>
      <c r="O124" s="477"/>
      <c r="P124" s="477"/>
      <c r="Q124" s="477"/>
      <c r="R124" s="477"/>
      <c r="S124" s="477"/>
      <c r="T124" s="477"/>
      <c r="U124" s="477"/>
      <c r="V124" s="477"/>
      <c r="Z124" s="11"/>
    </row>
    <row r="125" spans="2:26" s="328" customFormat="1" ht="18" hidden="1" customHeight="1" outlineLevel="1" x14ac:dyDescent="0.2">
      <c r="B125" s="274" t="s">
        <v>1229</v>
      </c>
      <c r="C125" s="81" t="s">
        <v>1388</v>
      </c>
      <c r="D125" s="77">
        <v>5322</v>
      </c>
      <c r="E125" s="488"/>
      <c r="F125" s="2"/>
      <c r="G125" s="2"/>
      <c r="H125" s="2"/>
      <c r="I125" s="477"/>
      <c r="J125" s="477"/>
      <c r="K125" s="477"/>
      <c r="L125" s="477"/>
      <c r="M125" s="477"/>
      <c r="N125" s="477"/>
      <c r="O125" s="477"/>
      <c r="P125" s="477"/>
      <c r="Q125" s="477"/>
      <c r="R125" s="477"/>
      <c r="S125" s="477"/>
      <c r="T125" s="477"/>
      <c r="U125" s="477"/>
      <c r="V125" s="477"/>
      <c r="Z125" s="11"/>
    </row>
    <row r="126" spans="2:26" s="328" customFormat="1" ht="18" hidden="1" customHeight="1" outlineLevel="1" x14ac:dyDescent="0.2">
      <c r="B126" s="274" t="s">
        <v>1261</v>
      </c>
      <c r="C126" s="81" t="s">
        <v>1254</v>
      </c>
      <c r="D126" s="77">
        <v>4216</v>
      </c>
      <c r="E126" s="488"/>
      <c r="F126" s="2"/>
      <c r="G126" s="2"/>
      <c r="H126" s="2"/>
      <c r="I126" s="477"/>
      <c r="J126" s="477"/>
      <c r="K126" s="477"/>
      <c r="L126" s="477"/>
      <c r="M126" s="477"/>
      <c r="N126" s="477"/>
      <c r="O126" s="477"/>
      <c r="P126" s="477"/>
      <c r="Q126" s="477"/>
      <c r="R126" s="477"/>
      <c r="S126" s="477"/>
      <c r="T126" s="477"/>
      <c r="U126" s="477"/>
      <c r="V126" s="477"/>
      <c r="Z126" s="11"/>
    </row>
    <row r="127" spans="2:26" s="328" customFormat="1" ht="18" hidden="1" customHeight="1" outlineLevel="1" x14ac:dyDescent="0.2">
      <c r="B127" s="274" t="s">
        <v>1392</v>
      </c>
      <c r="C127" s="81" t="s">
        <v>1397</v>
      </c>
      <c r="D127" s="77">
        <v>65329</v>
      </c>
      <c r="E127" s="488"/>
      <c r="F127" s="2"/>
      <c r="G127" s="2"/>
      <c r="H127" s="2"/>
      <c r="I127" s="477"/>
      <c r="J127" s="477"/>
      <c r="K127" s="477"/>
      <c r="L127" s="477"/>
      <c r="M127" s="477"/>
      <c r="N127" s="477"/>
      <c r="O127" s="477"/>
      <c r="P127" s="477"/>
      <c r="Q127" s="477"/>
      <c r="R127" s="477"/>
      <c r="S127" s="477"/>
      <c r="T127" s="477"/>
      <c r="U127" s="477"/>
      <c r="V127" s="477"/>
      <c r="Z127" s="11"/>
    </row>
    <row r="128" spans="2:26" s="328" customFormat="1" ht="18" hidden="1" customHeight="1" outlineLevel="1" x14ac:dyDescent="0.2">
      <c r="B128" s="274" t="s">
        <v>1234</v>
      </c>
      <c r="C128" s="81" t="s">
        <v>1242</v>
      </c>
      <c r="D128" s="77">
        <v>14835</v>
      </c>
      <c r="E128" s="488"/>
      <c r="F128" s="2"/>
      <c r="G128" s="2"/>
      <c r="H128" s="2"/>
      <c r="I128" s="477"/>
      <c r="J128" s="477"/>
      <c r="K128" s="477"/>
      <c r="L128" s="477"/>
      <c r="M128" s="477"/>
      <c r="N128" s="477"/>
      <c r="O128" s="477"/>
      <c r="P128" s="477"/>
      <c r="Q128" s="477"/>
      <c r="R128" s="477"/>
      <c r="S128" s="477"/>
      <c r="T128" s="477"/>
      <c r="U128" s="477"/>
      <c r="V128" s="477"/>
      <c r="Z128" s="11"/>
    </row>
    <row r="129" spans="2:26" s="328" customFormat="1" ht="18" hidden="1" customHeight="1" outlineLevel="1" x14ac:dyDescent="0.2">
      <c r="B129" s="274" t="s">
        <v>1240</v>
      </c>
      <c r="C129" s="81" t="s">
        <v>1386</v>
      </c>
      <c r="D129" s="77">
        <v>34017</v>
      </c>
      <c r="E129" s="488"/>
      <c r="F129" s="2"/>
      <c r="G129" s="2"/>
      <c r="H129" s="2"/>
      <c r="I129" s="477"/>
      <c r="J129" s="477"/>
      <c r="K129" s="477"/>
      <c r="L129" s="477"/>
      <c r="M129" s="477"/>
      <c r="N129" s="477"/>
      <c r="O129" s="477"/>
      <c r="P129" s="477"/>
      <c r="Q129" s="477"/>
      <c r="R129" s="477"/>
      <c r="S129" s="477"/>
      <c r="T129" s="477"/>
      <c r="U129" s="477"/>
      <c r="V129" s="477"/>
      <c r="Z129" s="11"/>
    </row>
    <row r="130" spans="2:26" s="328" customFormat="1" ht="18" hidden="1" customHeight="1" outlineLevel="1" x14ac:dyDescent="0.2">
      <c r="B130" s="274" t="s">
        <v>1235</v>
      </c>
      <c r="C130" s="81" t="s">
        <v>1242</v>
      </c>
      <c r="D130" s="77">
        <v>0</v>
      </c>
      <c r="E130" s="488" t="s">
        <v>1398</v>
      </c>
      <c r="F130" s="2"/>
      <c r="G130" s="2"/>
      <c r="H130" s="2"/>
      <c r="I130" s="477"/>
      <c r="J130" s="477"/>
      <c r="K130" s="477"/>
      <c r="L130" s="477"/>
      <c r="M130" s="477"/>
      <c r="N130" s="477"/>
      <c r="O130" s="477"/>
      <c r="P130" s="477"/>
      <c r="Q130" s="477"/>
      <c r="R130" s="477"/>
      <c r="S130" s="477"/>
      <c r="T130" s="477"/>
      <c r="U130" s="477"/>
      <c r="V130" s="477"/>
      <c r="Z130" s="11"/>
    </row>
    <row r="131" spans="2:26" s="328" customFormat="1" ht="18" hidden="1" customHeight="1" outlineLevel="1" x14ac:dyDescent="0.2">
      <c r="B131" s="274" t="s">
        <v>1247</v>
      </c>
      <c r="C131" s="81" t="s">
        <v>1388</v>
      </c>
      <c r="D131" s="77">
        <v>30480</v>
      </c>
      <c r="E131" s="488"/>
      <c r="F131" s="2"/>
      <c r="G131" s="2"/>
      <c r="H131" s="2"/>
      <c r="I131" s="2"/>
      <c r="J131" s="2"/>
      <c r="K131" s="2"/>
      <c r="L131" s="2"/>
      <c r="M131" s="2"/>
      <c r="N131" s="2"/>
      <c r="O131" s="2"/>
      <c r="P131" s="2"/>
      <c r="Q131" s="2"/>
      <c r="R131" s="2"/>
      <c r="S131" s="2"/>
      <c r="T131" s="2"/>
      <c r="U131" s="2"/>
      <c r="V131" s="2"/>
      <c r="W131" s="558"/>
      <c r="Z131" s="11"/>
    </row>
    <row r="132" spans="2:26" s="328" customFormat="1" ht="18" hidden="1" customHeight="1" outlineLevel="1" x14ac:dyDescent="0.2">
      <c r="B132" s="274" t="s">
        <v>1392</v>
      </c>
      <c r="C132" s="81" t="s">
        <v>1254</v>
      </c>
      <c r="D132" s="77">
        <v>63929</v>
      </c>
      <c r="E132" s="488"/>
      <c r="F132" s="2"/>
      <c r="G132" s="2"/>
      <c r="H132" s="2"/>
      <c r="I132" s="2"/>
      <c r="J132" s="2"/>
      <c r="K132" s="2"/>
      <c r="L132" s="2"/>
      <c r="M132" s="2"/>
      <c r="N132" s="2"/>
      <c r="O132" s="2"/>
      <c r="P132" s="2"/>
      <c r="Q132" s="2"/>
      <c r="R132" s="2"/>
      <c r="S132" s="2"/>
      <c r="T132" s="2"/>
      <c r="U132" s="2"/>
      <c r="V132" s="2"/>
      <c r="W132" s="558"/>
      <c r="Z132" s="11"/>
    </row>
    <row r="133" spans="2:26" s="328" customFormat="1" ht="18" hidden="1" customHeight="1" outlineLevel="1" x14ac:dyDescent="0.2">
      <c r="B133" s="274" t="s">
        <v>1235</v>
      </c>
      <c r="C133" s="81" t="s">
        <v>1240</v>
      </c>
      <c r="D133" s="77">
        <v>34687</v>
      </c>
      <c r="E133" s="488"/>
      <c r="F133" s="2"/>
      <c r="G133" s="2"/>
      <c r="H133" s="2"/>
      <c r="I133" s="2"/>
      <c r="J133" s="2"/>
      <c r="K133" s="2"/>
      <c r="L133" s="2"/>
      <c r="M133" s="2"/>
      <c r="N133" s="2"/>
      <c r="O133" s="2"/>
      <c r="P133" s="2"/>
      <c r="Q133" s="2"/>
      <c r="R133" s="2"/>
      <c r="S133" s="2"/>
      <c r="T133" s="2"/>
      <c r="U133" s="2"/>
      <c r="V133" s="2"/>
      <c r="W133" s="558"/>
      <c r="Z133" s="11"/>
    </row>
    <row r="134" spans="2:26" s="328" customFormat="1" ht="18" hidden="1" customHeight="1" outlineLevel="1" x14ac:dyDescent="0.2">
      <c r="B134" s="274" t="s">
        <v>1254</v>
      </c>
      <c r="C134" s="81" t="s">
        <v>1247</v>
      </c>
      <c r="D134" s="77">
        <v>13699</v>
      </c>
      <c r="E134" s="488"/>
      <c r="F134" s="2"/>
      <c r="G134" s="2"/>
      <c r="H134" s="2"/>
      <c r="I134" s="2"/>
      <c r="J134" s="2"/>
      <c r="K134" s="2"/>
      <c r="L134" s="2"/>
      <c r="M134" s="2"/>
      <c r="N134" s="2"/>
      <c r="O134" s="2"/>
      <c r="P134" s="2"/>
      <c r="Q134" s="2"/>
      <c r="R134" s="2"/>
      <c r="S134" s="2"/>
      <c r="T134" s="2"/>
      <c r="U134" s="2"/>
      <c r="V134" s="2"/>
      <c r="W134" s="558"/>
      <c r="Z134" s="11"/>
    </row>
    <row r="135" spans="2:26" s="328" customFormat="1" ht="18" hidden="1" customHeight="1" outlineLevel="1" thickBot="1" x14ac:dyDescent="0.25">
      <c r="B135" s="486" t="s">
        <v>1235</v>
      </c>
      <c r="C135" s="487" t="s">
        <v>1247</v>
      </c>
      <c r="D135" s="388">
        <v>78038</v>
      </c>
      <c r="E135" s="1430" t="s">
        <v>1761</v>
      </c>
      <c r="F135" s="2"/>
      <c r="G135" s="2"/>
      <c r="H135" s="2"/>
      <c r="I135" s="2"/>
      <c r="J135" s="2"/>
      <c r="K135" s="2"/>
      <c r="L135" s="2"/>
      <c r="M135" s="2"/>
      <c r="N135" s="2"/>
      <c r="O135" s="2"/>
      <c r="P135" s="2"/>
      <c r="Q135" s="2"/>
      <c r="R135" s="2"/>
      <c r="S135" s="2"/>
      <c r="T135" s="2"/>
      <c r="U135" s="2"/>
      <c r="V135" s="2"/>
      <c r="W135" s="558"/>
      <c r="Z135" s="11"/>
    </row>
    <row r="136" spans="2:26" s="328" customFormat="1" ht="18" hidden="1" customHeight="1" outlineLevel="1" thickBot="1" x14ac:dyDescent="0.25">
      <c r="B136" s="3162" t="s">
        <v>198</v>
      </c>
      <c r="C136" s="3163"/>
      <c r="D136" s="1432">
        <f>SUM(D106:D135)</f>
        <v>621243</v>
      </c>
      <c r="E136" s="1433"/>
      <c r="F136" s="2"/>
      <c r="G136" s="2"/>
      <c r="H136" s="2"/>
      <c r="I136" s="2"/>
      <c r="J136" s="2"/>
      <c r="K136" s="2"/>
      <c r="L136" s="2"/>
      <c r="M136" s="2"/>
      <c r="N136" s="2"/>
      <c r="O136" s="2"/>
      <c r="P136" s="2"/>
      <c r="Q136" s="2"/>
      <c r="R136" s="2"/>
      <c r="S136" s="2"/>
      <c r="T136" s="2"/>
      <c r="U136" s="2"/>
      <c r="V136" s="2"/>
      <c r="W136" s="558"/>
      <c r="Z136" s="11"/>
    </row>
    <row r="137" spans="2:26" s="328" customFormat="1" ht="24" hidden="1" customHeight="1" outlineLevel="1" x14ac:dyDescent="0.2">
      <c r="B137" s="337"/>
      <c r="C137" s="337"/>
      <c r="D137" s="1442"/>
      <c r="F137" s="2"/>
      <c r="G137" s="2"/>
      <c r="H137" s="2"/>
      <c r="I137" s="2"/>
      <c r="J137" s="2"/>
      <c r="K137" s="2"/>
      <c r="L137" s="2"/>
      <c r="M137" s="2"/>
      <c r="N137" s="2"/>
      <c r="O137" s="2"/>
      <c r="P137" s="2"/>
      <c r="Q137" s="2"/>
      <c r="R137" s="2"/>
      <c r="S137" s="2"/>
      <c r="T137" s="2"/>
      <c r="U137" s="2"/>
      <c r="V137" s="2"/>
      <c r="W137" s="558"/>
      <c r="Z137" s="11"/>
    </row>
    <row r="138" spans="2:26" s="328" customFormat="1" ht="24" hidden="1" customHeight="1" outlineLevel="1" x14ac:dyDescent="0.2">
      <c r="B138" s="55"/>
      <c r="C138" s="55"/>
      <c r="D138" s="322"/>
      <c r="E138" s="1434"/>
      <c r="F138" s="477"/>
      <c r="G138" s="477"/>
      <c r="H138" s="477"/>
      <c r="I138" s="2"/>
      <c r="J138" s="2"/>
      <c r="K138" s="2"/>
      <c r="L138" s="2"/>
      <c r="M138" s="2"/>
      <c r="N138" s="2"/>
      <c r="O138" s="2"/>
      <c r="P138" s="2"/>
      <c r="Q138" s="2"/>
      <c r="R138" s="2"/>
      <c r="S138" s="2"/>
      <c r="T138" s="2"/>
      <c r="U138" s="2"/>
      <c r="V138" s="2"/>
      <c r="W138" s="558"/>
      <c r="X138" s="1407"/>
      <c r="Z138" s="11"/>
    </row>
    <row r="139" spans="2:26" s="328" customFormat="1" ht="33" hidden="1" customHeight="1" outlineLevel="1" x14ac:dyDescent="0.2">
      <c r="B139" s="3164" t="s">
        <v>1423</v>
      </c>
      <c r="C139" s="3165"/>
      <c r="D139" s="3165"/>
      <c r="E139" s="1434"/>
      <c r="F139" s="477"/>
      <c r="G139" s="477"/>
      <c r="H139" s="477"/>
      <c r="I139" s="477"/>
      <c r="J139" s="477"/>
      <c r="K139" s="477"/>
      <c r="L139" s="477"/>
      <c r="M139" s="477"/>
      <c r="N139" s="477"/>
      <c r="O139" s="477"/>
      <c r="P139" s="477"/>
      <c r="Q139" s="477"/>
      <c r="R139" s="477"/>
      <c r="S139" s="477"/>
      <c r="T139" s="477"/>
      <c r="U139" s="477"/>
      <c r="V139" s="477"/>
      <c r="W139" s="1418"/>
      <c r="X139" s="1407"/>
      <c r="Z139" s="11"/>
    </row>
    <row r="140" spans="2:26" s="328" customFormat="1" ht="32" hidden="1" customHeight="1" outlineLevel="1" x14ac:dyDescent="0.2">
      <c r="B140" s="76" t="s">
        <v>1384</v>
      </c>
      <c r="C140" s="76">
        <f>C95</f>
        <v>1120</v>
      </c>
      <c r="D140" s="81" t="s">
        <v>685</v>
      </c>
      <c r="E140" s="1434"/>
      <c r="F140" s="477"/>
      <c r="G140" s="477"/>
      <c r="H140" s="477"/>
      <c r="I140" s="477"/>
      <c r="J140" s="477"/>
      <c r="K140" s="477"/>
      <c r="L140" s="477"/>
      <c r="M140" s="477"/>
      <c r="N140" s="477"/>
      <c r="O140" s="477"/>
      <c r="P140" s="477"/>
      <c r="Q140" s="477"/>
      <c r="R140" s="477"/>
      <c r="S140" s="477"/>
      <c r="T140" s="477"/>
      <c r="U140" s="477"/>
      <c r="V140" s="477"/>
      <c r="W140" s="1418"/>
      <c r="X140" s="1407"/>
      <c r="Z140" s="11"/>
    </row>
    <row r="141" spans="2:26" s="328" customFormat="1" ht="28" customHeight="1" collapsed="1" x14ac:dyDescent="0.2">
      <c r="B141" s="86"/>
      <c r="C141" s="477"/>
      <c r="D141" s="477"/>
      <c r="E141" s="477"/>
      <c r="F141" s="477"/>
      <c r="G141" s="421"/>
      <c r="H141" s="477"/>
      <c r="I141" s="477"/>
      <c r="J141" s="477"/>
      <c r="K141" s="477"/>
      <c r="L141" s="477"/>
      <c r="M141" s="477"/>
      <c r="N141" s="477"/>
      <c r="O141" s="477"/>
      <c r="P141" s="477"/>
      <c r="Q141" s="477"/>
      <c r="R141" s="477"/>
      <c r="S141" s="477"/>
      <c r="T141" s="477"/>
      <c r="U141" s="477"/>
      <c r="V141" s="477"/>
      <c r="W141" s="1418"/>
      <c r="X141" s="1407"/>
      <c r="Z141" s="11"/>
    </row>
    <row r="142" spans="2:26" s="328" customFormat="1" ht="33" customHeight="1" x14ac:dyDescent="0.2">
      <c r="B142" s="1380" t="s">
        <v>1408</v>
      </c>
      <c r="C142" s="477"/>
      <c r="D142" s="477"/>
      <c r="E142" s="477"/>
      <c r="F142" s="477"/>
      <c r="G142" s="477"/>
      <c r="H142" s="477"/>
      <c r="I142" s="477"/>
      <c r="J142" s="477"/>
      <c r="K142" s="477"/>
      <c r="L142" s="477"/>
      <c r="M142" s="477"/>
      <c r="N142" s="477"/>
      <c r="O142" s="477"/>
      <c r="P142" s="477"/>
      <c r="Q142" s="477"/>
      <c r="R142" s="477"/>
      <c r="S142" s="477"/>
      <c r="T142" s="477"/>
      <c r="U142" s="477"/>
      <c r="V142" s="477"/>
      <c r="W142" s="1418"/>
      <c r="X142" s="1407"/>
      <c r="Z142" s="11"/>
    </row>
    <row r="143" spans="2:26" s="328" customFormat="1" ht="30" hidden="1" customHeight="1" outlineLevel="1" thickBot="1" x14ac:dyDescent="0.25">
      <c r="B143" s="86"/>
      <c r="C143" s="477"/>
      <c r="D143" s="477"/>
      <c r="E143" s="477"/>
      <c r="F143" s="477"/>
      <c r="G143" s="477"/>
      <c r="H143" s="477"/>
      <c r="I143" s="477"/>
      <c r="J143" s="477"/>
      <c r="K143" s="477"/>
      <c r="L143" s="477"/>
      <c r="M143" s="477"/>
      <c r="N143" s="477"/>
      <c r="O143" s="477"/>
      <c r="P143" s="477"/>
      <c r="Q143" s="477"/>
      <c r="R143" s="477"/>
      <c r="S143" s="477"/>
      <c r="T143" s="477"/>
      <c r="U143" s="477"/>
      <c r="V143" s="477"/>
      <c r="W143" s="1418"/>
      <c r="X143" s="1407"/>
      <c r="Z143" s="11"/>
    </row>
    <row r="144" spans="2:26" s="328" customFormat="1" ht="40" hidden="1" customHeight="1" outlineLevel="1" x14ac:dyDescent="0.2">
      <c r="B144" s="146" t="s">
        <v>26</v>
      </c>
      <c r="C144" s="3172" t="s">
        <v>1425</v>
      </c>
      <c r="D144" s="2625"/>
      <c r="E144" s="2625"/>
      <c r="F144" s="2625"/>
      <c r="G144" s="2625"/>
      <c r="H144" s="2625"/>
      <c r="I144" s="2625"/>
      <c r="J144" s="2625"/>
      <c r="K144" s="2625"/>
      <c r="L144" s="2625"/>
      <c r="M144" s="2625"/>
      <c r="N144" s="2625"/>
      <c r="O144" s="2625"/>
      <c r="P144" s="2625"/>
      <c r="Q144" s="2626"/>
      <c r="R144" s="477"/>
      <c r="S144" s="477"/>
      <c r="T144" s="477"/>
      <c r="U144" s="477"/>
      <c r="V144" s="477"/>
      <c r="W144" s="1418"/>
      <c r="X144" s="1407"/>
      <c r="Z144" s="11"/>
    </row>
    <row r="145" spans="2:26" s="328" customFormat="1" ht="40" hidden="1" customHeight="1" outlineLevel="1" x14ac:dyDescent="0.2">
      <c r="B145" s="147" t="s">
        <v>27</v>
      </c>
      <c r="C145" s="2630" t="s">
        <v>1424</v>
      </c>
      <c r="D145" s="2631"/>
      <c r="E145" s="2631"/>
      <c r="F145" s="2631"/>
      <c r="G145" s="2631"/>
      <c r="H145" s="2631"/>
      <c r="I145" s="2631"/>
      <c r="J145" s="2631"/>
      <c r="K145" s="2631"/>
      <c r="L145" s="2631"/>
      <c r="M145" s="2631"/>
      <c r="N145" s="2631"/>
      <c r="O145" s="2631"/>
      <c r="P145" s="2631"/>
      <c r="Q145" s="2632"/>
      <c r="R145" s="477"/>
      <c r="S145" s="477"/>
      <c r="T145" s="477"/>
      <c r="U145" s="477"/>
      <c r="V145" s="477"/>
      <c r="W145" s="1418"/>
      <c r="X145" s="1407"/>
      <c r="Z145" s="11"/>
    </row>
    <row r="146" spans="2:26" s="328" customFormat="1" ht="40" hidden="1" customHeight="1" outlineLevel="1" thickBot="1" x14ac:dyDescent="0.25">
      <c r="B146" s="148" t="s">
        <v>28</v>
      </c>
      <c r="C146" s="2633" t="s">
        <v>1422</v>
      </c>
      <c r="D146" s="2634"/>
      <c r="E146" s="2634"/>
      <c r="F146" s="2634"/>
      <c r="G146" s="2634"/>
      <c r="H146" s="2634"/>
      <c r="I146" s="2634"/>
      <c r="J146" s="2634"/>
      <c r="K146" s="2634"/>
      <c r="L146" s="2634"/>
      <c r="M146" s="2634"/>
      <c r="N146" s="2634"/>
      <c r="O146" s="2634"/>
      <c r="P146" s="2634"/>
      <c r="Q146" s="2635"/>
      <c r="R146" s="477"/>
      <c r="S146" s="477"/>
      <c r="T146" s="477"/>
      <c r="U146" s="477"/>
      <c r="V146" s="477"/>
      <c r="W146" s="1418"/>
      <c r="X146" s="1407"/>
      <c r="Z146" s="11"/>
    </row>
    <row r="147" spans="2:26" s="328" customFormat="1" ht="34" hidden="1" customHeight="1" outlineLevel="1" thickBot="1" x14ac:dyDescent="0.25">
      <c r="B147" s="86"/>
      <c r="C147" s="477"/>
      <c r="D147" s="477"/>
      <c r="E147" s="477"/>
      <c r="F147" s="477"/>
      <c r="G147" s="477"/>
      <c r="H147" s="477"/>
      <c r="I147" s="477"/>
      <c r="J147" s="477"/>
      <c r="K147" s="477"/>
      <c r="L147" s="477"/>
      <c r="M147" s="477"/>
      <c r="N147" s="477"/>
      <c r="O147" s="477"/>
      <c r="P147" s="477"/>
      <c r="Q147" s="477"/>
      <c r="R147" s="477"/>
      <c r="S147" s="477"/>
      <c r="T147" s="477"/>
      <c r="U147" s="477"/>
      <c r="V147" s="477"/>
      <c r="W147" s="1418"/>
      <c r="X147" s="1407"/>
      <c r="Z147" s="11"/>
    </row>
    <row r="148" spans="2:26" s="328" customFormat="1" ht="35" hidden="1" customHeight="1" outlineLevel="1" thickBot="1" x14ac:dyDescent="0.25">
      <c r="B148" s="3169" t="s">
        <v>1419</v>
      </c>
      <c r="C148" s="3170"/>
      <c r="D148" s="3170"/>
      <c r="E148" s="3171"/>
      <c r="F148" s="2"/>
      <c r="G148" s="2"/>
      <c r="H148" s="2"/>
      <c r="I148" s="2"/>
      <c r="J148" s="2"/>
      <c r="K148" s="2"/>
      <c r="L148" s="2"/>
      <c r="M148" s="2"/>
      <c r="N148" s="2"/>
      <c r="O148" s="2"/>
      <c r="P148" s="2"/>
      <c r="Q148" s="2"/>
      <c r="R148" s="2"/>
      <c r="S148" s="2"/>
      <c r="T148" s="2"/>
      <c r="U148" s="2"/>
      <c r="V148" s="2"/>
      <c r="W148" s="558"/>
      <c r="X148" s="558"/>
      <c r="Y148" s="2"/>
      <c r="Z148" s="11"/>
    </row>
    <row r="149" spans="2:26" s="328" customFormat="1" ht="42" hidden="1" customHeight="1" outlineLevel="1" thickBot="1" x14ac:dyDescent="0.25">
      <c r="B149" s="1408" t="s">
        <v>1405</v>
      </c>
      <c r="C149" s="1384" t="s">
        <v>1399</v>
      </c>
      <c r="D149" s="1438" t="s">
        <v>1406</v>
      </c>
      <c r="E149" s="1441" t="s">
        <v>1385</v>
      </c>
      <c r="F149" s="2"/>
      <c r="G149" s="2"/>
      <c r="H149" s="2"/>
      <c r="I149" s="2"/>
      <c r="J149" s="2"/>
      <c r="K149" s="2"/>
      <c r="L149" s="2"/>
      <c r="M149" s="2"/>
      <c r="N149" s="2"/>
      <c r="O149" s="2"/>
      <c r="P149" s="2"/>
      <c r="Q149" s="2"/>
      <c r="R149" s="2"/>
      <c r="S149" s="2"/>
      <c r="T149" s="2"/>
      <c r="U149" s="2"/>
      <c r="V149" s="2"/>
      <c r="W149" s="558"/>
      <c r="X149" s="558"/>
      <c r="Y149" s="2"/>
      <c r="Z149" s="11"/>
    </row>
    <row r="150" spans="2:26" s="328" customFormat="1" ht="18" hidden="1" customHeight="1" outlineLevel="1" x14ac:dyDescent="0.2">
      <c r="B150" s="524" t="s">
        <v>1389</v>
      </c>
      <c r="C150" s="1443" t="s">
        <v>1256</v>
      </c>
      <c r="D150" s="857">
        <v>959.76</v>
      </c>
      <c r="E150" s="1440" t="s">
        <v>598</v>
      </c>
      <c r="F150" s="2"/>
      <c r="G150" s="2"/>
      <c r="H150" s="2"/>
      <c r="I150" s="2"/>
      <c r="J150" s="2"/>
      <c r="K150" s="2"/>
      <c r="L150" s="2"/>
      <c r="M150" s="2"/>
      <c r="N150" s="2"/>
      <c r="O150" s="2"/>
      <c r="P150" s="2"/>
      <c r="Q150" s="2"/>
      <c r="R150" s="2"/>
      <c r="S150" s="2"/>
      <c r="T150" s="2"/>
      <c r="U150" s="2"/>
      <c r="V150" s="2"/>
      <c r="W150" s="558"/>
      <c r="X150" s="558"/>
      <c r="Y150" s="2"/>
      <c r="Z150" s="11"/>
    </row>
    <row r="151" spans="2:26" s="328" customFormat="1" ht="18" hidden="1" customHeight="1" outlineLevel="1" x14ac:dyDescent="0.2">
      <c r="B151" s="274" t="s">
        <v>1240</v>
      </c>
      <c r="C151" s="76" t="s">
        <v>1409</v>
      </c>
      <c r="D151" s="91">
        <v>676.81999999999994</v>
      </c>
      <c r="E151" s="488"/>
      <c r="F151" s="2"/>
      <c r="G151" s="2"/>
      <c r="H151" s="2"/>
      <c r="I151" s="2"/>
      <c r="J151" s="2"/>
      <c r="K151" s="2"/>
      <c r="L151" s="2"/>
      <c r="M151" s="2"/>
      <c r="N151" s="2"/>
      <c r="O151" s="2"/>
      <c r="P151" s="2"/>
      <c r="Q151" s="2"/>
      <c r="R151" s="2"/>
      <c r="S151" s="2"/>
      <c r="T151" s="2"/>
      <c r="U151" s="2"/>
      <c r="V151" s="2"/>
      <c r="W151" s="558"/>
      <c r="X151" s="558"/>
      <c r="Y151" s="2"/>
      <c r="Z151" s="11"/>
    </row>
    <row r="152" spans="2:26" s="328" customFormat="1" ht="18" hidden="1" customHeight="1" outlineLevel="1" x14ac:dyDescent="0.2">
      <c r="B152" s="274" t="s">
        <v>1410</v>
      </c>
      <c r="C152" s="81" t="s">
        <v>1397</v>
      </c>
      <c r="D152" s="91">
        <v>614.9</v>
      </c>
      <c r="E152" s="488"/>
      <c r="F152" s="2"/>
      <c r="G152" s="2"/>
      <c r="H152" s="2"/>
      <c r="I152" s="2"/>
      <c r="J152" s="2"/>
      <c r="K152" s="2"/>
      <c r="L152" s="2"/>
      <c r="M152" s="2"/>
      <c r="N152" s="2"/>
      <c r="O152" s="2"/>
      <c r="P152" s="2"/>
      <c r="Q152" s="2"/>
      <c r="R152" s="2"/>
      <c r="S152" s="2"/>
      <c r="T152" s="2"/>
      <c r="U152" s="2"/>
      <c r="V152" s="2"/>
      <c r="W152" s="558"/>
      <c r="X152" s="558"/>
      <c r="Y152" s="2"/>
      <c r="Z152" s="11"/>
    </row>
    <row r="153" spans="2:26" s="328" customFormat="1" ht="18" hidden="1" customHeight="1" outlineLevel="1" x14ac:dyDescent="0.2">
      <c r="B153" s="515" t="s">
        <v>1411</v>
      </c>
      <c r="C153" s="81" t="s">
        <v>1412</v>
      </c>
      <c r="D153" s="91">
        <v>472.14</v>
      </c>
      <c r="E153" s="488"/>
      <c r="F153" s="2"/>
      <c r="G153" s="2"/>
      <c r="H153" s="2"/>
      <c r="I153" s="2"/>
      <c r="J153" s="2"/>
      <c r="K153" s="2"/>
      <c r="L153" s="2"/>
      <c r="M153" s="2"/>
      <c r="N153" s="2"/>
      <c r="O153" s="2"/>
      <c r="P153" s="2"/>
      <c r="Q153" s="2"/>
      <c r="R153" s="2"/>
      <c r="S153" s="2"/>
      <c r="T153" s="2"/>
      <c r="U153" s="2"/>
      <c r="V153" s="2"/>
      <c r="W153" s="558"/>
      <c r="X153" s="558"/>
      <c r="Y153" s="2"/>
      <c r="Z153" s="11"/>
    </row>
    <row r="154" spans="2:26" s="328" customFormat="1" ht="18" hidden="1" customHeight="1" outlineLevel="1" x14ac:dyDescent="0.2">
      <c r="B154" s="515" t="s">
        <v>1413</v>
      </c>
      <c r="C154" s="81" t="s">
        <v>1245</v>
      </c>
      <c r="D154" s="91">
        <v>860</v>
      </c>
      <c r="E154" s="488"/>
      <c r="F154" s="2"/>
      <c r="G154" s="2"/>
      <c r="H154" s="2"/>
      <c r="I154" s="2"/>
      <c r="J154" s="2"/>
      <c r="K154" s="2"/>
      <c r="L154" s="2"/>
      <c r="M154" s="2"/>
      <c r="N154" s="2"/>
      <c r="O154" s="2"/>
      <c r="P154" s="2"/>
      <c r="Q154" s="2"/>
      <c r="R154" s="2"/>
      <c r="S154" s="2"/>
      <c r="T154" s="2"/>
      <c r="U154" s="2"/>
      <c r="V154" s="2"/>
      <c r="W154" s="558"/>
      <c r="X154" s="558"/>
      <c r="Y154" s="2"/>
      <c r="Z154" s="11"/>
    </row>
    <row r="155" spans="2:26" s="328" customFormat="1" ht="18" hidden="1" customHeight="1" outlineLevel="1" x14ac:dyDescent="0.2">
      <c r="B155" s="274" t="s">
        <v>1235</v>
      </c>
      <c r="C155" s="76" t="s">
        <v>1414</v>
      </c>
      <c r="D155" s="91">
        <v>500</v>
      </c>
      <c r="E155" s="490" t="s">
        <v>1426</v>
      </c>
      <c r="F155" s="2"/>
      <c r="G155" s="2"/>
      <c r="H155" s="2"/>
      <c r="I155" s="2"/>
      <c r="J155" s="2"/>
      <c r="K155" s="2"/>
      <c r="L155" s="2"/>
      <c r="M155" s="2"/>
      <c r="N155" s="2"/>
      <c r="O155" s="2"/>
      <c r="P155" s="2"/>
      <c r="Q155" s="2"/>
      <c r="R155" s="2"/>
      <c r="S155" s="2"/>
      <c r="T155" s="2"/>
      <c r="U155" s="2"/>
      <c r="V155" s="2"/>
      <c r="W155" s="558"/>
      <c r="X155" s="558"/>
      <c r="Y155" s="2"/>
      <c r="Z155" s="11"/>
    </row>
    <row r="156" spans="2:26" s="328" customFormat="1" ht="18" hidden="1" customHeight="1" outlineLevel="1" x14ac:dyDescent="0.2">
      <c r="B156" s="515" t="s">
        <v>1242</v>
      </c>
      <c r="C156" s="81" t="s">
        <v>1415</v>
      </c>
      <c r="D156" s="91">
        <v>500</v>
      </c>
      <c r="E156" s="490" t="s">
        <v>1426</v>
      </c>
      <c r="F156" s="2"/>
      <c r="G156" s="2"/>
      <c r="H156" s="2"/>
      <c r="I156" s="2"/>
      <c r="J156" s="2"/>
      <c r="K156" s="2"/>
      <c r="L156" s="2"/>
      <c r="M156" s="2"/>
      <c r="N156" s="2"/>
      <c r="O156" s="2"/>
      <c r="P156" s="2"/>
      <c r="Q156" s="2"/>
      <c r="R156" s="2"/>
      <c r="S156" s="2"/>
      <c r="T156" s="2"/>
      <c r="U156" s="2"/>
      <c r="V156" s="2"/>
      <c r="W156" s="558"/>
      <c r="X156" s="558"/>
      <c r="Y156" s="2"/>
      <c r="Z156" s="11"/>
    </row>
    <row r="157" spans="2:26" s="328" customFormat="1" ht="18" hidden="1" customHeight="1" outlineLevel="1" x14ac:dyDescent="0.2">
      <c r="B157" s="515" t="s">
        <v>1392</v>
      </c>
      <c r="C157" s="81" t="s">
        <v>1416</v>
      </c>
      <c r="D157" s="91">
        <v>500</v>
      </c>
      <c r="E157" s="490" t="s">
        <v>1426</v>
      </c>
      <c r="F157" s="2"/>
      <c r="G157" s="2"/>
      <c r="H157" s="2"/>
      <c r="I157" s="2"/>
      <c r="J157" s="2"/>
      <c r="K157" s="2"/>
      <c r="L157" s="2"/>
      <c r="M157" s="2"/>
      <c r="N157" s="2"/>
      <c r="O157" s="2"/>
      <c r="P157" s="2"/>
      <c r="Q157" s="2"/>
      <c r="R157" s="2"/>
      <c r="S157" s="2"/>
      <c r="T157" s="2"/>
      <c r="U157" s="2"/>
      <c r="V157" s="2"/>
      <c r="W157" s="558"/>
      <c r="X157" s="558"/>
      <c r="Y157" s="2"/>
      <c r="Z157" s="11"/>
    </row>
    <row r="158" spans="2:26" s="328" customFormat="1" ht="18" hidden="1" customHeight="1" outlineLevel="1" x14ac:dyDescent="0.2">
      <c r="B158" s="274" t="s">
        <v>1245</v>
      </c>
      <c r="C158" s="81" t="s">
        <v>1417</v>
      </c>
      <c r="D158" s="91">
        <v>407.64</v>
      </c>
      <c r="E158" s="491"/>
      <c r="F158" s="2"/>
      <c r="G158" s="2"/>
      <c r="H158" s="2"/>
      <c r="I158" s="2"/>
      <c r="J158" s="2"/>
      <c r="K158" s="2"/>
      <c r="L158" s="2"/>
      <c r="M158" s="2"/>
      <c r="N158" s="2"/>
      <c r="O158" s="2"/>
      <c r="P158" s="2"/>
      <c r="Q158" s="2"/>
      <c r="R158" s="2"/>
      <c r="S158" s="2"/>
      <c r="T158" s="2"/>
      <c r="U158" s="2"/>
      <c r="V158" s="2"/>
      <c r="W158" s="558"/>
      <c r="X158" s="558"/>
      <c r="Y158" s="2"/>
      <c r="Z158" s="11"/>
    </row>
    <row r="159" spans="2:26" s="328" customFormat="1" ht="18" hidden="1" customHeight="1" outlineLevel="1" x14ac:dyDescent="0.2">
      <c r="B159" s="274" t="s">
        <v>1389</v>
      </c>
      <c r="C159" s="81" t="s">
        <v>1397</v>
      </c>
      <c r="D159" s="91">
        <v>959.76</v>
      </c>
      <c r="E159" s="491"/>
      <c r="F159" s="2"/>
      <c r="G159" s="2"/>
      <c r="H159" s="2"/>
      <c r="I159" s="2"/>
      <c r="J159" s="2"/>
      <c r="K159" s="2"/>
      <c r="L159" s="2"/>
      <c r="M159" s="2"/>
      <c r="N159" s="2"/>
      <c r="O159" s="2"/>
      <c r="P159" s="2"/>
      <c r="Q159" s="2"/>
      <c r="R159" s="2"/>
      <c r="S159" s="2"/>
      <c r="T159" s="2"/>
      <c r="U159" s="2"/>
      <c r="V159" s="2"/>
      <c r="W159" s="558"/>
      <c r="X159" s="558"/>
      <c r="Y159" s="2"/>
      <c r="Z159" s="11"/>
    </row>
    <row r="160" spans="2:26" s="328" customFormat="1" ht="18" hidden="1" customHeight="1" outlineLevel="1" x14ac:dyDescent="0.2">
      <c r="B160" s="274" t="s">
        <v>1411</v>
      </c>
      <c r="C160" s="81" t="s">
        <v>1235</v>
      </c>
      <c r="D160" s="91">
        <v>472.14</v>
      </c>
      <c r="E160" s="491"/>
      <c r="F160" s="2"/>
      <c r="G160" s="2"/>
      <c r="H160" s="2"/>
      <c r="I160" s="2"/>
      <c r="J160" s="2"/>
      <c r="K160" s="2"/>
      <c r="L160" s="2"/>
      <c r="M160" s="2"/>
      <c r="N160" s="2"/>
      <c r="O160" s="2"/>
      <c r="P160" s="2"/>
      <c r="Q160" s="2"/>
      <c r="R160" s="2"/>
      <c r="S160" s="2"/>
      <c r="T160" s="2"/>
      <c r="U160" s="2"/>
      <c r="V160" s="2"/>
      <c r="W160" s="558"/>
      <c r="X160" s="558"/>
      <c r="Y160" s="2"/>
      <c r="Z160" s="11"/>
    </row>
    <row r="161" spans="2:26" s="328" customFormat="1" ht="18" hidden="1" customHeight="1" outlineLevel="1" x14ac:dyDescent="0.2">
      <c r="B161" s="274" t="s">
        <v>1415</v>
      </c>
      <c r="C161" s="81" t="s">
        <v>1392</v>
      </c>
      <c r="D161" s="91">
        <v>500</v>
      </c>
      <c r="E161" s="490" t="s">
        <v>1426</v>
      </c>
      <c r="F161" s="2"/>
      <c r="G161" s="2"/>
      <c r="H161" s="2"/>
      <c r="I161" s="2"/>
      <c r="J161" s="2"/>
      <c r="K161" s="2"/>
      <c r="L161" s="2"/>
      <c r="M161" s="2"/>
      <c r="N161" s="2"/>
      <c r="O161" s="2"/>
      <c r="P161" s="2"/>
      <c r="Q161" s="2"/>
      <c r="R161" s="2"/>
      <c r="S161" s="2"/>
      <c r="T161" s="2"/>
      <c r="U161" s="2"/>
      <c r="V161" s="2"/>
      <c r="W161" s="558"/>
      <c r="X161" s="558"/>
      <c r="Y161" s="2"/>
      <c r="Z161" s="11"/>
    </row>
    <row r="162" spans="2:26" s="328" customFormat="1" ht="18" hidden="1" customHeight="1" outlineLevel="1" x14ac:dyDescent="0.2">
      <c r="B162" s="274" t="s">
        <v>1240</v>
      </c>
      <c r="C162" s="81" t="s">
        <v>1418</v>
      </c>
      <c r="D162" s="91">
        <v>676.81999999999994</v>
      </c>
      <c r="E162" s="1435"/>
      <c r="F162" s="2"/>
      <c r="G162" s="2"/>
      <c r="H162" s="2"/>
      <c r="I162" s="2"/>
      <c r="J162" s="2"/>
      <c r="K162" s="2"/>
      <c r="L162" s="2"/>
      <c r="M162" s="2"/>
      <c r="N162" s="2"/>
      <c r="O162" s="2"/>
      <c r="P162" s="2"/>
      <c r="Q162" s="2"/>
      <c r="R162" s="2"/>
      <c r="S162" s="2"/>
      <c r="T162" s="2"/>
      <c r="U162" s="2"/>
      <c r="V162" s="2"/>
      <c r="W162" s="558"/>
      <c r="X162" s="558"/>
      <c r="Y162" s="2"/>
      <c r="Z162" s="11"/>
    </row>
    <row r="163" spans="2:26" s="328" customFormat="1" ht="18" hidden="1" customHeight="1" outlineLevel="1" x14ac:dyDescent="0.2">
      <c r="B163" s="274" t="s">
        <v>1397</v>
      </c>
      <c r="C163" s="81" t="s">
        <v>1415</v>
      </c>
      <c r="D163" s="91">
        <v>4794.5</v>
      </c>
      <c r="E163" s="1435"/>
      <c r="F163" s="2"/>
      <c r="G163" s="2"/>
      <c r="H163" s="2"/>
      <c r="I163" s="2"/>
      <c r="J163" s="2"/>
      <c r="K163" s="2"/>
      <c r="L163" s="2"/>
      <c r="M163" s="2"/>
      <c r="N163" s="2"/>
      <c r="O163" s="2"/>
      <c r="P163" s="2"/>
      <c r="Q163" s="2"/>
      <c r="R163" s="2"/>
      <c r="S163" s="2"/>
      <c r="T163" s="2"/>
      <c r="U163" s="2"/>
      <c r="V163" s="2"/>
      <c r="W163" s="558"/>
      <c r="X163" s="558"/>
      <c r="Y163" s="2"/>
      <c r="Z163" s="11"/>
    </row>
    <row r="164" spans="2:26" s="328" customFormat="1" ht="18" hidden="1" customHeight="1" outlineLevel="1" thickBot="1" x14ac:dyDescent="0.25">
      <c r="B164" s="486" t="s">
        <v>1240</v>
      </c>
      <c r="C164" s="487" t="s">
        <v>1397</v>
      </c>
      <c r="D164" s="1346">
        <v>6127</v>
      </c>
      <c r="E164" s="1436"/>
      <c r="F164" s="2"/>
      <c r="G164" s="2"/>
      <c r="H164" s="2"/>
      <c r="I164" s="2"/>
      <c r="J164" s="2"/>
      <c r="K164" s="2"/>
      <c r="L164" s="2"/>
      <c r="M164" s="2"/>
      <c r="N164" s="2"/>
      <c r="O164" s="2"/>
      <c r="P164" s="2"/>
      <c r="Q164" s="2"/>
      <c r="R164" s="2"/>
      <c r="S164" s="2"/>
      <c r="T164" s="2"/>
      <c r="U164" s="2"/>
      <c r="V164" s="2"/>
      <c r="W164" s="558"/>
      <c r="X164" s="558"/>
      <c r="Y164" s="2"/>
      <c r="Z164" s="11"/>
    </row>
    <row r="165" spans="2:26" s="328" customFormat="1" ht="21" hidden="1" customHeight="1" outlineLevel="1" thickBot="1" x14ac:dyDescent="0.25">
      <c r="B165" s="3162" t="s">
        <v>198</v>
      </c>
      <c r="C165" s="3163"/>
      <c r="D165" s="1432">
        <f>SUM(D150:D164)</f>
        <v>19021.48</v>
      </c>
      <c r="E165" s="1437"/>
      <c r="F165" s="2"/>
      <c r="G165" s="2"/>
      <c r="H165" s="2"/>
      <c r="I165" s="2"/>
      <c r="J165" s="2"/>
      <c r="K165" s="2"/>
      <c r="L165" s="2"/>
      <c r="M165" s="2"/>
      <c r="N165" s="2"/>
      <c r="O165" s="2"/>
      <c r="P165" s="2"/>
      <c r="Q165" s="2"/>
      <c r="R165" s="2"/>
      <c r="S165" s="2"/>
      <c r="T165" s="2"/>
      <c r="U165" s="2"/>
      <c r="V165" s="2"/>
      <c r="W165" s="558"/>
      <c r="X165" s="558"/>
      <c r="Y165" s="2"/>
      <c r="Z165" s="11"/>
    </row>
    <row r="166" spans="2:26" s="328" customFormat="1" ht="21" hidden="1" customHeight="1" outlineLevel="1" x14ac:dyDescent="0.2">
      <c r="B166" s="337"/>
      <c r="C166" s="337"/>
      <c r="D166" s="1442"/>
      <c r="E166" s="1444"/>
      <c r="F166" s="2"/>
      <c r="G166" s="2"/>
      <c r="H166" s="2"/>
      <c r="I166" s="2"/>
      <c r="J166" s="2"/>
      <c r="K166" s="2"/>
      <c r="L166" s="2"/>
      <c r="M166" s="2"/>
      <c r="N166" s="2"/>
      <c r="O166" s="2"/>
      <c r="P166" s="2"/>
      <c r="Q166" s="2"/>
      <c r="R166" s="2"/>
      <c r="S166" s="2"/>
      <c r="T166" s="2"/>
      <c r="U166" s="2"/>
      <c r="V166" s="2"/>
      <c r="W166" s="558"/>
      <c r="X166" s="558"/>
      <c r="Y166" s="2"/>
      <c r="Z166" s="11"/>
    </row>
    <row r="167" spans="2:26" s="328" customFormat="1" ht="27" hidden="1" customHeight="1" outlineLevel="1" x14ac:dyDescent="0.2">
      <c r="B167" s="86"/>
      <c r="C167" s="477"/>
      <c r="D167" s="477"/>
      <c r="E167" s="477"/>
      <c r="F167" s="477"/>
      <c r="G167" s="477"/>
      <c r="H167" s="477"/>
      <c r="I167" s="2"/>
      <c r="J167" s="2"/>
      <c r="K167" s="2"/>
      <c r="L167" s="2"/>
      <c r="M167" s="2"/>
      <c r="N167" s="2"/>
      <c r="O167" s="2"/>
      <c r="P167" s="2"/>
      <c r="Q167" s="2"/>
      <c r="R167" s="2"/>
      <c r="S167" s="2"/>
      <c r="T167" s="2"/>
      <c r="U167" s="2"/>
      <c r="V167" s="2"/>
      <c r="W167" s="558"/>
      <c r="X167" s="558"/>
      <c r="Y167" s="2"/>
      <c r="Z167" s="11"/>
    </row>
    <row r="168" spans="2:26" s="328" customFormat="1" ht="39" hidden="1" customHeight="1" outlineLevel="1" x14ac:dyDescent="0.2">
      <c r="B168" s="3164" t="s">
        <v>1423</v>
      </c>
      <c r="C168" s="3165"/>
      <c r="D168" s="3165"/>
      <c r="E168" s="477"/>
      <c r="F168" s="477"/>
      <c r="G168" s="477"/>
      <c r="H168" s="477"/>
      <c r="I168" s="2"/>
      <c r="J168" s="2"/>
      <c r="K168" s="2"/>
      <c r="L168" s="2"/>
      <c r="M168" s="2"/>
      <c r="N168" s="2"/>
      <c r="O168" s="2"/>
      <c r="P168" s="2"/>
      <c r="Q168" s="2"/>
      <c r="R168" s="2"/>
      <c r="S168" s="2"/>
      <c r="T168" s="2"/>
      <c r="U168" s="2"/>
      <c r="V168" s="2"/>
      <c r="W168" s="558"/>
      <c r="X168" s="558"/>
      <c r="Y168" s="2"/>
      <c r="Z168" s="11"/>
    </row>
    <row r="169" spans="2:26" s="328" customFormat="1" ht="39" hidden="1" customHeight="1" outlineLevel="1" x14ac:dyDescent="0.2">
      <c r="B169" s="76" t="s">
        <v>1384</v>
      </c>
      <c r="C169" s="76">
        <f>C140</f>
        <v>1120</v>
      </c>
      <c r="D169" s="81" t="s">
        <v>685</v>
      </c>
      <c r="E169" s="477"/>
      <c r="F169" s="477"/>
      <c r="G169" s="477"/>
      <c r="H169" s="477"/>
      <c r="I169" s="2"/>
      <c r="J169" s="2"/>
      <c r="K169" s="2"/>
      <c r="L169" s="2"/>
      <c r="M169" s="2"/>
      <c r="N169" s="2"/>
      <c r="O169" s="2"/>
      <c r="P169" s="2"/>
      <c r="Q169" s="2"/>
      <c r="R169" s="2"/>
      <c r="S169" s="2"/>
      <c r="T169" s="2"/>
      <c r="U169" s="2"/>
      <c r="V169" s="2"/>
      <c r="W169" s="558"/>
      <c r="X169" s="558"/>
      <c r="Y169" s="2"/>
      <c r="Z169" s="11"/>
    </row>
    <row r="170" spans="2:26" s="328" customFormat="1" ht="27" customHeight="1" collapsed="1" x14ac:dyDescent="0.2">
      <c r="B170" s="86"/>
      <c r="C170" s="477"/>
      <c r="D170" s="477"/>
      <c r="E170" s="477"/>
      <c r="F170" s="477"/>
      <c r="G170" s="477"/>
      <c r="H170" s="477"/>
      <c r="I170" s="2"/>
      <c r="J170" s="2"/>
      <c r="K170" s="2"/>
      <c r="L170" s="2"/>
      <c r="M170" s="2"/>
      <c r="N170" s="2"/>
      <c r="O170" s="2"/>
      <c r="P170" s="2"/>
      <c r="Q170" s="2"/>
      <c r="R170" s="2"/>
      <c r="S170" s="2"/>
      <c r="T170" s="2"/>
      <c r="U170" s="2"/>
      <c r="V170" s="2"/>
      <c r="W170" s="558"/>
      <c r="X170" s="558"/>
      <c r="Y170" s="2"/>
      <c r="Z170" s="11"/>
    </row>
    <row r="171" spans="2:26" s="328" customFormat="1" ht="27" customHeight="1" x14ac:dyDescent="0.2">
      <c r="B171" s="86"/>
      <c r="C171" s="477"/>
      <c r="D171" s="477"/>
      <c r="E171" s="477"/>
      <c r="F171" s="477"/>
      <c r="G171" s="477"/>
      <c r="H171" s="477"/>
      <c r="I171" s="2"/>
      <c r="J171" s="2"/>
      <c r="K171" s="2"/>
      <c r="L171" s="2"/>
      <c r="M171" s="2"/>
      <c r="N171" s="2"/>
      <c r="O171" s="2"/>
      <c r="P171" s="2"/>
      <c r="Q171" s="2"/>
      <c r="R171" s="2"/>
      <c r="S171" s="2"/>
      <c r="T171" s="2"/>
      <c r="U171" s="2"/>
      <c r="V171" s="2"/>
      <c r="W171" s="558"/>
      <c r="X171" s="558"/>
      <c r="Y171" s="2"/>
      <c r="Z171" s="11"/>
    </row>
    <row r="172" spans="2:26" ht="27" customHeight="1" x14ac:dyDescent="0.2">
      <c r="B172" s="1379" t="s">
        <v>1427</v>
      </c>
      <c r="I172" s="2"/>
      <c r="J172" s="2"/>
      <c r="K172" s="2"/>
      <c r="L172" s="2"/>
      <c r="M172" s="2"/>
      <c r="N172" s="2"/>
      <c r="O172" s="2"/>
      <c r="P172" s="2"/>
      <c r="Q172" s="2"/>
      <c r="R172" s="2"/>
      <c r="S172" s="2"/>
      <c r="T172" s="2"/>
      <c r="U172" s="2"/>
      <c r="V172" s="2"/>
      <c r="W172" s="558"/>
      <c r="X172" s="558"/>
      <c r="Y172" s="2"/>
    </row>
    <row r="173" spans="2:26" ht="24" customHeight="1" x14ac:dyDescent="0.2">
      <c r="B173" s="322"/>
      <c r="C173" s="322"/>
      <c r="D173" s="322"/>
      <c r="E173" s="322"/>
      <c r="F173" s="322"/>
      <c r="G173" s="322"/>
      <c r="H173" s="322"/>
      <c r="I173" s="322"/>
      <c r="J173" s="322"/>
      <c r="K173" s="322"/>
      <c r="L173" s="322"/>
      <c r="M173" s="322"/>
      <c r="N173" s="322"/>
      <c r="O173" s="322"/>
      <c r="P173" s="322"/>
      <c r="Q173" s="322"/>
      <c r="R173" s="322"/>
      <c r="S173" s="322"/>
      <c r="T173" s="322"/>
      <c r="U173" s="322"/>
      <c r="V173" s="322"/>
    </row>
    <row r="174" spans="2:26" ht="27" customHeight="1" x14ac:dyDescent="0.2">
      <c r="B174" s="1380" t="s">
        <v>1428</v>
      </c>
      <c r="F174" s="219"/>
    </row>
    <row r="175" spans="2:26" ht="33" hidden="1" customHeight="1" outlineLevel="1" thickBot="1" x14ac:dyDescent="0.25">
      <c r="B175" s="1380"/>
      <c r="F175" s="219"/>
    </row>
    <row r="176" spans="2:26" ht="33" hidden="1" customHeight="1" outlineLevel="1" x14ac:dyDescent="0.2">
      <c r="B176" s="1376" t="s">
        <v>26</v>
      </c>
      <c r="C176" s="3153" t="s">
        <v>1763</v>
      </c>
      <c r="D176" s="3154"/>
      <c r="E176" s="3154"/>
      <c r="F176" s="3154"/>
      <c r="G176" s="3154"/>
      <c r="H176" s="3154"/>
      <c r="I176" s="3154"/>
      <c r="J176" s="3154"/>
      <c r="K176" s="3154"/>
      <c r="L176" s="3154"/>
      <c r="M176" s="3154"/>
      <c r="N176" s="3154"/>
      <c r="O176" s="3154"/>
      <c r="P176" s="3154"/>
      <c r="Q176" s="3155"/>
    </row>
    <row r="177" spans="2:24" ht="33" hidden="1" customHeight="1" outlineLevel="1" thickBot="1" x14ac:dyDescent="0.25">
      <c r="B177" s="1377" t="s">
        <v>27</v>
      </c>
      <c r="C177" s="3156" t="s">
        <v>1429</v>
      </c>
      <c r="D177" s="3157"/>
      <c r="E177" s="3157"/>
      <c r="F177" s="3157"/>
      <c r="G177" s="3157"/>
      <c r="H177" s="3157"/>
      <c r="I177" s="3157"/>
      <c r="J177" s="3157"/>
      <c r="K177" s="3157"/>
      <c r="L177" s="3157"/>
      <c r="M177" s="3157"/>
      <c r="N177" s="3157"/>
      <c r="O177" s="3157"/>
      <c r="P177" s="3157"/>
      <c r="Q177" s="3158"/>
    </row>
    <row r="178" spans="2:24" ht="33" hidden="1" customHeight="1" outlineLevel="1" thickBot="1" x14ac:dyDescent="0.25">
      <c r="B178" s="2"/>
      <c r="C178" s="485"/>
      <c r="D178" s="485"/>
      <c r="E178" s="485"/>
      <c r="F178" s="485"/>
      <c r="G178" s="485"/>
      <c r="H178" s="485"/>
      <c r="I178" s="485"/>
      <c r="J178" s="485"/>
      <c r="K178" s="485"/>
      <c r="L178" s="485"/>
      <c r="M178" s="485"/>
      <c r="N178" s="485"/>
      <c r="O178" s="485"/>
      <c r="P178" s="485"/>
      <c r="Q178" s="485"/>
    </row>
    <row r="179" spans="2:24" ht="33" hidden="1" customHeight="1" outlineLevel="1" thickBot="1" x14ac:dyDescent="0.25">
      <c r="B179" s="3149" t="s">
        <v>1269</v>
      </c>
      <c r="C179" s="3150"/>
      <c r="D179" s="3150"/>
      <c r="E179" s="3150"/>
      <c r="F179" s="3150"/>
      <c r="G179" s="3150"/>
      <c r="H179" s="3150"/>
      <c r="I179" s="3150"/>
      <c r="J179" s="3150"/>
      <c r="K179" s="3150"/>
      <c r="L179" s="3150"/>
      <c r="M179" s="3150"/>
      <c r="N179" s="3150"/>
      <c r="O179" s="3150"/>
      <c r="P179" s="3150"/>
      <c r="Q179" s="3150"/>
      <c r="R179" s="3151"/>
      <c r="S179"/>
      <c r="T179" s="2"/>
      <c r="U179" s="2"/>
      <c r="V179" s="2"/>
      <c r="W179" s="328"/>
    </row>
    <row r="180" spans="2:24" s="328" customFormat="1" ht="35" hidden="1" outlineLevel="1" thickBot="1" x14ac:dyDescent="0.25">
      <c r="B180" s="1373" t="s">
        <v>1227</v>
      </c>
      <c r="C180" s="1431" t="s">
        <v>1271</v>
      </c>
      <c r="D180" s="1438" t="s">
        <v>1272</v>
      </c>
      <c r="E180" s="1438" t="s">
        <v>1273</v>
      </c>
      <c r="F180" s="1438" t="s">
        <v>1274</v>
      </c>
      <c r="G180" s="1438" t="s">
        <v>1275</v>
      </c>
      <c r="H180" s="1438" t="s">
        <v>1276</v>
      </c>
      <c r="I180" s="1438" t="s">
        <v>1277</v>
      </c>
      <c r="J180" s="1438" t="s">
        <v>1278</v>
      </c>
      <c r="K180" s="1438" t="s">
        <v>1279</v>
      </c>
      <c r="L180" s="1438" t="s">
        <v>1280</v>
      </c>
      <c r="M180" s="1438" t="s">
        <v>1281</v>
      </c>
      <c r="N180" s="1438" t="s">
        <v>1282</v>
      </c>
      <c r="O180" s="1438" t="s">
        <v>1283</v>
      </c>
      <c r="P180" s="1438" t="s">
        <v>1284</v>
      </c>
      <c r="Q180" s="1419" t="s">
        <v>1382</v>
      </c>
      <c r="R180" s="1382" t="s">
        <v>1383</v>
      </c>
      <c r="S180" s="2"/>
      <c r="T180" s="2"/>
      <c r="U180" s="2"/>
    </row>
    <row r="181" spans="2:24" hidden="1" outlineLevel="1" x14ac:dyDescent="0.2">
      <c r="B181" s="1386" t="s">
        <v>1285</v>
      </c>
      <c r="C181" s="1387"/>
      <c r="D181" s="1252">
        <v>191</v>
      </c>
      <c r="E181" s="1252">
        <v>384</v>
      </c>
      <c r="F181" s="1252">
        <v>379</v>
      </c>
      <c r="G181" s="1252">
        <v>553</v>
      </c>
      <c r="H181" s="1252">
        <v>368</v>
      </c>
      <c r="I181" s="1252">
        <v>734</v>
      </c>
      <c r="J181" s="1252">
        <v>532</v>
      </c>
      <c r="K181" s="1252">
        <v>101</v>
      </c>
      <c r="L181" s="1252">
        <v>495</v>
      </c>
      <c r="M181" s="1252">
        <v>775</v>
      </c>
      <c r="N181" s="1252">
        <v>769</v>
      </c>
      <c r="O181" s="1252">
        <v>757</v>
      </c>
      <c r="P181" s="1252">
        <v>296</v>
      </c>
      <c r="Q181" s="1421">
        <v>15211</v>
      </c>
      <c r="R181" s="1422">
        <v>18069</v>
      </c>
      <c r="S181" s="2"/>
      <c r="T181" s="2"/>
      <c r="U181" s="2"/>
      <c r="V181" s="328"/>
      <c r="W181" s="328"/>
      <c r="X181" s="55"/>
    </row>
    <row r="182" spans="2:24" hidden="1" outlineLevel="1" x14ac:dyDescent="0.2">
      <c r="B182" s="1390" t="s">
        <v>1286</v>
      </c>
      <c r="C182" s="1253">
        <v>191</v>
      </c>
      <c r="D182" s="1391"/>
      <c r="E182" s="77">
        <v>205</v>
      </c>
      <c r="F182" s="77">
        <v>313</v>
      </c>
      <c r="G182" s="77">
        <v>374</v>
      </c>
      <c r="H182" s="77">
        <v>189</v>
      </c>
      <c r="I182" s="77">
        <v>555</v>
      </c>
      <c r="J182" s="77">
        <v>484</v>
      </c>
      <c r="K182" s="77">
        <v>216</v>
      </c>
      <c r="L182" s="77">
        <v>447</v>
      </c>
      <c r="M182" s="77">
        <v>595</v>
      </c>
      <c r="N182" s="77">
        <v>590</v>
      </c>
      <c r="O182" s="77">
        <v>709</v>
      </c>
      <c r="P182" s="77">
        <v>243</v>
      </c>
      <c r="Q182" s="1424">
        <v>28126</v>
      </c>
      <c r="R182" s="1425">
        <v>33290</v>
      </c>
      <c r="S182" s="2"/>
      <c r="T182" s="2"/>
      <c r="U182" s="2"/>
      <c r="V182" s="328"/>
      <c r="W182" s="328"/>
      <c r="X182" s="55"/>
    </row>
    <row r="183" spans="2:24" hidden="1" outlineLevel="1" x14ac:dyDescent="0.2">
      <c r="B183" s="1390" t="s">
        <v>1287</v>
      </c>
      <c r="C183" s="1253">
        <v>384</v>
      </c>
      <c r="D183" s="77">
        <v>205</v>
      </c>
      <c r="E183" s="1391"/>
      <c r="F183" s="77">
        <v>244</v>
      </c>
      <c r="G183" s="77">
        <v>179</v>
      </c>
      <c r="H183" s="77">
        <v>345</v>
      </c>
      <c r="I183" s="77">
        <v>360</v>
      </c>
      <c r="J183" s="77">
        <v>444</v>
      </c>
      <c r="K183" s="77">
        <v>392</v>
      </c>
      <c r="L183" s="77">
        <v>404</v>
      </c>
      <c r="M183" s="77">
        <v>488</v>
      </c>
      <c r="N183" s="77">
        <v>482</v>
      </c>
      <c r="O183" s="77">
        <v>666</v>
      </c>
      <c r="P183" s="77">
        <v>200</v>
      </c>
      <c r="Q183" s="1424">
        <v>10306</v>
      </c>
      <c r="R183" s="1425">
        <v>14759</v>
      </c>
      <c r="S183" s="2"/>
      <c r="T183" s="2"/>
      <c r="U183" s="2"/>
      <c r="V183" s="328"/>
      <c r="W183" s="328"/>
      <c r="X183" s="55"/>
    </row>
    <row r="184" spans="2:24" hidden="1" outlineLevel="1" x14ac:dyDescent="0.2">
      <c r="B184" s="1390" t="s">
        <v>1288</v>
      </c>
      <c r="C184" s="1253">
        <v>379</v>
      </c>
      <c r="D184" s="77">
        <v>313</v>
      </c>
      <c r="E184" s="77">
        <v>244</v>
      </c>
      <c r="F184" s="1391"/>
      <c r="G184" s="77">
        <v>359</v>
      </c>
      <c r="H184" s="77">
        <v>488</v>
      </c>
      <c r="I184" s="77">
        <v>469</v>
      </c>
      <c r="J184" s="77">
        <v>174</v>
      </c>
      <c r="K184" s="77">
        <v>276</v>
      </c>
      <c r="L184" s="77">
        <v>177</v>
      </c>
      <c r="M184" s="77">
        <v>728</v>
      </c>
      <c r="N184" s="77">
        <v>721</v>
      </c>
      <c r="O184" s="77">
        <v>399</v>
      </c>
      <c r="P184" s="77">
        <v>82</v>
      </c>
      <c r="Q184" s="1424">
        <v>9798</v>
      </c>
      <c r="R184" s="1425">
        <v>12550</v>
      </c>
      <c r="S184" s="2"/>
      <c r="T184" s="2"/>
      <c r="U184" s="2"/>
      <c r="V184" s="328"/>
      <c r="W184" s="328"/>
      <c r="X184" s="55"/>
    </row>
    <row r="185" spans="2:24" hidden="1" outlineLevel="1" x14ac:dyDescent="0.2">
      <c r="B185" s="1390" t="s">
        <v>1289</v>
      </c>
      <c r="C185" s="1253">
        <v>553</v>
      </c>
      <c r="D185" s="77">
        <v>374</v>
      </c>
      <c r="E185" s="77">
        <v>179</v>
      </c>
      <c r="F185" s="77">
        <v>359</v>
      </c>
      <c r="G185" s="1391"/>
      <c r="H185" s="77">
        <v>463</v>
      </c>
      <c r="I185" s="77">
        <v>168</v>
      </c>
      <c r="J185" s="77">
        <v>335</v>
      </c>
      <c r="K185" s="77">
        <v>567</v>
      </c>
      <c r="L185" s="77">
        <v>432</v>
      </c>
      <c r="M185" s="77">
        <v>430</v>
      </c>
      <c r="N185" s="77">
        <v>425</v>
      </c>
      <c r="O185" s="77">
        <v>541</v>
      </c>
      <c r="P185" s="77">
        <v>374</v>
      </c>
      <c r="Q185" s="1424">
        <v>15983</v>
      </c>
      <c r="R185" s="1425">
        <v>19372</v>
      </c>
      <c r="S185" s="2"/>
      <c r="T185" s="2"/>
      <c r="U185" s="2"/>
      <c r="V185" s="328"/>
      <c r="W185" s="328"/>
      <c r="X185" s="55"/>
    </row>
    <row r="186" spans="2:24" hidden="1" outlineLevel="1" x14ac:dyDescent="0.2">
      <c r="B186" s="1390" t="s">
        <v>1290</v>
      </c>
      <c r="C186" s="1253">
        <v>368</v>
      </c>
      <c r="D186" s="77">
        <v>189</v>
      </c>
      <c r="E186" s="77">
        <v>345</v>
      </c>
      <c r="F186" s="77">
        <v>488</v>
      </c>
      <c r="G186" s="77">
        <v>463</v>
      </c>
      <c r="H186" s="1391"/>
      <c r="I186" s="77">
        <v>611</v>
      </c>
      <c r="J186" s="77">
        <v>665</v>
      </c>
      <c r="K186" s="77">
        <v>398</v>
      </c>
      <c r="L186" s="77">
        <v>625</v>
      </c>
      <c r="M186" s="77">
        <v>480</v>
      </c>
      <c r="N186" s="77">
        <v>472</v>
      </c>
      <c r="O186" s="77">
        <v>886</v>
      </c>
      <c r="P186" s="77">
        <v>420</v>
      </c>
      <c r="Q186" s="1424">
        <v>16000</v>
      </c>
      <c r="R186" s="1425">
        <v>16000</v>
      </c>
      <c r="S186" s="2"/>
      <c r="T186" s="2"/>
      <c r="U186" s="2"/>
      <c r="V186" s="328"/>
      <c r="W186" s="328"/>
      <c r="X186" s="55"/>
    </row>
    <row r="187" spans="2:24" hidden="1" outlineLevel="1" x14ac:dyDescent="0.2">
      <c r="B187" s="1390" t="s">
        <v>1291</v>
      </c>
      <c r="C187" s="1253">
        <v>734</v>
      </c>
      <c r="D187" s="77">
        <v>555</v>
      </c>
      <c r="E187" s="77">
        <v>360</v>
      </c>
      <c r="F187" s="77">
        <v>469</v>
      </c>
      <c r="G187" s="77">
        <v>168</v>
      </c>
      <c r="H187" s="77">
        <v>611</v>
      </c>
      <c r="I187" s="1391"/>
      <c r="J187" s="77">
        <v>304</v>
      </c>
      <c r="K187" s="77">
        <v>726</v>
      </c>
      <c r="L187" s="77">
        <v>452</v>
      </c>
      <c r="M187" s="77">
        <v>481</v>
      </c>
      <c r="N187" s="77">
        <v>465</v>
      </c>
      <c r="O187" s="77">
        <v>378</v>
      </c>
      <c r="P187" s="77">
        <v>540</v>
      </c>
      <c r="Q187" s="1424">
        <v>16405</v>
      </c>
      <c r="R187" s="1425">
        <v>35020</v>
      </c>
      <c r="S187" s="2"/>
      <c r="T187" s="2"/>
      <c r="U187" s="2"/>
      <c r="V187" s="328"/>
      <c r="W187" s="328"/>
      <c r="X187" s="55"/>
    </row>
    <row r="188" spans="2:24" hidden="1" outlineLevel="1" x14ac:dyDescent="0.2">
      <c r="B188" s="1390" t="s">
        <v>1292</v>
      </c>
      <c r="C188" s="1253">
        <v>532</v>
      </c>
      <c r="D188" s="77">
        <v>484</v>
      </c>
      <c r="E188" s="77">
        <v>444</v>
      </c>
      <c r="F188" s="77">
        <v>174</v>
      </c>
      <c r="G188" s="77">
        <v>335</v>
      </c>
      <c r="H188" s="77">
        <v>665</v>
      </c>
      <c r="I188" s="77">
        <v>304</v>
      </c>
      <c r="J188" s="1391"/>
      <c r="K188" s="77">
        <v>431</v>
      </c>
      <c r="L188" s="77">
        <v>156</v>
      </c>
      <c r="M188" s="77">
        <v>754</v>
      </c>
      <c r="N188" s="77">
        <v>748</v>
      </c>
      <c r="O188" s="77">
        <v>234</v>
      </c>
      <c r="P188" s="77">
        <v>244</v>
      </c>
      <c r="Q188" s="1424">
        <v>11095</v>
      </c>
      <c r="R188" s="1425">
        <v>15697</v>
      </c>
      <c r="S188" s="2"/>
      <c r="T188" s="2"/>
      <c r="U188" s="2"/>
      <c r="V188" s="328"/>
      <c r="W188" s="328"/>
      <c r="X188" s="55"/>
    </row>
    <row r="189" spans="2:24" hidden="1" outlineLevel="1" x14ac:dyDescent="0.2">
      <c r="B189" s="1390" t="s">
        <v>1293</v>
      </c>
      <c r="C189" s="1253">
        <v>101</v>
      </c>
      <c r="D189" s="77">
        <v>216</v>
      </c>
      <c r="E189" s="77">
        <v>392</v>
      </c>
      <c r="F189" s="77">
        <v>276</v>
      </c>
      <c r="G189" s="77">
        <v>567</v>
      </c>
      <c r="H189" s="77">
        <v>398</v>
      </c>
      <c r="I189" s="77">
        <v>726</v>
      </c>
      <c r="J189" s="77">
        <v>431</v>
      </c>
      <c r="K189" s="1391"/>
      <c r="L189" s="77">
        <v>395</v>
      </c>
      <c r="M189" s="77">
        <v>800</v>
      </c>
      <c r="N189" s="77">
        <v>794</v>
      </c>
      <c r="O189" s="77">
        <v>656</v>
      </c>
      <c r="P189" s="77">
        <v>195</v>
      </c>
      <c r="Q189" s="1424">
        <v>11218</v>
      </c>
      <c r="R189" s="1425">
        <v>14588</v>
      </c>
      <c r="S189" s="2"/>
      <c r="T189" s="2"/>
      <c r="U189" s="2"/>
      <c r="V189" s="328"/>
      <c r="W189" s="328"/>
      <c r="X189" s="55"/>
    </row>
    <row r="190" spans="2:24" hidden="1" outlineLevel="1" x14ac:dyDescent="0.2">
      <c r="B190" s="1390" t="s">
        <v>1294</v>
      </c>
      <c r="C190" s="1253">
        <v>495</v>
      </c>
      <c r="D190" s="77">
        <v>447</v>
      </c>
      <c r="E190" s="77">
        <v>404</v>
      </c>
      <c r="F190" s="77">
        <v>177</v>
      </c>
      <c r="G190" s="77">
        <v>432</v>
      </c>
      <c r="H190" s="77">
        <v>625</v>
      </c>
      <c r="I190" s="77">
        <v>452</v>
      </c>
      <c r="J190" s="77">
        <v>156</v>
      </c>
      <c r="K190" s="77">
        <v>395</v>
      </c>
      <c r="L190" s="1391"/>
      <c r="M190" s="77">
        <v>853</v>
      </c>
      <c r="N190" s="77">
        <v>848</v>
      </c>
      <c r="O190" s="77">
        <v>382</v>
      </c>
      <c r="P190" s="77">
        <v>207</v>
      </c>
      <c r="Q190" s="1424">
        <v>12519</v>
      </c>
      <c r="R190" s="1425">
        <v>14593</v>
      </c>
      <c r="S190" s="2"/>
      <c r="T190" s="2"/>
      <c r="U190" s="2"/>
      <c r="V190" s="328"/>
      <c r="W190" s="328"/>
      <c r="X190" s="55"/>
    </row>
    <row r="191" spans="2:24" hidden="1" outlineLevel="1" x14ac:dyDescent="0.2">
      <c r="B191" s="1390" t="s">
        <v>1281</v>
      </c>
      <c r="C191" s="1253">
        <v>775</v>
      </c>
      <c r="D191" s="77">
        <v>595</v>
      </c>
      <c r="E191" s="77">
        <v>488</v>
      </c>
      <c r="F191" s="77">
        <v>728</v>
      </c>
      <c r="G191" s="77">
        <v>430</v>
      </c>
      <c r="H191" s="77">
        <v>480</v>
      </c>
      <c r="I191" s="77">
        <v>481</v>
      </c>
      <c r="J191" s="77">
        <v>754</v>
      </c>
      <c r="K191" s="77">
        <v>800</v>
      </c>
      <c r="L191" s="77">
        <v>853</v>
      </c>
      <c r="M191" s="1391"/>
      <c r="N191" s="77">
        <v>16</v>
      </c>
      <c r="O191" s="77">
        <v>855</v>
      </c>
      <c r="P191" s="77">
        <v>683</v>
      </c>
      <c r="Q191" s="1424">
        <v>11095</v>
      </c>
      <c r="R191" s="1425">
        <v>32000</v>
      </c>
      <c r="S191" s="2"/>
      <c r="T191" s="2"/>
      <c r="U191" s="2"/>
      <c r="V191" s="328"/>
      <c r="W191" s="328"/>
      <c r="X191" s="55"/>
    </row>
    <row r="192" spans="2:24" hidden="1" outlineLevel="1" x14ac:dyDescent="0.2">
      <c r="B192" s="1390" t="s">
        <v>1282</v>
      </c>
      <c r="C192" s="1253">
        <v>769</v>
      </c>
      <c r="D192" s="77">
        <v>590</v>
      </c>
      <c r="E192" s="77">
        <v>482</v>
      </c>
      <c r="F192" s="77">
        <v>721</v>
      </c>
      <c r="G192" s="77">
        <v>425</v>
      </c>
      <c r="H192" s="77">
        <v>472</v>
      </c>
      <c r="I192" s="77">
        <v>465</v>
      </c>
      <c r="J192" s="77">
        <v>748</v>
      </c>
      <c r="K192" s="77">
        <v>794</v>
      </c>
      <c r="L192" s="77">
        <v>848</v>
      </c>
      <c r="M192" s="77">
        <v>16</v>
      </c>
      <c r="N192" s="1391"/>
      <c r="O192" s="77">
        <v>839</v>
      </c>
      <c r="P192" s="77">
        <v>678</v>
      </c>
      <c r="Q192" s="1424">
        <v>11199</v>
      </c>
      <c r="R192" s="1425">
        <v>20000</v>
      </c>
      <c r="S192" s="2"/>
      <c r="T192" s="2"/>
      <c r="U192" s="2"/>
      <c r="V192" s="328"/>
      <c r="W192" s="328"/>
      <c r="X192" s="55"/>
    </row>
    <row r="193" spans="2:24" hidden="1" outlineLevel="1" x14ac:dyDescent="0.2">
      <c r="B193" s="1390" t="s">
        <v>1295</v>
      </c>
      <c r="C193" s="1253">
        <v>757</v>
      </c>
      <c r="D193" s="77">
        <v>709</v>
      </c>
      <c r="E193" s="77">
        <v>666</v>
      </c>
      <c r="F193" s="77">
        <v>399</v>
      </c>
      <c r="G193" s="77">
        <v>541</v>
      </c>
      <c r="H193" s="77">
        <v>886</v>
      </c>
      <c r="I193" s="77">
        <v>378</v>
      </c>
      <c r="J193" s="77">
        <v>234</v>
      </c>
      <c r="K193" s="77">
        <v>656</v>
      </c>
      <c r="L193" s="77">
        <v>382</v>
      </c>
      <c r="M193" s="77">
        <v>855</v>
      </c>
      <c r="N193" s="77">
        <v>839</v>
      </c>
      <c r="O193" s="1391"/>
      <c r="P193" s="77">
        <v>470</v>
      </c>
      <c r="Q193" s="1424">
        <v>17870</v>
      </c>
      <c r="R193" s="1425">
        <v>18200</v>
      </c>
      <c r="S193" s="2"/>
      <c r="T193" s="2"/>
      <c r="U193" s="2"/>
      <c r="V193" s="328"/>
      <c r="W193" s="328"/>
      <c r="X193" s="55"/>
    </row>
    <row r="194" spans="2:24" hidden="1" outlineLevel="1" x14ac:dyDescent="0.2">
      <c r="B194" s="1390" t="s">
        <v>1296</v>
      </c>
      <c r="C194" s="1253">
        <v>296</v>
      </c>
      <c r="D194" s="77">
        <v>243</v>
      </c>
      <c r="E194" s="77">
        <v>200</v>
      </c>
      <c r="F194" s="77">
        <v>82</v>
      </c>
      <c r="G194" s="77">
        <v>374</v>
      </c>
      <c r="H194" s="77">
        <v>420</v>
      </c>
      <c r="I194" s="77">
        <v>540</v>
      </c>
      <c r="J194" s="77">
        <v>244</v>
      </c>
      <c r="K194" s="77">
        <v>195</v>
      </c>
      <c r="L194" s="77">
        <v>207</v>
      </c>
      <c r="M194" s="77">
        <v>683</v>
      </c>
      <c r="N194" s="77">
        <v>678</v>
      </c>
      <c r="O194" s="77">
        <v>470</v>
      </c>
      <c r="P194" s="1391"/>
      <c r="Q194" s="1424">
        <v>20801</v>
      </c>
      <c r="R194" s="1425">
        <v>19073</v>
      </c>
      <c r="S194" s="2"/>
      <c r="T194" s="2"/>
      <c r="U194" s="2"/>
      <c r="V194" s="328"/>
      <c r="W194" s="328"/>
      <c r="X194" s="55"/>
    </row>
    <row r="195" spans="2:24" ht="17" hidden="1" outlineLevel="1" thickBot="1" x14ac:dyDescent="0.25">
      <c r="B195" s="1394"/>
      <c r="C195" s="1446"/>
      <c r="D195" s="388"/>
      <c r="E195" s="388"/>
      <c r="F195" s="388"/>
      <c r="G195" s="388"/>
      <c r="H195" s="388"/>
      <c r="I195" s="388"/>
      <c r="J195" s="388"/>
      <c r="K195" s="388"/>
      <c r="L195" s="388"/>
      <c r="M195" s="388"/>
      <c r="N195" s="388"/>
      <c r="O195" s="388"/>
      <c r="P195" s="388"/>
      <c r="Q195" s="1447"/>
      <c r="R195" s="1394"/>
      <c r="S195" s="2"/>
      <c r="T195" s="2"/>
      <c r="U195" s="2"/>
      <c r="V195" s="328"/>
      <c r="W195" s="328"/>
      <c r="X195" s="55"/>
    </row>
    <row r="196" spans="2:24" s="328" customFormat="1" ht="18" hidden="1" customHeight="1" outlineLevel="1" x14ac:dyDescent="0.2">
      <c r="B196" s="1397" t="s">
        <v>1090</v>
      </c>
      <c r="C196" s="1398">
        <f>SUM(C181:C195)</f>
        <v>6334</v>
      </c>
      <c r="D196" s="1399">
        <f>SUM(D181:D195)</f>
        <v>5111</v>
      </c>
      <c r="E196" s="1399">
        <f t="shared" ref="E196:P196" si="4">SUM(E181:E195)</f>
        <v>4793</v>
      </c>
      <c r="F196" s="1399">
        <f t="shared" si="4"/>
        <v>4809</v>
      </c>
      <c r="G196" s="1399">
        <f t="shared" si="4"/>
        <v>5200</v>
      </c>
      <c r="H196" s="1399">
        <f t="shared" si="4"/>
        <v>6410</v>
      </c>
      <c r="I196" s="1399">
        <f t="shared" si="4"/>
        <v>6243</v>
      </c>
      <c r="J196" s="1399">
        <f t="shared" si="4"/>
        <v>5505</v>
      </c>
      <c r="K196" s="1399">
        <f t="shared" si="4"/>
        <v>5947</v>
      </c>
      <c r="L196" s="1399">
        <f t="shared" si="4"/>
        <v>5873</v>
      </c>
      <c r="M196" s="1399">
        <f t="shared" si="4"/>
        <v>7938</v>
      </c>
      <c r="N196" s="1399">
        <f t="shared" si="4"/>
        <v>7847</v>
      </c>
      <c r="O196" s="1399">
        <f t="shared" si="4"/>
        <v>7772</v>
      </c>
      <c r="P196" s="1399">
        <f t="shared" si="4"/>
        <v>4632</v>
      </c>
      <c r="Q196" s="1448">
        <f>SUM(Q181:Q194)</f>
        <v>207626</v>
      </c>
      <c r="R196" s="1397"/>
      <c r="S196" s="2"/>
      <c r="T196" s="2"/>
      <c r="U196" s="2"/>
    </row>
    <row r="197" spans="2:24" s="328" customFormat="1" ht="18" hidden="1" customHeight="1" outlineLevel="1" thickBot="1" x14ac:dyDescent="0.25">
      <c r="B197" s="1402" t="s">
        <v>374</v>
      </c>
      <c r="C197" s="1403">
        <f>AVERAGE(C181:C194)</f>
        <v>487.23076923076923</v>
      </c>
      <c r="D197" s="1404">
        <f t="shared" ref="D197:P197" si="5">AVERAGE(D181:D194)</f>
        <v>393.15384615384613</v>
      </c>
      <c r="E197" s="1404">
        <f t="shared" si="5"/>
        <v>368.69230769230768</v>
      </c>
      <c r="F197" s="1404">
        <f t="shared" si="5"/>
        <v>369.92307692307691</v>
      </c>
      <c r="G197" s="1404">
        <f t="shared" si="5"/>
        <v>400</v>
      </c>
      <c r="H197" s="1404">
        <f t="shared" si="5"/>
        <v>493.07692307692309</v>
      </c>
      <c r="I197" s="1404">
        <f t="shared" si="5"/>
        <v>480.23076923076923</v>
      </c>
      <c r="J197" s="1404">
        <f t="shared" si="5"/>
        <v>423.46153846153845</v>
      </c>
      <c r="K197" s="1404">
        <f t="shared" si="5"/>
        <v>457.46153846153845</v>
      </c>
      <c r="L197" s="1404">
        <f t="shared" si="5"/>
        <v>451.76923076923077</v>
      </c>
      <c r="M197" s="1404">
        <f t="shared" si="5"/>
        <v>610.61538461538464</v>
      </c>
      <c r="N197" s="1404">
        <f t="shared" si="5"/>
        <v>603.61538461538464</v>
      </c>
      <c r="O197" s="1404">
        <f t="shared" si="5"/>
        <v>597.84615384615381</v>
      </c>
      <c r="P197" s="1404">
        <f t="shared" si="5"/>
        <v>356.30769230769232</v>
      </c>
      <c r="Q197" s="1449">
        <f>AVERAGE(Q181:Q194)</f>
        <v>14830.428571428571</v>
      </c>
      <c r="R197" s="1405">
        <f>AVERAGE(R181:R194)</f>
        <v>20229.357142857141</v>
      </c>
      <c r="S197" s="2"/>
      <c r="T197" s="2"/>
      <c r="U197" s="2"/>
    </row>
    <row r="198" spans="2:24" s="328" customFormat="1" ht="28" customHeight="1" collapsed="1" x14ac:dyDescent="0.2">
      <c r="C198" s="477"/>
      <c r="D198" s="477"/>
      <c r="E198" s="477"/>
      <c r="F198" s="477"/>
      <c r="G198" s="477"/>
      <c r="H198" s="477"/>
      <c r="I198" s="477"/>
      <c r="J198" s="477"/>
      <c r="K198" s="477"/>
      <c r="L198" s="477"/>
      <c r="M198" s="477"/>
      <c r="N198" s="477"/>
      <c r="O198" s="477"/>
      <c r="P198" s="477"/>
      <c r="Q198" s="2"/>
      <c r="R198" s="2"/>
      <c r="S198" s="2"/>
      <c r="T198" s="2"/>
      <c r="U198" s="2"/>
      <c r="V198" s="2"/>
      <c r="W198" s="1407"/>
      <c r="X198" s="1407"/>
    </row>
    <row r="199" spans="2:24" s="328" customFormat="1" ht="27" customHeight="1" x14ac:dyDescent="0.2">
      <c r="B199" s="1380" t="s">
        <v>1430</v>
      </c>
      <c r="C199" s="477"/>
      <c r="D199" s="477"/>
      <c r="E199" s="477"/>
      <c r="F199" s="477"/>
      <c r="G199" s="477"/>
      <c r="H199" s="477"/>
      <c r="I199" s="477"/>
      <c r="J199" s="477"/>
      <c r="K199" s="477"/>
      <c r="L199" s="477"/>
      <c r="M199" s="477"/>
      <c r="N199" s="477"/>
      <c r="O199" s="477"/>
      <c r="P199" s="477"/>
      <c r="T199" s="2"/>
      <c r="V199" s="2"/>
      <c r="W199" s="1407"/>
      <c r="X199" s="1407"/>
    </row>
    <row r="200" spans="2:24" s="328" customFormat="1" ht="27" hidden="1" customHeight="1" outlineLevel="1" thickBot="1" x14ac:dyDescent="0.25">
      <c r="B200" s="1380"/>
      <c r="C200" s="477"/>
      <c r="D200" s="477"/>
      <c r="E200" s="477"/>
      <c r="F200" s="477"/>
      <c r="G200" s="477"/>
      <c r="H200" s="477"/>
      <c r="I200" s="477"/>
      <c r="J200" s="477"/>
      <c r="K200" s="477"/>
      <c r="L200" s="477"/>
      <c r="M200" s="477"/>
      <c r="N200" s="477"/>
      <c r="O200" s="477"/>
      <c r="P200" s="477"/>
      <c r="T200" s="2"/>
      <c r="V200" s="2"/>
      <c r="W200" s="1407"/>
      <c r="X200" s="1407"/>
    </row>
    <row r="201" spans="2:24" s="328" customFormat="1" ht="36" hidden="1" customHeight="1" outlineLevel="1" x14ac:dyDescent="0.2">
      <c r="B201" s="1376" t="s">
        <v>26</v>
      </c>
      <c r="C201" s="3153" t="s">
        <v>1763</v>
      </c>
      <c r="D201" s="3154"/>
      <c r="E201" s="3154"/>
      <c r="F201" s="3154"/>
      <c r="G201" s="3154"/>
      <c r="H201" s="3154"/>
      <c r="I201" s="3154"/>
      <c r="J201" s="3154"/>
      <c r="K201" s="3154"/>
      <c r="L201" s="3154"/>
      <c r="M201" s="3154"/>
      <c r="N201" s="3154"/>
      <c r="O201" s="3154"/>
      <c r="P201" s="3154"/>
      <c r="Q201" s="3155"/>
      <c r="T201" s="2"/>
      <c r="V201" s="2"/>
      <c r="W201" s="1407"/>
      <c r="X201" s="1407"/>
    </row>
    <row r="202" spans="2:24" s="328" customFormat="1" ht="36" hidden="1" customHeight="1" outlineLevel="1" thickBot="1" x14ac:dyDescent="0.25">
      <c r="B202" s="1377" t="s">
        <v>27</v>
      </c>
      <c r="C202" s="3156" t="s">
        <v>1429</v>
      </c>
      <c r="D202" s="3157"/>
      <c r="E202" s="3157"/>
      <c r="F202" s="3157"/>
      <c r="G202" s="3157"/>
      <c r="H202" s="3157"/>
      <c r="I202" s="3157"/>
      <c r="J202" s="3157"/>
      <c r="K202" s="3157"/>
      <c r="L202" s="3157"/>
      <c r="M202" s="3157"/>
      <c r="N202" s="3157"/>
      <c r="O202" s="3157"/>
      <c r="P202" s="3157"/>
      <c r="Q202" s="3158"/>
      <c r="T202" s="2"/>
      <c r="U202"/>
      <c r="V202"/>
      <c r="W202"/>
      <c r="X202"/>
    </row>
    <row r="203" spans="2:24" s="328" customFormat="1" ht="39" hidden="1" customHeight="1" outlineLevel="1" thickBot="1" x14ac:dyDescent="0.25">
      <c r="B203" s="2"/>
      <c r="C203" s="2"/>
      <c r="D203" s="2"/>
      <c r="E203" s="2"/>
      <c r="F203" s="2"/>
      <c r="G203" s="2"/>
      <c r="H203" s="2"/>
      <c r="I203" s="2"/>
      <c r="J203" s="2"/>
      <c r="K203" s="2"/>
      <c r="L203" s="2"/>
      <c r="M203" s="2"/>
      <c r="N203" s="2"/>
      <c r="O203" s="2"/>
      <c r="P203" s="2"/>
      <c r="Q203" s="2"/>
      <c r="R203" s="2"/>
      <c r="S203" s="2"/>
      <c r="T203" s="2"/>
      <c r="U203"/>
      <c r="V203"/>
      <c r="W203"/>
      <c r="X203"/>
    </row>
    <row r="204" spans="2:24" s="328" customFormat="1" ht="25" hidden="1" customHeight="1" outlineLevel="1" thickBot="1" x14ac:dyDescent="0.25">
      <c r="B204" s="3149" t="s">
        <v>1270</v>
      </c>
      <c r="C204" s="3150"/>
      <c r="D204" s="3150"/>
      <c r="E204" s="3150"/>
      <c r="F204" s="3150"/>
      <c r="G204" s="3150"/>
      <c r="H204" s="3150"/>
      <c r="I204" s="3150"/>
      <c r="J204" s="3150"/>
      <c r="K204" s="3150"/>
      <c r="L204" s="3150"/>
      <c r="M204" s="3150"/>
      <c r="N204" s="3150"/>
      <c r="O204" s="3150"/>
      <c r="P204" s="3150"/>
      <c r="Q204" s="3150"/>
      <c r="R204" s="3150"/>
      <c r="S204" s="3150"/>
      <c r="T204" s="3152"/>
      <c r="U204"/>
      <c r="V204"/>
      <c r="W204"/>
      <c r="X204"/>
    </row>
    <row r="205" spans="2:24" s="328" customFormat="1" ht="35" hidden="1" outlineLevel="1" thickBot="1" x14ac:dyDescent="0.25">
      <c r="B205" s="1373" t="s">
        <v>1227</v>
      </c>
      <c r="C205" s="1431" t="s">
        <v>1297</v>
      </c>
      <c r="D205" s="1438" t="s">
        <v>1298</v>
      </c>
      <c r="E205" s="1438" t="s">
        <v>1299</v>
      </c>
      <c r="F205" s="1438" t="s">
        <v>1300</v>
      </c>
      <c r="G205" s="1438" t="s">
        <v>1301</v>
      </c>
      <c r="H205" s="1438" t="s">
        <v>1302</v>
      </c>
      <c r="I205" s="1438" t="s">
        <v>1303</v>
      </c>
      <c r="J205" s="1438" t="s">
        <v>1304</v>
      </c>
      <c r="K205" s="1438" t="s">
        <v>1305</v>
      </c>
      <c r="L205" s="1438" t="s">
        <v>1306</v>
      </c>
      <c r="M205" s="1438" t="s">
        <v>1307</v>
      </c>
      <c r="N205" s="1438" t="s">
        <v>1308</v>
      </c>
      <c r="O205" s="1438" t="s">
        <v>1309</v>
      </c>
      <c r="P205" s="1438" t="s">
        <v>1310</v>
      </c>
      <c r="Q205" s="1438" t="s">
        <v>1311</v>
      </c>
      <c r="R205" s="1438" t="s">
        <v>1312</v>
      </c>
      <c r="S205" s="1419" t="s">
        <v>1382</v>
      </c>
      <c r="T205" s="1382" t="s">
        <v>1383</v>
      </c>
      <c r="U205"/>
      <c r="V205"/>
      <c r="W205"/>
      <c r="X205"/>
    </row>
    <row r="206" spans="2:24" hidden="1" outlineLevel="1" x14ac:dyDescent="0.2">
      <c r="B206" s="1386" t="s">
        <v>1297</v>
      </c>
      <c r="C206" s="1387"/>
      <c r="D206" s="1252">
        <v>500</v>
      </c>
      <c r="E206" s="1252">
        <v>275</v>
      </c>
      <c r="F206" s="1252">
        <v>235</v>
      </c>
      <c r="G206" s="1252">
        <v>294</v>
      </c>
      <c r="H206" s="1252">
        <v>207</v>
      </c>
      <c r="I206" s="1252">
        <v>119</v>
      </c>
      <c r="J206" s="1252">
        <v>643</v>
      </c>
      <c r="K206" s="1252">
        <v>698</v>
      </c>
      <c r="L206" s="1252">
        <v>86</v>
      </c>
      <c r="M206" s="1252">
        <v>120</v>
      </c>
      <c r="N206" s="1252">
        <v>690</v>
      </c>
      <c r="O206" s="1252">
        <v>788</v>
      </c>
      <c r="P206" s="1252">
        <v>252</v>
      </c>
      <c r="Q206" s="1252">
        <v>564</v>
      </c>
      <c r="R206" s="1252">
        <v>592</v>
      </c>
      <c r="S206" s="1450">
        <v>7168</v>
      </c>
      <c r="T206" s="1452">
        <v>14400</v>
      </c>
      <c r="W206" s="55"/>
      <c r="X206" s="55"/>
    </row>
    <row r="207" spans="2:24" hidden="1" outlineLevel="1" x14ac:dyDescent="0.2">
      <c r="B207" s="1390" t="s">
        <v>1298</v>
      </c>
      <c r="C207" s="1253">
        <v>500</v>
      </c>
      <c r="D207" s="1391"/>
      <c r="E207" s="77">
        <v>406</v>
      </c>
      <c r="F207" s="77">
        <v>694</v>
      </c>
      <c r="G207" s="77">
        <v>218</v>
      </c>
      <c r="H207" s="77">
        <v>301</v>
      </c>
      <c r="I207" s="77">
        <v>404</v>
      </c>
      <c r="J207" s="77">
        <v>244</v>
      </c>
      <c r="K207" s="77">
        <v>749</v>
      </c>
      <c r="L207" s="77">
        <v>444</v>
      </c>
      <c r="M207" s="77">
        <v>573</v>
      </c>
      <c r="N207" s="77">
        <v>402</v>
      </c>
      <c r="O207" s="77">
        <v>888</v>
      </c>
      <c r="P207" s="77">
        <v>648</v>
      </c>
      <c r="Q207" s="77">
        <v>538</v>
      </c>
      <c r="R207" s="77">
        <v>1072</v>
      </c>
      <c r="S207" s="1451">
        <v>6041</v>
      </c>
      <c r="T207" s="1453">
        <v>9000</v>
      </c>
      <c r="W207" s="55"/>
      <c r="X207" s="55"/>
    </row>
    <row r="208" spans="2:24" hidden="1" outlineLevel="1" x14ac:dyDescent="0.2">
      <c r="B208" s="1390" t="s">
        <v>1299</v>
      </c>
      <c r="C208" s="1253">
        <v>275</v>
      </c>
      <c r="D208" s="77">
        <v>406</v>
      </c>
      <c r="E208" s="1391"/>
      <c r="F208" s="77">
        <v>488</v>
      </c>
      <c r="G208" s="77">
        <v>262</v>
      </c>
      <c r="H208" s="77">
        <v>326</v>
      </c>
      <c r="I208" s="77">
        <v>247</v>
      </c>
      <c r="J208" s="77">
        <v>422</v>
      </c>
      <c r="K208" s="77">
        <v>538</v>
      </c>
      <c r="L208" s="77">
        <v>189</v>
      </c>
      <c r="M208" s="77">
        <v>384</v>
      </c>
      <c r="N208" s="77">
        <v>415</v>
      </c>
      <c r="O208" s="77">
        <v>666</v>
      </c>
      <c r="P208" s="77">
        <v>273</v>
      </c>
      <c r="Q208" s="77">
        <v>329</v>
      </c>
      <c r="R208" s="77">
        <v>607</v>
      </c>
      <c r="S208" s="1451">
        <v>1869</v>
      </c>
      <c r="T208" s="1453">
        <v>7800</v>
      </c>
      <c r="W208" s="55"/>
      <c r="X208" s="55"/>
    </row>
    <row r="209" spans="2:24" hidden="1" outlineLevel="1" x14ac:dyDescent="0.2">
      <c r="B209" s="1390" t="s">
        <v>1300</v>
      </c>
      <c r="C209" s="1253">
        <v>235</v>
      </c>
      <c r="D209" s="77">
        <v>694</v>
      </c>
      <c r="E209" s="77">
        <v>488</v>
      </c>
      <c r="F209" s="1391"/>
      <c r="G209" s="77">
        <v>482</v>
      </c>
      <c r="H209" s="77">
        <v>395</v>
      </c>
      <c r="I209" s="77">
        <v>314</v>
      </c>
      <c r="J209" s="77">
        <v>831</v>
      </c>
      <c r="K209" s="77">
        <v>763</v>
      </c>
      <c r="L209" s="77">
        <v>359</v>
      </c>
      <c r="M209" s="77">
        <v>117</v>
      </c>
      <c r="N209" s="77">
        <v>850</v>
      </c>
      <c r="O209" s="77">
        <v>853</v>
      </c>
      <c r="P209" s="77">
        <v>317</v>
      </c>
      <c r="Q209" s="77">
        <v>723</v>
      </c>
      <c r="R209" s="77">
        <v>657</v>
      </c>
      <c r="S209" s="1451">
        <v>4126</v>
      </c>
      <c r="T209" s="1453">
        <v>13341</v>
      </c>
      <c r="W209" s="55"/>
      <c r="X209" s="55"/>
    </row>
    <row r="210" spans="2:24" hidden="1" outlineLevel="1" x14ac:dyDescent="0.2">
      <c r="B210" s="1390" t="s">
        <v>1301</v>
      </c>
      <c r="C210" s="1253">
        <v>294</v>
      </c>
      <c r="D210" s="77">
        <v>218</v>
      </c>
      <c r="E210" s="77">
        <v>262</v>
      </c>
      <c r="F210" s="77">
        <v>482</v>
      </c>
      <c r="G210" s="1391"/>
      <c r="H210" s="77">
        <v>89</v>
      </c>
      <c r="I210" s="77">
        <v>192</v>
      </c>
      <c r="J210" s="77">
        <v>360</v>
      </c>
      <c r="K210" s="77">
        <v>738</v>
      </c>
      <c r="L210" s="77">
        <v>232</v>
      </c>
      <c r="M210" s="77">
        <v>363</v>
      </c>
      <c r="N210" s="77">
        <v>462</v>
      </c>
      <c r="O210" s="77">
        <v>866</v>
      </c>
      <c r="P210" s="77">
        <v>540</v>
      </c>
      <c r="Q210" s="77">
        <v>515</v>
      </c>
      <c r="R210" s="77">
        <v>875</v>
      </c>
      <c r="S210" s="1451">
        <v>4535</v>
      </c>
      <c r="T210" s="1453">
        <v>18555</v>
      </c>
      <c r="W210" s="55"/>
      <c r="X210" s="55"/>
    </row>
    <row r="211" spans="2:24" hidden="1" outlineLevel="1" x14ac:dyDescent="0.2">
      <c r="B211" s="1390" t="s">
        <v>1302</v>
      </c>
      <c r="C211" s="1253">
        <v>207</v>
      </c>
      <c r="D211" s="77">
        <v>301</v>
      </c>
      <c r="E211" s="77">
        <v>326</v>
      </c>
      <c r="F211" s="77">
        <v>395</v>
      </c>
      <c r="G211" s="77">
        <v>89</v>
      </c>
      <c r="H211" s="1391"/>
      <c r="I211" s="77">
        <v>105</v>
      </c>
      <c r="J211" s="77">
        <v>439</v>
      </c>
      <c r="K211" s="77">
        <v>750</v>
      </c>
      <c r="L211" s="77">
        <v>145</v>
      </c>
      <c r="M211" s="77">
        <v>276</v>
      </c>
      <c r="N211" s="77">
        <v>541</v>
      </c>
      <c r="O211" s="77">
        <v>878</v>
      </c>
      <c r="P211" s="77">
        <v>453</v>
      </c>
      <c r="Q211" s="77">
        <v>601</v>
      </c>
      <c r="R211" s="77">
        <v>787</v>
      </c>
      <c r="S211" s="1451">
        <v>4122</v>
      </c>
      <c r="T211" s="1453">
        <v>6500</v>
      </c>
      <c r="W211" s="55"/>
      <c r="X211" s="55"/>
    </row>
    <row r="212" spans="2:24" hidden="1" outlineLevel="1" x14ac:dyDescent="0.2">
      <c r="B212" s="1390" t="s">
        <v>1303</v>
      </c>
      <c r="C212" s="1253">
        <v>119</v>
      </c>
      <c r="D212" s="77">
        <v>404</v>
      </c>
      <c r="E212" s="77">
        <v>247</v>
      </c>
      <c r="F212" s="77">
        <v>314</v>
      </c>
      <c r="G212" s="77">
        <v>192</v>
      </c>
      <c r="H212" s="77">
        <v>105</v>
      </c>
      <c r="I212" s="1391"/>
      <c r="J212" s="77">
        <v>541</v>
      </c>
      <c r="K212" s="77">
        <v>664</v>
      </c>
      <c r="L212" s="77">
        <v>59</v>
      </c>
      <c r="M212" s="77">
        <v>173</v>
      </c>
      <c r="N212" s="77">
        <v>643</v>
      </c>
      <c r="O212" s="77">
        <v>792</v>
      </c>
      <c r="P212" s="77">
        <v>361</v>
      </c>
      <c r="Q212" s="77">
        <v>536</v>
      </c>
      <c r="R212" s="77">
        <v>701</v>
      </c>
      <c r="S212" s="1451">
        <v>4785</v>
      </c>
      <c r="T212" s="1453">
        <v>11000</v>
      </c>
      <c r="W212" s="55"/>
      <c r="X212" s="55"/>
    </row>
    <row r="213" spans="2:24" hidden="1" outlineLevel="1" x14ac:dyDescent="0.2">
      <c r="B213" s="1390" t="s">
        <v>1304</v>
      </c>
      <c r="C213" s="1253">
        <v>643</v>
      </c>
      <c r="D213" s="77">
        <v>244</v>
      </c>
      <c r="E213" s="77">
        <v>422</v>
      </c>
      <c r="F213" s="77">
        <v>831</v>
      </c>
      <c r="G213" s="77">
        <v>360</v>
      </c>
      <c r="H213" s="77">
        <v>439</v>
      </c>
      <c r="I213" s="77">
        <v>541</v>
      </c>
      <c r="J213" s="1391"/>
      <c r="K213" s="77">
        <v>560</v>
      </c>
      <c r="L213" s="77">
        <v>582</v>
      </c>
      <c r="M213" s="77">
        <v>712</v>
      </c>
      <c r="N213" s="77">
        <v>183</v>
      </c>
      <c r="O213" s="77">
        <v>705</v>
      </c>
      <c r="P213" s="77">
        <v>623</v>
      </c>
      <c r="Q213" s="77">
        <v>368</v>
      </c>
      <c r="R213" s="77">
        <v>894</v>
      </c>
      <c r="S213" s="1451">
        <v>7582</v>
      </c>
      <c r="T213" s="1453">
        <v>20068</v>
      </c>
      <c r="W213" s="55"/>
      <c r="X213" s="55"/>
    </row>
    <row r="214" spans="2:24" hidden="1" outlineLevel="1" x14ac:dyDescent="0.2">
      <c r="B214" s="1390" t="s">
        <v>1305</v>
      </c>
      <c r="C214" s="1253">
        <v>698</v>
      </c>
      <c r="D214" s="77">
        <v>749</v>
      </c>
      <c r="E214" s="77">
        <v>538</v>
      </c>
      <c r="F214" s="77">
        <v>763</v>
      </c>
      <c r="G214" s="77">
        <v>738</v>
      </c>
      <c r="H214" s="77">
        <v>750</v>
      </c>
      <c r="I214" s="77">
        <v>664</v>
      </c>
      <c r="J214" s="77">
        <v>560</v>
      </c>
      <c r="K214" s="1391"/>
      <c r="L214" s="77">
        <v>605</v>
      </c>
      <c r="M214" s="77">
        <v>692</v>
      </c>
      <c r="N214" s="77">
        <v>474</v>
      </c>
      <c r="O214" s="77">
        <v>144</v>
      </c>
      <c r="P214" s="77">
        <v>431</v>
      </c>
      <c r="Q214" s="77">
        <v>231</v>
      </c>
      <c r="R214" s="77">
        <v>444</v>
      </c>
      <c r="S214" s="1451">
        <v>1736</v>
      </c>
      <c r="T214" s="1453">
        <v>3000</v>
      </c>
      <c r="W214" s="55"/>
      <c r="X214" s="55"/>
    </row>
    <row r="215" spans="2:24" hidden="1" outlineLevel="1" x14ac:dyDescent="0.2">
      <c r="B215" s="1390" t="s">
        <v>1306</v>
      </c>
      <c r="C215" s="1253">
        <v>86</v>
      </c>
      <c r="D215" s="77">
        <v>444</v>
      </c>
      <c r="E215" s="77">
        <v>189</v>
      </c>
      <c r="F215" s="77">
        <v>359</v>
      </c>
      <c r="G215" s="77">
        <v>232</v>
      </c>
      <c r="H215" s="77">
        <v>145</v>
      </c>
      <c r="I215" s="77">
        <v>59</v>
      </c>
      <c r="J215" s="77">
        <v>582</v>
      </c>
      <c r="K215" s="77">
        <v>605</v>
      </c>
      <c r="L215" s="1391"/>
      <c r="M215" s="77">
        <v>195</v>
      </c>
      <c r="N215" s="77">
        <v>605</v>
      </c>
      <c r="O215" s="77">
        <v>734</v>
      </c>
      <c r="P215" s="77">
        <v>327</v>
      </c>
      <c r="Q215" s="77">
        <v>479</v>
      </c>
      <c r="R215" s="77">
        <v>667</v>
      </c>
      <c r="S215" s="1451">
        <v>5010</v>
      </c>
      <c r="T215" s="1453">
        <v>11937</v>
      </c>
      <c r="W215" s="55"/>
      <c r="X215" s="55"/>
    </row>
    <row r="216" spans="2:24" hidden="1" outlineLevel="1" x14ac:dyDescent="0.2">
      <c r="B216" s="1390" t="s">
        <v>1307</v>
      </c>
      <c r="C216" s="1253">
        <v>120</v>
      </c>
      <c r="D216" s="77">
        <v>573</v>
      </c>
      <c r="E216" s="77">
        <v>384</v>
      </c>
      <c r="F216" s="77">
        <v>117</v>
      </c>
      <c r="G216" s="77">
        <v>363</v>
      </c>
      <c r="H216" s="77">
        <v>276</v>
      </c>
      <c r="I216" s="77">
        <v>173</v>
      </c>
      <c r="J216" s="77">
        <v>712</v>
      </c>
      <c r="K216" s="77">
        <v>692</v>
      </c>
      <c r="L216" s="77">
        <v>195</v>
      </c>
      <c r="M216" s="1391"/>
      <c r="N216" s="77">
        <v>779</v>
      </c>
      <c r="O216" s="77">
        <v>782</v>
      </c>
      <c r="P216" s="77">
        <v>246</v>
      </c>
      <c r="Q216" s="77">
        <v>653</v>
      </c>
      <c r="R216" s="77">
        <v>587</v>
      </c>
      <c r="S216" s="1451">
        <v>6159</v>
      </c>
      <c r="T216" s="1453">
        <v>9880</v>
      </c>
      <c r="W216" s="55"/>
      <c r="X216" s="55"/>
    </row>
    <row r="217" spans="2:24" hidden="1" outlineLevel="1" x14ac:dyDescent="0.2">
      <c r="B217" s="1390" t="s">
        <v>1308</v>
      </c>
      <c r="C217" s="1253">
        <v>690</v>
      </c>
      <c r="D217" s="77">
        <v>402</v>
      </c>
      <c r="E217" s="77">
        <v>415</v>
      </c>
      <c r="F217" s="77">
        <v>850</v>
      </c>
      <c r="G217" s="77">
        <v>462</v>
      </c>
      <c r="H217" s="77">
        <v>541</v>
      </c>
      <c r="I217" s="77">
        <v>643</v>
      </c>
      <c r="J217" s="77">
        <v>183</v>
      </c>
      <c r="K217" s="77">
        <v>474</v>
      </c>
      <c r="L217" s="77">
        <v>605</v>
      </c>
      <c r="M217" s="77">
        <v>779</v>
      </c>
      <c r="N217" s="1391"/>
      <c r="O217" s="77">
        <v>619</v>
      </c>
      <c r="P217" s="77">
        <v>552</v>
      </c>
      <c r="Q217" s="77">
        <v>289</v>
      </c>
      <c r="R217" s="77">
        <v>827</v>
      </c>
      <c r="S217" s="1451">
        <v>5168</v>
      </c>
      <c r="T217" s="1453">
        <v>11400</v>
      </c>
      <c r="W217" s="55"/>
      <c r="X217" s="55"/>
    </row>
    <row r="218" spans="2:24" hidden="1" outlineLevel="1" x14ac:dyDescent="0.2">
      <c r="B218" s="1390" t="s">
        <v>1309</v>
      </c>
      <c r="C218" s="1253">
        <v>788</v>
      </c>
      <c r="D218" s="77">
        <v>888</v>
      </c>
      <c r="E218" s="77">
        <v>666</v>
      </c>
      <c r="F218" s="77">
        <v>853</v>
      </c>
      <c r="G218" s="77">
        <v>866</v>
      </c>
      <c r="H218" s="77">
        <v>878</v>
      </c>
      <c r="I218" s="77">
        <v>792</v>
      </c>
      <c r="J218" s="77">
        <v>705</v>
      </c>
      <c r="K218" s="77">
        <v>144</v>
      </c>
      <c r="L218" s="77">
        <v>734</v>
      </c>
      <c r="M218" s="77">
        <v>782</v>
      </c>
      <c r="N218" s="77">
        <v>619</v>
      </c>
      <c r="O218" s="1391"/>
      <c r="P218" s="77">
        <v>520</v>
      </c>
      <c r="Q218" s="77">
        <v>376</v>
      </c>
      <c r="R218" s="77">
        <v>423</v>
      </c>
      <c r="S218" s="1451">
        <v>3620</v>
      </c>
      <c r="T218" s="1453">
        <v>8372</v>
      </c>
      <c r="W218" s="55"/>
      <c r="X218" s="55"/>
    </row>
    <row r="219" spans="2:24" hidden="1" outlineLevel="1" x14ac:dyDescent="0.2">
      <c r="B219" s="1390" t="s">
        <v>1310</v>
      </c>
      <c r="C219" s="1253">
        <v>252</v>
      </c>
      <c r="D219" s="77">
        <v>648</v>
      </c>
      <c r="E219" s="77">
        <v>273</v>
      </c>
      <c r="F219" s="77">
        <v>317</v>
      </c>
      <c r="G219" s="77">
        <v>540</v>
      </c>
      <c r="H219" s="77">
        <v>453</v>
      </c>
      <c r="I219" s="77">
        <v>361</v>
      </c>
      <c r="J219" s="77">
        <v>623</v>
      </c>
      <c r="K219" s="77">
        <v>431</v>
      </c>
      <c r="L219" s="77">
        <v>327</v>
      </c>
      <c r="M219" s="77">
        <v>246</v>
      </c>
      <c r="N219" s="77">
        <v>552</v>
      </c>
      <c r="O219" s="77">
        <v>520</v>
      </c>
      <c r="P219" s="1391"/>
      <c r="Q219" s="77">
        <v>350</v>
      </c>
      <c r="R219" s="77">
        <v>387</v>
      </c>
      <c r="S219" s="1451">
        <v>4013</v>
      </c>
      <c r="T219" s="1453">
        <v>7278</v>
      </c>
      <c r="W219" s="55"/>
      <c r="X219" s="55"/>
    </row>
    <row r="220" spans="2:24" hidden="1" outlineLevel="1" x14ac:dyDescent="0.2">
      <c r="B220" s="1390" t="s">
        <v>1311</v>
      </c>
      <c r="C220" s="1253">
        <v>564</v>
      </c>
      <c r="D220" s="77">
        <v>538</v>
      </c>
      <c r="E220" s="77">
        <v>329</v>
      </c>
      <c r="F220" s="77">
        <v>723</v>
      </c>
      <c r="G220" s="77">
        <v>515</v>
      </c>
      <c r="H220" s="77">
        <v>601</v>
      </c>
      <c r="I220" s="77">
        <v>536</v>
      </c>
      <c r="J220" s="77">
        <v>368</v>
      </c>
      <c r="K220" s="77">
        <v>231</v>
      </c>
      <c r="L220" s="77">
        <v>479</v>
      </c>
      <c r="M220" s="77">
        <v>653</v>
      </c>
      <c r="N220" s="77">
        <v>289</v>
      </c>
      <c r="O220" s="77">
        <v>376</v>
      </c>
      <c r="P220" s="77">
        <v>350</v>
      </c>
      <c r="Q220" s="1391"/>
      <c r="R220" s="77">
        <v>529</v>
      </c>
      <c r="S220" s="1451">
        <v>5879</v>
      </c>
      <c r="T220" s="1453">
        <v>7500</v>
      </c>
      <c r="W220" s="55"/>
      <c r="X220" s="55"/>
    </row>
    <row r="221" spans="2:24" hidden="1" outlineLevel="1" x14ac:dyDescent="0.2">
      <c r="B221" s="1390" t="s">
        <v>1312</v>
      </c>
      <c r="C221" s="1253">
        <v>592</v>
      </c>
      <c r="D221" s="77">
        <v>1072</v>
      </c>
      <c r="E221" s="77">
        <v>607</v>
      </c>
      <c r="F221" s="77">
        <v>657</v>
      </c>
      <c r="G221" s="77">
        <v>875</v>
      </c>
      <c r="H221" s="77">
        <v>787</v>
      </c>
      <c r="I221" s="77">
        <v>701</v>
      </c>
      <c r="J221" s="77">
        <v>894</v>
      </c>
      <c r="K221" s="77">
        <v>444</v>
      </c>
      <c r="L221" s="77">
        <v>667</v>
      </c>
      <c r="M221" s="77">
        <v>587</v>
      </c>
      <c r="N221" s="77">
        <v>827</v>
      </c>
      <c r="O221" s="77">
        <v>423</v>
      </c>
      <c r="P221" s="77">
        <v>387</v>
      </c>
      <c r="Q221" s="77">
        <v>529</v>
      </c>
      <c r="R221" s="1391"/>
      <c r="S221" s="1451">
        <v>8907</v>
      </c>
      <c r="T221" s="1453">
        <v>11415</v>
      </c>
      <c r="W221" s="55"/>
      <c r="X221" s="55"/>
    </row>
    <row r="222" spans="2:24" ht="17" hidden="1" outlineLevel="1" thickBot="1" x14ac:dyDescent="0.25">
      <c r="B222" s="1394"/>
      <c r="C222" s="322"/>
      <c r="D222" s="322"/>
      <c r="E222" s="322"/>
      <c r="F222" s="322"/>
      <c r="G222" s="322"/>
      <c r="H222" s="322"/>
      <c r="I222" s="322"/>
      <c r="J222" s="322"/>
      <c r="K222" s="322"/>
      <c r="L222" s="322"/>
      <c r="M222" s="322"/>
      <c r="N222" s="322"/>
      <c r="O222" s="322"/>
      <c r="P222" s="322"/>
      <c r="Q222" s="322"/>
      <c r="R222" s="322"/>
      <c r="S222" s="1439"/>
      <c r="T222" s="1454"/>
      <c r="W222" s="55"/>
      <c r="X222" s="55"/>
    </row>
    <row r="223" spans="2:24" s="328" customFormat="1" hidden="1" outlineLevel="1" x14ac:dyDescent="0.2">
      <c r="B223" s="1397" t="s">
        <v>1090</v>
      </c>
      <c r="C223" s="1398">
        <f>SUM(C206:C222)</f>
        <v>6063</v>
      </c>
      <c r="D223" s="1399">
        <f t="shared" ref="D223:R223" si="6">SUM(D206:D222)</f>
        <v>8081</v>
      </c>
      <c r="E223" s="1399">
        <f t="shared" si="6"/>
        <v>5827</v>
      </c>
      <c r="F223" s="1399">
        <f t="shared" si="6"/>
        <v>8078</v>
      </c>
      <c r="G223" s="1399">
        <f t="shared" si="6"/>
        <v>6488</v>
      </c>
      <c r="H223" s="1399">
        <f t="shared" si="6"/>
        <v>6293</v>
      </c>
      <c r="I223" s="1399">
        <f t="shared" si="6"/>
        <v>5851</v>
      </c>
      <c r="J223" s="1399">
        <f t="shared" si="6"/>
        <v>8107</v>
      </c>
      <c r="K223" s="1399">
        <f t="shared" si="6"/>
        <v>8481</v>
      </c>
      <c r="L223" s="1399">
        <f t="shared" si="6"/>
        <v>5708</v>
      </c>
      <c r="M223" s="1399">
        <f t="shared" si="6"/>
        <v>6652</v>
      </c>
      <c r="N223" s="1399">
        <f t="shared" si="6"/>
        <v>8331</v>
      </c>
      <c r="O223" s="1399">
        <f t="shared" si="6"/>
        <v>10034</v>
      </c>
      <c r="P223" s="1399">
        <f t="shared" si="6"/>
        <v>6280</v>
      </c>
      <c r="Q223" s="1399">
        <f t="shared" si="6"/>
        <v>7081</v>
      </c>
      <c r="R223" s="1399">
        <f t="shared" si="6"/>
        <v>10049</v>
      </c>
      <c r="S223" s="1448">
        <f>SUM(S206:S221)</f>
        <v>80720</v>
      </c>
      <c r="T223" s="1397"/>
    </row>
    <row r="224" spans="2:24" s="328" customFormat="1" ht="17" hidden="1" outlineLevel="1" thickBot="1" x14ac:dyDescent="0.25">
      <c r="B224" s="1402" t="s">
        <v>374</v>
      </c>
      <c r="C224" s="1403">
        <f>AVERAGE(C206:C221)</f>
        <v>404.2</v>
      </c>
      <c r="D224" s="1404">
        <f t="shared" ref="D224:R224" si="7">AVERAGE(D206:D221)</f>
        <v>538.73333333333335</v>
      </c>
      <c r="E224" s="1404">
        <f t="shared" si="7"/>
        <v>388.46666666666664</v>
      </c>
      <c r="F224" s="1404">
        <f t="shared" si="7"/>
        <v>538.5333333333333</v>
      </c>
      <c r="G224" s="1404">
        <f t="shared" si="7"/>
        <v>432.53333333333336</v>
      </c>
      <c r="H224" s="1404">
        <f t="shared" si="7"/>
        <v>419.53333333333336</v>
      </c>
      <c r="I224" s="1404">
        <f t="shared" si="7"/>
        <v>390.06666666666666</v>
      </c>
      <c r="J224" s="1404">
        <f t="shared" si="7"/>
        <v>540.4666666666667</v>
      </c>
      <c r="K224" s="1404">
        <f t="shared" si="7"/>
        <v>565.4</v>
      </c>
      <c r="L224" s="1404">
        <f t="shared" si="7"/>
        <v>380.53333333333336</v>
      </c>
      <c r="M224" s="1404">
        <f t="shared" si="7"/>
        <v>443.46666666666664</v>
      </c>
      <c r="N224" s="1404">
        <f t="shared" si="7"/>
        <v>555.4</v>
      </c>
      <c r="O224" s="1404">
        <f t="shared" si="7"/>
        <v>668.93333333333328</v>
      </c>
      <c r="P224" s="1404">
        <f t="shared" si="7"/>
        <v>418.66666666666669</v>
      </c>
      <c r="Q224" s="1404">
        <f t="shared" si="7"/>
        <v>472.06666666666666</v>
      </c>
      <c r="R224" s="1404">
        <f t="shared" si="7"/>
        <v>669.93333333333328</v>
      </c>
      <c r="S224" s="1449">
        <f>AVERAGE(S206:S221)</f>
        <v>5045</v>
      </c>
      <c r="T224" s="1405">
        <f>AVERAGE(T206:T221)</f>
        <v>10715.375</v>
      </c>
    </row>
    <row r="225" spans="2:22" ht="22" customHeight="1" collapsed="1" x14ac:dyDescent="0.2">
      <c r="V225" s="2"/>
    </row>
    <row r="226" spans="2:22" ht="22" customHeight="1" x14ac:dyDescent="0.2">
      <c r="V226" s="2"/>
    </row>
    <row r="227" spans="2:22" ht="25" x14ac:dyDescent="0.2">
      <c r="B227" s="1379" t="s">
        <v>1431</v>
      </c>
      <c r="V227" s="2"/>
    </row>
    <row r="228" spans="2:22" ht="25" x14ac:dyDescent="0.2">
      <c r="B228" s="1379"/>
      <c r="V228" s="2"/>
    </row>
    <row r="229" spans="2:22" ht="26" thickBot="1" x14ac:dyDescent="0.25">
      <c r="B229" s="1379"/>
      <c r="V229" s="2"/>
    </row>
    <row r="230" spans="2:22" ht="35" customHeight="1" x14ac:dyDescent="0.2">
      <c r="B230" s="1665" t="s">
        <v>1964</v>
      </c>
      <c r="C230" s="1668" t="s">
        <v>382</v>
      </c>
      <c r="D230" s="1668" t="s">
        <v>383</v>
      </c>
      <c r="E230" s="1668" t="s">
        <v>1380</v>
      </c>
      <c r="F230" s="1668" t="s">
        <v>1269</v>
      </c>
      <c r="G230" s="1668" t="s">
        <v>1270</v>
      </c>
      <c r="H230" s="1668" t="s">
        <v>1764</v>
      </c>
      <c r="I230" s="1668" t="s">
        <v>1765</v>
      </c>
      <c r="J230" s="1669" t="s">
        <v>198</v>
      </c>
      <c r="V230" s="2"/>
    </row>
    <row r="231" spans="2:22" ht="34" x14ac:dyDescent="0.2">
      <c r="B231" s="1666" t="s">
        <v>1965</v>
      </c>
      <c r="C231" s="91">
        <v>19</v>
      </c>
      <c r="D231" s="91">
        <f>C231</f>
        <v>19</v>
      </c>
      <c r="E231" s="91">
        <v>11</v>
      </c>
      <c r="F231" s="111">
        <v>13</v>
      </c>
      <c r="G231" s="91">
        <f>15</f>
        <v>15</v>
      </c>
      <c r="H231" s="91"/>
      <c r="I231" s="91"/>
      <c r="J231" s="1455"/>
      <c r="V231" s="2"/>
    </row>
    <row r="232" spans="2:22" ht="34" customHeight="1" thickBot="1" x14ac:dyDescent="0.25">
      <c r="B232" s="1667" t="s">
        <v>1766</v>
      </c>
      <c r="C232" s="627">
        <f>20*38/2</f>
        <v>380</v>
      </c>
      <c r="D232" s="627">
        <f>20*38/2</f>
        <v>380</v>
      </c>
      <c r="E232" s="627">
        <f>12*22/2</f>
        <v>132</v>
      </c>
      <c r="F232" s="627">
        <f>14*26/2+5</f>
        <v>187</v>
      </c>
      <c r="G232" s="627">
        <f>16*30/2+5</f>
        <v>245</v>
      </c>
      <c r="H232" s="627">
        <f>COUNTA($B$106:$B$135)</f>
        <v>30</v>
      </c>
      <c r="I232" s="627">
        <f>COUNTA($B$150:$B$164)</f>
        <v>15</v>
      </c>
      <c r="J232" s="1456">
        <f>SUM(C232:I232)</f>
        <v>1369</v>
      </c>
      <c r="V232" s="2"/>
    </row>
    <row r="233" spans="2:22" ht="25" x14ac:dyDescent="0.2">
      <c r="B233" s="1379"/>
      <c r="V233" s="2"/>
    </row>
    <row r="234" spans="2:22" ht="28" customHeight="1" thickBot="1" x14ac:dyDescent="0.25">
      <c r="V234" s="2"/>
    </row>
    <row r="235" spans="2:22" ht="42" customHeight="1" thickBot="1" x14ac:dyDescent="0.25">
      <c r="B235" s="3159" t="s">
        <v>1983</v>
      </c>
      <c r="C235" s="3160"/>
      <c r="D235" s="3160"/>
      <c r="E235" s="3160"/>
      <c r="F235" s="3160"/>
      <c r="G235" s="3161"/>
      <c r="V235" s="2"/>
    </row>
    <row r="236" spans="2:22" ht="39" customHeight="1" thickBot="1" x14ac:dyDescent="0.25">
      <c r="B236" s="1670" t="s">
        <v>124</v>
      </c>
      <c r="C236" s="1671" t="s">
        <v>36</v>
      </c>
      <c r="D236" s="1671" t="s">
        <v>59</v>
      </c>
      <c r="E236" s="3128" t="s">
        <v>37</v>
      </c>
      <c r="F236" s="3128"/>
      <c r="G236" s="3129"/>
      <c r="V236" s="2"/>
    </row>
    <row r="237" spans="2:22" ht="39" customHeight="1" x14ac:dyDescent="0.2">
      <c r="B237" s="1589" t="s">
        <v>1890</v>
      </c>
      <c r="C237" s="1590">
        <f>COUNTA($B$206:$B$221,$B$181:$B$194,$B$78:$B$89,$B$46:$B$65,$B$14:$B$33)</f>
        <v>82</v>
      </c>
      <c r="D237" s="853" t="s">
        <v>1874</v>
      </c>
      <c r="E237" s="3126"/>
      <c r="F237" s="3126"/>
      <c r="G237" s="3127"/>
      <c r="V237" s="2"/>
    </row>
    <row r="238" spans="2:22" ht="39" customHeight="1" x14ac:dyDescent="0.2">
      <c r="B238" s="515" t="s">
        <v>1892</v>
      </c>
      <c r="C238" s="502">
        <f>ROUND(C248/C237,0)</f>
        <v>18</v>
      </c>
      <c r="D238" s="76" t="s">
        <v>1893</v>
      </c>
      <c r="E238" s="3141"/>
      <c r="F238" s="3141"/>
      <c r="G238" s="3142"/>
      <c r="V238" s="2"/>
    </row>
    <row r="239" spans="2:22" ht="39" customHeight="1" x14ac:dyDescent="0.2">
      <c r="B239" s="1587" t="s">
        <v>1970</v>
      </c>
      <c r="C239" s="81">
        <f>ROUND(AVERAGE($C$14:$V$33,$C$46:$V$65,$C$181:$P$194,$C$206:$R$221),-1)*2</f>
        <v>1120</v>
      </c>
      <c r="D239" s="81" t="s">
        <v>685</v>
      </c>
      <c r="E239" s="3141"/>
      <c r="F239" s="3141"/>
      <c r="G239" s="3142"/>
      <c r="V239" s="2"/>
    </row>
    <row r="240" spans="2:22" ht="39" customHeight="1" x14ac:dyDescent="0.2">
      <c r="B240" s="1588" t="s">
        <v>1364</v>
      </c>
      <c r="C240" s="314">
        <f>ROUND(AVERAGE($X$14:$X$33,$X$46:$X$65,$R$181:$R$194,$T$206:$T$221,80000),-3)</f>
        <v>21000</v>
      </c>
      <c r="D240" s="81" t="s">
        <v>1345</v>
      </c>
      <c r="E240" s="3070" t="s">
        <v>1894</v>
      </c>
      <c r="F240" s="3070"/>
      <c r="G240" s="3140"/>
      <c r="I240" s="346"/>
      <c r="V240" s="2"/>
    </row>
    <row r="241" spans="1:9" ht="39" customHeight="1" thickBot="1" x14ac:dyDescent="0.25">
      <c r="B241" s="1672" t="s">
        <v>1363</v>
      </c>
      <c r="C241" s="1561">
        <f>SUM($T$206:$T$221,$R$181:$R$194,$X$46:$X$65,$X$14:$X$33,$D$78:$D$89)+80000</f>
        <v>1570865</v>
      </c>
      <c r="D241" s="487" t="s">
        <v>1345</v>
      </c>
      <c r="E241" s="3138" t="s">
        <v>1894</v>
      </c>
      <c r="F241" s="3138"/>
      <c r="G241" s="3139"/>
    </row>
    <row r="242" spans="1:9" customFormat="1" ht="39" customHeight="1" x14ac:dyDescent="0.2">
      <c r="B242" s="1673" t="s">
        <v>1969</v>
      </c>
      <c r="C242" s="1554">
        <f>ROUND(AVERAGE($W$14:$W$33,$Q$181:$Q$194,$W$46:$W$65,$S$206:$S$221),-3)</f>
        <v>13000</v>
      </c>
      <c r="D242" s="470" t="s">
        <v>1350</v>
      </c>
      <c r="E242" s="3135" t="s">
        <v>1967</v>
      </c>
      <c r="F242" s="3136"/>
      <c r="G242" s="3137"/>
    </row>
    <row r="243" spans="1:9" ht="39" customHeight="1" x14ac:dyDescent="0.2">
      <c r="B243" s="486" t="s">
        <v>1968</v>
      </c>
      <c r="C243" s="1561">
        <f>J232</f>
        <v>1369</v>
      </c>
      <c r="D243" s="487" t="s">
        <v>1366</v>
      </c>
      <c r="E243" s="3130"/>
      <c r="F243" s="2947"/>
      <c r="G243" s="3131"/>
    </row>
    <row r="244" spans="1:9" ht="39" customHeight="1" x14ac:dyDescent="0.2">
      <c r="B244" s="2318" t="s">
        <v>2403</v>
      </c>
      <c r="C244" s="2319">
        <f>C243/C248</f>
        <v>0.94024725274725274</v>
      </c>
      <c r="D244" s="9" t="s">
        <v>2404</v>
      </c>
      <c r="E244" s="3130"/>
      <c r="F244" s="2947"/>
      <c r="G244" s="3131"/>
    </row>
    <row r="245" spans="1:9" ht="39" customHeight="1" x14ac:dyDescent="0.2">
      <c r="B245" s="1589" t="s">
        <v>2591</v>
      </c>
      <c r="C245" s="1590">
        <f>W35*C231+D231*W67+E231*D165+F231*Q196+G231*S223+H232+I232</f>
        <v>16564010.279999999</v>
      </c>
      <c r="D245" s="853" t="s">
        <v>1350</v>
      </c>
      <c r="E245" s="3143"/>
      <c r="F245" s="3144"/>
      <c r="G245" s="3145"/>
    </row>
    <row r="246" spans="1:9" ht="39" customHeight="1" x14ac:dyDescent="0.2">
      <c r="B246" s="1589" t="s">
        <v>2592</v>
      </c>
      <c r="C246" s="857">
        <f>'16'!F190*'16'!F191+'16'!G190*'16'!G191+'16'!H190*'16'!H191+'16'!I190*'16'!I191</f>
        <v>2273762.1772400006</v>
      </c>
      <c r="D246" s="853" t="s">
        <v>1350</v>
      </c>
      <c r="E246" s="3146"/>
      <c r="F246" s="3147"/>
      <c r="G246" s="3148"/>
      <c r="I246" s="346"/>
    </row>
    <row r="247" spans="1:9" ht="39" customHeight="1" x14ac:dyDescent="0.2">
      <c r="B247" s="2442" t="s">
        <v>2643</v>
      </c>
      <c r="C247" s="2443">
        <f>C246+C245</f>
        <v>18837772.45724</v>
      </c>
      <c r="D247" s="2373" t="s">
        <v>1350</v>
      </c>
      <c r="E247" s="3130" t="s">
        <v>1966</v>
      </c>
      <c r="F247" s="2947"/>
      <c r="G247" s="3131"/>
    </row>
    <row r="248" spans="1:9" ht="34" customHeight="1" thickBot="1" x14ac:dyDescent="0.25">
      <c r="B248" s="834" t="s">
        <v>2662</v>
      </c>
      <c r="C248" s="121">
        <f>C243+COUNTA('13'!$D$97:$D$183)</f>
        <v>1456</v>
      </c>
      <c r="D248" s="2475" t="s">
        <v>1366</v>
      </c>
      <c r="E248" s="3132"/>
      <c r="F248" s="3133"/>
      <c r="G248" s="3134"/>
    </row>
    <row r="249" spans="1:9" ht="23" customHeight="1" x14ac:dyDescent="0.2"/>
    <row r="250" spans="1:9" ht="23" customHeight="1" thickBot="1" x14ac:dyDescent="0.25"/>
    <row r="251" spans="1:9" ht="31" customHeight="1" thickBot="1" x14ac:dyDescent="0.25">
      <c r="B251" s="3101" t="s">
        <v>1984</v>
      </c>
      <c r="C251" s="3102"/>
      <c r="D251" s="3102"/>
      <c r="E251" s="3102"/>
      <c r="F251" s="3102"/>
      <c r="G251" s="3103"/>
    </row>
    <row r="252" spans="1:9" ht="31" customHeight="1" thickBot="1" x14ac:dyDescent="0.25">
      <c r="B252" s="1690" t="s">
        <v>124</v>
      </c>
      <c r="C252" s="1691" t="s">
        <v>36</v>
      </c>
      <c r="D252" s="1691" t="s">
        <v>59</v>
      </c>
      <c r="E252" s="3104" t="s">
        <v>37</v>
      </c>
      <c r="F252" s="3104"/>
      <c r="G252" s="3105"/>
    </row>
    <row r="253" spans="1:9" ht="31" customHeight="1" x14ac:dyDescent="0.2">
      <c r="A253"/>
      <c r="B253" s="1673" t="s">
        <v>1890</v>
      </c>
      <c r="C253" s="470">
        <f>COUNTA($B$206:$B$221,$B$181:$B$194,$B$78:$B$89)</f>
        <v>42</v>
      </c>
      <c r="D253" s="470" t="s">
        <v>1874</v>
      </c>
      <c r="E253" s="2840"/>
      <c r="F253" s="2840"/>
      <c r="G253" s="3106"/>
    </row>
    <row r="254" spans="1:9" ht="31" customHeight="1" x14ac:dyDescent="0.2">
      <c r="A254"/>
      <c r="B254" s="515" t="s">
        <v>1968</v>
      </c>
      <c r="C254" s="314">
        <f>SUM(C232:E232,H232,I232)</f>
        <v>937</v>
      </c>
      <c r="D254" s="81" t="s">
        <v>1366</v>
      </c>
      <c r="E254" s="2650"/>
      <c r="F254" s="2674"/>
      <c r="G254" s="3122"/>
    </row>
    <row r="255" spans="1:9" ht="31" customHeight="1" x14ac:dyDescent="0.2">
      <c r="A255"/>
      <c r="B255" s="1588" t="s">
        <v>2591</v>
      </c>
      <c r="C255" s="314">
        <f>W36*C232+D232*W68+C91*E232+D136+D165</f>
        <v>13235951.940000001</v>
      </c>
      <c r="D255" s="81" t="s">
        <v>1350</v>
      </c>
      <c r="E255" s="2783" t="s">
        <v>2660</v>
      </c>
      <c r="F255" s="2578"/>
      <c r="G255" s="2579"/>
    </row>
    <row r="256" spans="1:9" ht="31" customHeight="1" x14ac:dyDescent="0.2">
      <c r="A256"/>
      <c r="B256" s="2418" t="s">
        <v>2594</v>
      </c>
      <c r="C256" s="416">
        <f>C255/(C255+C267)</f>
        <v>0.76751214558789593</v>
      </c>
      <c r="D256" s="81"/>
      <c r="E256" s="2650"/>
      <c r="F256" s="2674"/>
      <c r="G256" s="3122"/>
    </row>
    <row r="257" spans="1:7" ht="31" customHeight="1" x14ac:dyDescent="0.2">
      <c r="A257"/>
      <c r="B257" s="1587" t="s">
        <v>2592</v>
      </c>
      <c r="C257" s="314">
        <f>SUM('16'!D84:D89,'16'!D95:D124,'16'!D152:D154,'16'!D158:D162)</f>
        <v>1221545.9999999995</v>
      </c>
      <c r="D257" s="81" t="s">
        <v>1350</v>
      </c>
      <c r="E257" s="2783" t="s">
        <v>2661</v>
      </c>
      <c r="F257" s="2578"/>
      <c r="G257" s="2579"/>
    </row>
    <row r="258" spans="1:7" ht="31" customHeight="1" x14ac:dyDescent="0.2">
      <c r="A258"/>
      <c r="B258" s="2418" t="s">
        <v>434</v>
      </c>
      <c r="C258" s="504">
        <f>C257/(C257+C269)</f>
        <v>0.56026535809996691</v>
      </c>
      <c r="D258" s="487"/>
      <c r="E258" s="2650"/>
      <c r="F258" s="2674"/>
      <c r="G258" s="3122"/>
    </row>
    <row r="259" spans="1:7" ht="31" customHeight="1" x14ac:dyDescent="0.2">
      <c r="A259"/>
      <c r="B259" s="2442" t="s">
        <v>2643</v>
      </c>
      <c r="C259" s="2415">
        <f>C255+C257</f>
        <v>14457497.940000001</v>
      </c>
      <c r="D259" s="2416" t="s">
        <v>1350</v>
      </c>
      <c r="E259" s="3119"/>
      <c r="F259" s="3120"/>
      <c r="G259" s="3121"/>
    </row>
    <row r="260" spans="1:7" ht="31" customHeight="1" thickBot="1" x14ac:dyDescent="0.25">
      <c r="B260" s="2417" t="s">
        <v>2593</v>
      </c>
      <c r="C260" s="2411">
        <f>C259/(C259+C271)</f>
        <v>0.74425104927874353</v>
      </c>
      <c r="D260" s="2410"/>
      <c r="E260" s="3123"/>
      <c r="F260" s="3124"/>
      <c r="G260" s="3125"/>
    </row>
    <row r="261" spans="1:7" ht="35" customHeight="1" x14ac:dyDescent="0.2">
      <c r="A261"/>
    </row>
    <row r="262" spans="1:7" ht="35" customHeight="1" thickBot="1" x14ac:dyDescent="0.25">
      <c r="A262"/>
    </row>
    <row r="263" spans="1:7" ht="35" customHeight="1" thickBot="1" x14ac:dyDescent="0.25">
      <c r="A263"/>
      <c r="B263" s="3101" t="s">
        <v>1985</v>
      </c>
      <c r="C263" s="3102"/>
      <c r="D263" s="3102"/>
      <c r="E263" s="3102"/>
      <c r="F263" s="3102"/>
      <c r="G263" s="3103"/>
    </row>
    <row r="264" spans="1:7" ht="35" customHeight="1" thickBot="1" x14ac:dyDescent="0.25">
      <c r="A264"/>
      <c r="B264" s="1690" t="s">
        <v>124</v>
      </c>
      <c r="C264" s="1691" t="s">
        <v>36</v>
      </c>
      <c r="D264" s="1691" t="s">
        <v>59</v>
      </c>
      <c r="E264" s="3110" t="s">
        <v>37</v>
      </c>
      <c r="F264" s="3111"/>
      <c r="G264" s="3112"/>
    </row>
    <row r="265" spans="1:7" ht="35" customHeight="1" x14ac:dyDescent="0.2">
      <c r="A265"/>
      <c r="B265" s="1673" t="s">
        <v>1890</v>
      </c>
      <c r="C265" s="470">
        <f>14+16</f>
        <v>30</v>
      </c>
      <c r="D265" s="470" t="s">
        <v>1874</v>
      </c>
      <c r="E265" s="3113"/>
      <c r="F265" s="3114"/>
      <c r="G265" s="3115"/>
    </row>
    <row r="266" spans="1:7" ht="35" customHeight="1" x14ac:dyDescent="0.2">
      <c r="A266"/>
      <c r="B266" s="515" t="s">
        <v>1968</v>
      </c>
      <c r="C266" s="314">
        <f>SUM(F232:G232)</f>
        <v>432</v>
      </c>
      <c r="D266" s="81" t="s">
        <v>1366</v>
      </c>
      <c r="E266" s="3116"/>
      <c r="F266" s="3117"/>
      <c r="G266" s="3118"/>
    </row>
    <row r="267" spans="1:7" ht="35" customHeight="1" x14ac:dyDescent="0.2">
      <c r="A267"/>
      <c r="B267" s="1588" t="s">
        <v>2591</v>
      </c>
      <c r="C267" s="314">
        <f>F232*Q197+S224*G232</f>
        <v>4009315.1428571427</v>
      </c>
      <c r="D267" s="81" t="s">
        <v>1350</v>
      </c>
      <c r="E267" s="2783"/>
      <c r="F267" s="2578"/>
      <c r="G267" s="2579"/>
    </row>
    <row r="268" spans="1:7" ht="35" customHeight="1" x14ac:dyDescent="0.2">
      <c r="A268"/>
      <c r="B268" s="2418" t="s">
        <v>2594</v>
      </c>
      <c r="C268" s="416">
        <f>1-C256</f>
        <v>0.23248785441210407</v>
      </c>
      <c r="D268" s="81"/>
      <c r="E268" s="2650"/>
      <c r="F268" s="2674"/>
      <c r="G268" s="3122"/>
    </row>
    <row r="269" spans="1:7" ht="35" customHeight="1" x14ac:dyDescent="0.2">
      <c r="A269"/>
      <c r="B269" s="1587" t="s">
        <v>2592</v>
      </c>
      <c r="C269" s="314">
        <f>SUM('16'!D90:D94,'16'!D125:D151,'16'!D155:D157,'16'!D163:D170)</f>
        <v>958753</v>
      </c>
      <c r="D269" s="81" t="s">
        <v>1350</v>
      </c>
      <c r="E269" s="2783" t="s">
        <v>2661</v>
      </c>
      <c r="F269" s="2578"/>
      <c r="G269" s="2579"/>
    </row>
    <row r="270" spans="1:7" ht="35" customHeight="1" x14ac:dyDescent="0.2">
      <c r="A270"/>
      <c r="B270" s="2418" t="s">
        <v>434</v>
      </c>
      <c r="C270" s="504">
        <f>1-C258</f>
        <v>0.43973464190003309</v>
      </c>
      <c r="D270" s="81"/>
      <c r="E270" s="2650"/>
      <c r="F270" s="2674"/>
      <c r="G270" s="3122"/>
    </row>
    <row r="271" spans="1:7" ht="35" customHeight="1" x14ac:dyDescent="0.2">
      <c r="A271"/>
      <c r="B271" s="2442" t="s">
        <v>2643</v>
      </c>
      <c r="C271" s="352">
        <f>C267+C269</f>
        <v>4968068.1428571427</v>
      </c>
      <c r="D271" s="7" t="s">
        <v>1350</v>
      </c>
      <c r="E271" s="3107"/>
      <c r="F271" s="3108"/>
      <c r="G271" s="3109"/>
    </row>
    <row r="272" spans="1:7" ht="36" customHeight="1" thickBot="1" x14ac:dyDescent="0.25">
      <c r="B272" s="2412" t="s">
        <v>2593</v>
      </c>
      <c r="C272" s="2413">
        <f>1-C260</f>
        <v>0.25574895072125647</v>
      </c>
      <c r="D272" s="2414"/>
      <c r="E272" s="3123"/>
      <c r="F272" s="3124"/>
      <c r="G272" s="3125"/>
    </row>
    <row r="273" ht="24" customHeight="1" x14ac:dyDescent="0.2"/>
    <row r="274" ht="24" customHeight="1" x14ac:dyDescent="0.2"/>
  </sheetData>
  <mergeCells count="59">
    <mergeCell ref="E272:G272"/>
    <mergeCell ref="E256:G256"/>
    <mergeCell ref="E258:G258"/>
    <mergeCell ref="E268:G268"/>
    <mergeCell ref="E270:G270"/>
    <mergeCell ref="C72:Q72"/>
    <mergeCell ref="C73:Q73"/>
    <mergeCell ref="B76:D76"/>
    <mergeCell ref="B148:E148"/>
    <mergeCell ref="B136:C136"/>
    <mergeCell ref="C99:Q99"/>
    <mergeCell ref="C100:Q100"/>
    <mergeCell ref="C101:Q101"/>
    <mergeCell ref="B165:C165"/>
    <mergeCell ref="B168:D168"/>
    <mergeCell ref="C176:Q176"/>
    <mergeCell ref="C177:Q177"/>
    <mergeCell ref="C8:Q8"/>
    <mergeCell ref="C9:Q9"/>
    <mergeCell ref="B12:X12"/>
    <mergeCell ref="B44:X44"/>
    <mergeCell ref="C40:Q40"/>
    <mergeCell ref="C41:Q41"/>
    <mergeCell ref="B94:D94"/>
    <mergeCell ref="B139:D139"/>
    <mergeCell ref="B104:E104"/>
    <mergeCell ref="C144:Q144"/>
    <mergeCell ref="C145:Q145"/>
    <mergeCell ref="C146:Q146"/>
    <mergeCell ref="B179:R179"/>
    <mergeCell ref="B204:T204"/>
    <mergeCell ref="C201:Q201"/>
    <mergeCell ref="C202:Q202"/>
    <mergeCell ref="B235:G235"/>
    <mergeCell ref="E237:G237"/>
    <mergeCell ref="E236:G236"/>
    <mergeCell ref="E247:G248"/>
    <mergeCell ref="E242:G244"/>
    <mergeCell ref="E241:G241"/>
    <mergeCell ref="E240:G240"/>
    <mergeCell ref="E239:G239"/>
    <mergeCell ref="E238:G238"/>
    <mergeCell ref="E245:G245"/>
    <mergeCell ref="E246:G246"/>
    <mergeCell ref="B251:G251"/>
    <mergeCell ref="E252:G252"/>
    <mergeCell ref="E253:G253"/>
    <mergeCell ref="E269:G269"/>
    <mergeCell ref="E271:G271"/>
    <mergeCell ref="B263:G263"/>
    <mergeCell ref="E264:G264"/>
    <mergeCell ref="E265:G265"/>
    <mergeCell ref="E266:G266"/>
    <mergeCell ref="E267:G267"/>
    <mergeCell ref="E259:G259"/>
    <mergeCell ref="E257:G257"/>
    <mergeCell ref="E255:G255"/>
    <mergeCell ref="E254:G254"/>
    <mergeCell ref="E260:G260"/>
  </mergeCells>
  <pageMargins left="0.7" right="0.7" top="0.75" bottom="0.75" header="0.3" footer="0.3"/>
  <pageSetup paperSize="9" orientation="portrait"/>
  <ignoredErrors>
    <ignoredError sqref="C259 C257 C269 C27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8343-5FC6-CD4E-B486-317ADD4AF317}">
  <dimension ref="A1:V117"/>
  <sheetViews>
    <sheetView zoomScale="56" zoomScaleNormal="100" workbookViewId="0">
      <selection activeCell="B3" sqref="B3"/>
    </sheetView>
  </sheetViews>
  <sheetFormatPr baseColWidth="10" defaultRowHeight="16" x14ac:dyDescent="0.2"/>
  <cols>
    <col min="1" max="1" width="10.7109375" style="55"/>
    <col min="2" max="2" width="30.42578125" style="55" customWidth="1"/>
    <col min="3" max="3" width="19.85546875" style="55" customWidth="1"/>
    <col min="4" max="6" width="16" style="55" customWidth="1"/>
    <col min="7" max="10" width="24.5703125" style="55" customWidth="1"/>
    <col min="11" max="12" width="15.42578125" style="55" customWidth="1"/>
    <col min="13" max="13" width="21" style="55" customWidth="1"/>
    <col min="14" max="14" width="23.5703125" style="55" customWidth="1"/>
    <col min="15" max="15" width="15.42578125" style="55" customWidth="1"/>
    <col min="16" max="16" width="13.28515625" style="55" customWidth="1"/>
    <col min="17" max="17" width="17.7109375" style="55" customWidth="1"/>
    <col min="18" max="21" width="19.85546875" style="55" customWidth="1"/>
    <col min="22" max="16384" width="10.7109375" style="55"/>
  </cols>
  <sheetData>
    <row r="1" spans="1:22" s="2012" customFormat="1" ht="32" customHeight="1" x14ac:dyDescent="0.2">
      <c r="A1" s="2011" t="s">
        <v>2360</v>
      </c>
      <c r="C1" s="2011"/>
      <c r="D1" s="2011"/>
      <c r="E1" s="2011"/>
      <c r="F1" s="2011"/>
    </row>
    <row r="2" spans="1:22" ht="20" customHeight="1" x14ac:dyDescent="0.2">
      <c r="B2" s="1800"/>
    </row>
    <row r="3" spans="1:22" ht="47" customHeight="1" x14ac:dyDescent="0.2">
      <c r="B3" s="4" t="s">
        <v>2009</v>
      </c>
    </row>
    <row r="4" spans="1:22" ht="22" customHeight="1" x14ac:dyDescent="0.2">
      <c r="I4" s="346"/>
    </row>
    <row r="5" spans="1:22" ht="22" customHeight="1" x14ac:dyDescent="0.2">
      <c r="B5" s="328" t="s">
        <v>1741</v>
      </c>
      <c r="G5" s="328" t="s">
        <v>1999</v>
      </c>
      <c r="N5" s="102" t="s">
        <v>2016</v>
      </c>
    </row>
    <row r="6" spans="1:22" ht="22" customHeight="1" thickBot="1" x14ac:dyDescent="0.25"/>
    <row r="7" spans="1:22" ht="35" customHeight="1" thickBot="1" x14ac:dyDescent="0.25">
      <c r="B7" s="3178" t="s">
        <v>1742</v>
      </c>
      <c r="C7" s="3179"/>
      <c r="G7" s="1801"/>
      <c r="H7" s="1383" t="s">
        <v>1758</v>
      </c>
      <c r="I7" s="1384" t="s">
        <v>1743</v>
      </c>
      <c r="J7" s="1802" t="s">
        <v>2015</v>
      </c>
      <c r="K7" s="2"/>
      <c r="L7" s="2"/>
      <c r="N7" s="1803"/>
      <c r="O7" s="1383" t="str">
        <f>H7</f>
        <v>PRO 2022</v>
      </c>
      <c r="P7" s="1384" t="str">
        <f>I7</f>
        <v>Réduc 2050</v>
      </c>
      <c r="Q7" s="1802" t="str">
        <f>J7</f>
        <v>Par rapport à 2022</v>
      </c>
      <c r="V7" s="112"/>
    </row>
    <row r="8" spans="1:22" ht="21" customHeight="1" thickBot="1" x14ac:dyDescent="0.25">
      <c r="B8" s="1834" t="s">
        <v>1744</v>
      </c>
      <c r="C8" s="1373" t="s">
        <v>1745</v>
      </c>
      <c r="G8" s="1804" t="s">
        <v>1746</v>
      </c>
      <c r="H8" s="1805">
        <f>Récapitulatif!$C$118+Récapitulatif!$C$120+Récapitulatif!$C$123</f>
        <v>354494.03888310294</v>
      </c>
      <c r="I8" s="1806" t="e">
        <f>H8*Q16</f>
        <v>#REF!</v>
      </c>
      <c r="J8" s="1807" t="e">
        <f>(I8-H8)/H8+1</f>
        <v>#REF!</v>
      </c>
      <c r="K8" s="2"/>
      <c r="L8" s="2"/>
      <c r="N8" s="1808" t="str">
        <f>G8</f>
        <v>Transports</v>
      </c>
      <c r="O8" s="1015">
        <f>H8</f>
        <v>354494.03888310294</v>
      </c>
      <c r="P8" s="857" t="e">
        <f>O8*(1+Q8)</f>
        <v>#REF!</v>
      </c>
      <c r="Q8" s="1807" t="e">
        <f>J8</f>
        <v>#REF!</v>
      </c>
    </row>
    <row r="9" spans="1:22" ht="17" x14ac:dyDescent="0.2">
      <c r="B9" s="1809" t="s">
        <v>1746</v>
      </c>
      <c r="C9" s="1810">
        <v>-0.97</v>
      </c>
      <c r="G9" s="1811" t="s">
        <v>1747</v>
      </c>
      <c r="H9" s="1812">
        <f>Récapitulatif!$C$119+Récapitulatif!$C$124</f>
        <v>45954.362064717621</v>
      </c>
      <c r="I9" s="78">
        <f>H9*C10</f>
        <v>-43656.643961481735</v>
      </c>
      <c r="J9" s="1807">
        <f>(I9-H9)/H9+1</f>
        <v>-0.94999999999999973</v>
      </c>
      <c r="K9" s="2"/>
      <c r="L9" s="2"/>
      <c r="N9" s="1813">
        <f t="shared" ref="N9:N15" si="0">G56</f>
        <v>0</v>
      </c>
      <c r="O9" s="1814" t="e">
        <f>'16'!$C$328+'13'!#REF!+'22'!$C$268</f>
        <v>#REF!</v>
      </c>
      <c r="P9" s="91" t="e">
        <f>O9*(1+Q9)</f>
        <v>#REF!</v>
      </c>
      <c r="Q9" s="683">
        <f>P56</f>
        <v>0</v>
      </c>
    </row>
    <row r="10" spans="1:22" ht="34" x14ac:dyDescent="0.2">
      <c r="B10" s="1103" t="s">
        <v>1747</v>
      </c>
      <c r="C10" s="1815">
        <v>-0.95</v>
      </c>
      <c r="G10" s="1811" t="s">
        <v>1748</v>
      </c>
      <c r="H10" s="1812">
        <f>Récapitulatif!$C$122</f>
        <v>25831.762471604598</v>
      </c>
      <c r="I10" s="78">
        <f>H10*C11</f>
        <v>-11882.610736938115</v>
      </c>
      <c r="J10" s="1807">
        <f t="shared" ref="J10:J13" si="1">(I10-H10)/H10+1</f>
        <v>-0.45999999999999996</v>
      </c>
      <c r="K10" s="2"/>
      <c r="L10" s="2"/>
      <c r="N10" s="1813">
        <f t="shared" si="0"/>
        <v>0</v>
      </c>
      <c r="O10" s="1814" t="e">
        <f>SUM(O11:O13)</f>
        <v>#REF!</v>
      </c>
      <c r="P10" s="91" t="e">
        <f>O10*(1+Q10)</f>
        <v>#REF!</v>
      </c>
      <c r="Q10" s="683">
        <f>J57</f>
        <v>0</v>
      </c>
    </row>
    <row r="11" spans="1:22" ht="17" x14ac:dyDescent="0.2">
      <c r="B11" s="1103" t="s">
        <v>1748</v>
      </c>
      <c r="C11" s="1815">
        <v>-0.46</v>
      </c>
      <c r="G11" s="1811" t="s">
        <v>1749</v>
      </c>
      <c r="H11" s="1812">
        <f>Récapitulatif!$C$125+Récapitulatif!$C$121</f>
        <v>13811.82241761309</v>
      </c>
      <c r="I11" s="78">
        <f>H11*C12</f>
        <v>-11187.576158266604</v>
      </c>
      <c r="J11" s="1807">
        <f t="shared" si="1"/>
        <v>-0.80999999999999983</v>
      </c>
      <c r="K11" s="2"/>
      <c r="L11" s="2"/>
      <c r="N11" s="1816">
        <f t="shared" si="0"/>
        <v>0</v>
      </c>
      <c r="O11" s="1817" t="e">
        <f>'16'!$C$329+'13'!#REF!+'22'!$C$269</f>
        <v>#REF!</v>
      </c>
      <c r="P11" s="91" t="e">
        <f>O11*(1+Q11)</f>
        <v>#REF!</v>
      </c>
      <c r="Q11" s="683">
        <f>J58</f>
        <v>0</v>
      </c>
      <c r="S11" s="86"/>
    </row>
    <row r="12" spans="1:22" ht="17" x14ac:dyDescent="0.2">
      <c r="B12" s="1103" t="s">
        <v>1749</v>
      </c>
      <c r="C12" s="1815">
        <v>-0.81</v>
      </c>
      <c r="G12" s="1811" t="s">
        <v>1750</v>
      </c>
      <c r="H12" s="1812">
        <v>0</v>
      </c>
      <c r="I12" s="78">
        <f t="shared" ref="I12:I13" si="2">H12*C13</f>
        <v>0</v>
      </c>
      <c r="J12" s="1807">
        <v>0</v>
      </c>
      <c r="K12" s="2"/>
      <c r="L12" s="2"/>
      <c r="N12" s="1816">
        <f t="shared" si="0"/>
        <v>0</v>
      </c>
      <c r="O12" s="1817" t="e">
        <f>'16'!$C$331+'13'!#REF!+'22'!$C$271</f>
        <v>#REF!</v>
      </c>
      <c r="P12" s="91" t="e">
        <f t="shared" ref="P12:P15" si="3">O12*(1+Q12)</f>
        <v>#REF!</v>
      </c>
      <c r="Q12" s="683">
        <f>J59</f>
        <v>0</v>
      </c>
    </row>
    <row r="13" spans="1:22" ht="18" thickBot="1" x14ac:dyDescent="0.25">
      <c r="B13" s="1103" t="s">
        <v>1750</v>
      </c>
      <c r="C13" s="1815">
        <v>-0.95</v>
      </c>
      <c r="G13" s="1818" t="s">
        <v>12</v>
      </c>
      <c r="H13" s="1819">
        <f>Récapitulatif!$C$126</f>
        <v>2776.5596334039947</v>
      </c>
      <c r="I13" s="1820">
        <f t="shared" si="2"/>
        <v>-1832.5293580466366</v>
      </c>
      <c r="J13" s="1807">
        <f t="shared" si="1"/>
        <v>-0.66000000000000014</v>
      </c>
      <c r="K13" s="2"/>
      <c r="L13" s="2"/>
      <c r="N13" s="1816">
        <f t="shared" si="0"/>
        <v>0</v>
      </c>
      <c r="O13" s="1817">
        <v>0</v>
      </c>
      <c r="P13" s="91">
        <f t="shared" si="3"/>
        <v>0</v>
      </c>
      <c r="Q13" s="683"/>
    </row>
    <row r="14" spans="1:22" ht="17" thickBot="1" x14ac:dyDescent="0.25">
      <c r="B14" s="1835" t="s">
        <v>12</v>
      </c>
      <c r="C14" s="1836">
        <v>-0.66</v>
      </c>
      <c r="G14" s="1821" t="s">
        <v>13</v>
      </c>
      <c r="H14" s="1838">
        <f>SUM(H8:H13)</f>
        <v>442868.54547044227</v>
      </c>
      <c r="I14" s="1839" t="e">
        <f>SUM(I8:I13)</f>
        <v>#REF!</v>
      </c>
      <c r="J14" s="1822" t="e">
        <f>I14/H14</f>
        <v>#REF!</v>
      </c>
      <c r="K14" s="2"/>
      <c r="L14" s="2"/>
      <c r="N14" s="1813">
        <f t="shared" si="0"/>
        <v>0</v>
      </c>
      <c r="O14" s="1814" t="e">
        <f>'16'!$C$330+'13'!#REF!+'22'!$C$270</f>
        <v>#REF!</v>
      </c>
      <c r="P14" s="91" t="e">
        <f t="shared" si="3"/>
        <v>#REF!</v>
      </c>
      <c r="Q14" s="683">
        <f>J61</f>
        <v>0</v>
      </c>
    </row>
    <row r="15" spans="1:22" ht="18" thickBot="1" x14ac:dyDescent="0.25">
      <c r="B15" s="1834" t="s">
        <v>1751</v>
      </c>
      <c r="C15" s="1837">
        <v>-0.83</v>
      </c>
      <c r="G15" s="1823" t="s">
        <v>1752</v>
      </c>
      <c r="H15" s="1840"/>
      <c r="I15" s="1841" t="e">
        <f>H14+I14</f>
        <v>#REF!</v>
      </c>
      <c r="J15" s="1842"/>
      <c r="K15" s="2"/>
      <c r="L15" s="2"/>
      <c r="N15" s="1824">
        <f t="shared" si="0"/>
        <v>0</v>
      </c>
      <c r="O15" s="1825" t="e">
        <f>'16'!#REF!+'22'!$C$272</f>
        <v>#REF!</v>
      </c>
      <c r="P15" s="1346" t="e">
        <f t="shared" si="3"/>
        <v>#REF!</v>
      </c>
      <c r="Q15" s="687">
        <f>J62</f>
        <v>0</v>
      </c>
    </row>
    <row r="16" spans="1:22" ht="17" thickBot="1" x14ac:dyDescent="0.25">
      <c r="C16" s="478"/>
      <c r="G16" s="1826"/>
      <c r="H16" s="1826"/>
      <c r="I16" s="1827"/>
      <c r="J16" s="1826"/>
      <c r="K16" s="1826"/>
      <c r="L16" s="1827"/>
      <c r="N16" s="1821" t="s">
        <v>13</v>
      </c>
      <c r="O16" s="1828" t="e">
        <f>SUM(O14:O15,O9:O10)</f>
        <v>#REF!</v>
      </c>
      <c r="P16" s="1564" t="e">
        <f>SUM(P14:P15,P9:P10)</f>
        <v>#REF!</v>
      </c>
      <c r="Q16" s="1822" t="e">
        <f>(P16-O16)/O16</f>
        <v>#REF!</v>
      </c>
    </row>
    <row r="17" spans="2:17" ht="23" customHeight="1" thickBot="1" x14ac:dyDescent="0.25">
      <c r="B17" s="85" t="s">
        <v>2010</v>
      </c>
      <c r="C17" s="478"/>
      <c r="G17" s="3174" t="s">
        <v>2014</v>
      </c>
      <c r="H17" s="3174"/>
      <c r="I17" s="3174"/>
      <c r="J17" s="3174"/>
      <c r="K17" s="1826"/>
      <c r="L17" s="1827"/>
      <c r="N17" s="1829" t="s">
        <v>1752</v>
      </c>
      <c r="O17" s="1830"/>
      <c r="P17" s="1831" t="e">
        <f>P16</f>
        <v>#REF!</v>
      </c>
      <c r="Q17" s="1832"/>
    </row>
    <row r="18" spans="2:17" ht="20" customHeight="1" x14ac:dyDescent="0.2">
      <c r="C18" s="478"/>
      <c r="G18" s="3174"/>
      <c r="H18" s="3174"/>
      <c r="I18" s="3174"/>
      <c r="J18" s="3174"/>
      <c r="K18" s="1833"/>
      <c r="L18" s="1833"/>
      <c r="M18" s="1833"/>
      <c r="N18" s="1833"/>
      <c r="O18" s="1833"/>
      <c r="P18" s="1833"/>
    </row>
    <row r="19" spans="2:17" ht="20" customHeight="1" x14ac:dyDescent="0.2">
      <c r="C19" s="478"/>
      <c r="G19" s="3174"/>
      <c r="H19" s="3174"/>
      <c r="I19" s="3174"/>
      <c r="J19" s="3174"/>
      <c r="K19" s="1833"/>
      <c r="L19" s="1833"/>
      <c r="M19" s="1833"/>
      <c r="N19" s="1833"/>
      <c r="O19" s="1833"/>
      <c r="P19" s="1833"/>
    </row>
    <row r="20" spans="2:17" ht="20" customHeight="1" x14ac:dyDescent="0.2">
      <c r="C20" s="478"/>
      <c r="G20" s="3174"/>
      <c r="H20" s="3174"/>
      <c r="I20" s="3174"/>
      <c r="J20" s="3174"/>
      <c r="K20" s="1833"/>
      <c r="L20" s="1833"/>
      <c r="M20" s="1833"/>
      <c r="N20" s="1833"/>
      <c r="O20" s="1833"/>
      <c r="P20" s="1833"/>
    </row>
    <row r="21" spans="2:17" ht="20" customHeight="1" x14ac:dyDescent="0.2">
      <c r="C21" s="478"/>
      <c r="G21" s="3174"/>
      <c r="H21" s="3174"/>
      <c r="I21" s="3174"/>
      <c r="J21" s="3174"/>
      <c r="K21" s="1833"/>
      <c r="L21" s="1833"/>
      <c r="M21" s="1833"/>
      <c r="N21" s="1833"/>
      <c r="O21" s="1833"/>
      <c r="P21" s="1833"/>
    </row>
    <row r="22" spans="2:17" ht="20" customHeight="1" x14ac:dyDescent="0.2">
      <c r="C22" s="478"/>
      <c r="G22" s="3174"/>
      <c r="H22" s="3174"/>
      <c r="I22" s="3174"/>
      <c r="J22" s="3174"/>
      <c r="K22" s="1833"/>
      <c r="L22" s="1833"/>
      <c r="M22" s="1833"/>
      <c r="N22" s="1833"/>
      <c r="O22" s="1833"/>
      <c r="P22" s="1833"/>
    </row>
    <row r="23" spans="2:17" ht="20" customHeight="1" x14ac:dyDescent="0.2">
      <c r="C23" s="478"/>
      <c r="G23" s="3174"/>
      <c r="H23" s="3174"/>
      <c r="I23" s="3174"/>
      <c r="J23" s="3174"/>
      <c r="K23" s="1833"/>
      <c r="L23" s="1833"/>
      <c r="M23" s="1833"/>
      <c r="N23" s="1833"/>
      <c r="O23" s="1833"/>
      <c r="P23" s="1833"/>
    </row>
    <row r="24" spans="2:17" x14ac:dyDescent="0.2">
      <c r="C24" s="478"/>
      <c r="G24" s="1826"/>
      <c r="H24" s="1826"/>
      <c r="I24" s="1827"/>
      <c r="J24" s="1826"/>
      <c r="K24" s="1826"/>
      <c r="L24" s="1827"/>
      <c r="N24" s="1826"/>
      <c r="O24" s="1827"/>
    </row>
    <row r="25" spans="2:17" x14ac:dyDescent="0.2">
      <c r="B25" s="1375" t="s">
        <v>1753</v>
      </c>
      <c r="G25" s="328"/>
    </row>
    <row r="26" spans="2:17" x14ac:dyDescent="0.2">
      <c r="C26" s="478"/>
      <c r="G26" s="1826"/>
      <c r="H26" s="1826"/>
      <c r="I26" s="1827"/>
      <c r="J26" s="1826"/>
      <c r="K26" s="1826"/>
      <c r="L26" s="1827"/>
      <c r="N26" s="1826"/>
      <c r="O26" s="1827"/>
    </row>
    <row r="27" spans="2:17" x14ac:dyDescent="0.2">
      <c r="C27" s="478"/>
      <c r="G27" s="1826"/>
      <c r="H27" s="1826"/>
      <c r="I27" s="1827"/>
      <c r="J27" s="1826"/>
      <c r="K27" s="1826"/>
      <c r="L27" s="1827"/>
      <c r="N27" s="1826"/>
      <c r="O27" s="1827"/>
    </row>
    <row r="28" spans="2:17" x14ac:dyDescent="0.2">
      <c r="C28" s="478"/>
      <c r="G28" s="1826"/>
      <c r="H28" s="1826"/>
      <c r="I28" s="1827"/>
      <c r="J28" s="1826"/>
      <c r="K28" s="1826"/>
      <c r="L28" s="1827"/>
      <c r="N28" s="1826"/>
      <c r="O28" s="1827"/>
    </row>
    <row r="29" spans="2:17" x14ac:dyDescent="0.2">
      <c r="C29" s="478"/>
      <c r="G29" s="1826"/>
      <c r="H29" s="1826"/>
      <c r="I29" s="1827"/>
      <c r="J29" s="1826"/>
      <c r="K29" s="1826"/>
      <c r="L29" s="1827"/>
      <c r="N29" s="1826"/>
      <c r="O29" s="1827"/>
    </row>
    <row r="30" spans="2:17" x14ac:dyDescent="0.2">
      <c r="C30" s="478"/>
      <c r="G30" s="1826"/>
      <c r="H30" s="1826"/>
      <c r="I30" s="1827"/>
      <c r="J30" s="1826"/>
      <c r="K30" s="1826"/>
      <c r="L30" s="1827"/>
      <c r="N30" s="1826"/>
      <c r="O30" s="1827"/>
    </row>
    <row r="31" spans="2:17" x14ac:dyDescent="0.2">
      <c r="C31" s="478"/>
      <c r="G31" s="1826"/>
      <c r="H31" s="1826"/>
      <c r="I31" s="1827"/>
      <c r="J31" s="1826"/>
      <c r="K31" s="1826"/>
      <c r="L31" s="1827"/>
      <c r="N31" s="1826"/>
      <c r="O31" s="1827"/>
    </row>
    <row r="32" spans="2:17" x14ac:dyDescent="0.2">
      <c r="C32" s="478"/>
      <c r="G32" s="1826"/>
      <c r="H32" s="1826"/>
      <c r="I32" s="1827"/>
      <c r="J32" s="1826"/>
      <c r="K32" s="1826"/>
      <c r="L32" s="1827"/>
      <c r="N32" s="1826"/>
      <c r="O32" s="1827"/>
    </row>
    <row r="33" spans="2:15" x14ac:dyDescent="0.2">
      <c r="C33" s="478"/>
      <c r="G33" s="1826"/>
      <c r="H33" s="1826"/>
      <c r="I33" s="1827"/>
      <c r="J33" s="1826"/>
      <c r="K33" s="1826"/>
      <c r="L33" s="1827"/>
      <c r="N33" s="1826"/>
      <c r="O33" s="1827"/>
    </row>
    <row r="34" spans="2:15" x14ac:dyDescent="0.2">
      <c r="C34" s="478"/>
      <c r="G34" s="1826"/>
      <c r="H34" s="1826"/>
      <c r="I34" s="1827"/>
      <c r="J34" s="1826"/>
      <c r="K34" s="1826"/>
      <c r="L34" s="1827"/>
      <c r="N34" s="1826"/>
      <c r="O34" s="1827"/>
    </row>
    <row r="35" spans="2:15" x14ac:dyDescent="0.2">
      <c r="C35" s="478"/>
      <c r="G35" s="1826"/>
      <c r="H35" s="1826"/>
      <c r="I35" s="1827"/>
      <c r="J35" s="1826"/>
      <c r="K35" s="1826"/>
      <c r="L35" s="1827"/>
      <c r="N35" s="1826"/>
      <c r="O35" s="1827"/>
    </row>
    <row r="36" spans="2:15" x14ac:dyDescent="0.2">
      <c r="C36" s="478"/>
      <c r="G36" s="1826"/>
      <c r="H36" s="1826"/>
      <c r="I36" s="1827"/>
      <c r="J36" s="1826"/>
      <c r="K36" s="1826"/>
      <c r="L36" s="1827"/>
      <c r="N36" s="1826"/>
      <c r="O36" s="1827"/>
    </row>
    <row r="37" spans="2:15" x14ac:dyDescent="0.2">
      <c r="C37" s="478"/>
      <c r="G37" s="1826"/>
      <c r="H37" s="1826"/>
      <c r="I37" s="1827"/>
      <c r="J37" s="1826"/>
      <c r="K37" s="1826"/>
      <c r="L37" s="1827"/>
      <c r="N37" s="1826"/>
      <c r="O37" s="1827"/>
    </row>
    <row r="38" spans="2:15" x14ac:dyDescent="0.2">
      <c r="C38" s="478"/>
      <c r="G38" s="1826"/>
      <c r="H38" s="1826"/>
      <c r="I38" s="1827"/>
      <c r="J38" s="1826"/>
      <c r="K38" s="1826"/>
      <c r="L38" s="1827"/>
      <c r="N38" s="1826"/>
      <c r="O38" s="1827"/>
    </row>
    <row r="39" spans="2:15" x14ac:dyDescent="0.2">
      <c r="C39" s="478"/>
      <c r="G39" s="1826"/>
      <c r="H39" s="1826"/>
      <c r="I39" s="1827"/>
      <c r="J39" s="1826"/>
      <c r="K39" s="1826"/>
      <c r="L39" s="1827"/>
      <c r="N39" s="1826"/>
      <c r="O39" s="1827"/>
    </row>
    <row r="40" spans="2:15" x14ac:dyDescent="0.2">
      <c r="C40" s="478"/>
      <c r="G40" s="1826"/>
      <c r="H40" s="1826"/>
      <c r="I40" s="1827"/>
      <c r="J40" s="1826"/>
      <c r="K40" s="1826"/>
      <c r="L40" s="1827"/>
      <c r="N40" s="1826"/>
      <c r="O40" s="1827"/>
    </row>
    <row r="45" spans="2:15" x14ac:dyDescent="0.2">
      <c r="B45" s="2685" t="s">
        <v>1754</v>
      </c>
      <c r="C45" s="2685"/>
      <c r="D45" s="2685"/>
      <c r="E45" s="2685"/>
      <c r="F45" s="2685"/>
      <c r="G45" s="2685"/>
      <c r="H45" s="2685"/>
      <c r="I45" s="2685"/>
      <c r="J45" s="2685"/>
    </row>
    <row r="46" spans="2:15" x14ac:dyDescent="0.2">
      <c r="B46" s="2685"/>
      <c r="C46" s="2685"/>
      <c r="D46" s="2685"/>
      <c r="E46" s="2685"/>
      <c r="F46" s="2685"/>
      <c r="G46" s="2685"/>
      <c r="H46" s="2685"/>
      <c r="I46" s="2685"/>
      <c r="J46" s="2685"/>
    </row>
    <row r="47" spans="2:15" x14ac:dyDescent="0.2">
      <c r="B47" s="2685"/>
      <c r="C47" s="2685"/>
      <c r="D47" s="2685"/>
      <c r="E47" s="2685"/>
      <c r="F47" s="2685"/>
      <c r="G47" s="2685"/>
      <c r="H47" s="2685"/>
      <c r="I47" s="2685"/>
      <c r="J47" s="2685"/>
    </row>
    <row r="48" spans="2:15" x14ac:dyDescent="0.2">
      <c r="B48" s="2685"/>
      <c r="C48" s="2685"/>
      <c r="D48" s="2685"/>
      <c r="E48" s="2685"/>
      <c r="F48" s="2685"/>
      <c r="G48" s="2685"/>
      <c r="H48" s="2685"/>
      <c r="I48" s="2685"/>
      <c r="J48" s="2685"/>
    </row>
    <row r="49" spans="2:20" ht="14.5" customHeight="1" x14ac:dyDescent="0.2">
      <c r="B49" s="2685" t="s">
        <v>1755</v>
      </c>
      <c r="C49" s="2685"/>
      <c r="D49" s="2685"/>
      <c r="E49" s="2685"/>
      <c r="F49" s="2685"/>
      <c r="G49" s="2685"/>
      <c r="H49" s="2685"/>
      <c r="I49" s="2685"/>
      <c r="J49" s="2685"/>
    </row>
    <row r="50" spans="2:20" x14ac:dyDescent="0.2">
      <c r="B50" s="2685"/>
      <c r="C50" s="2685"/>
      <c r="D50" s="2685"/>
      <c r="E50" s="2685"/>
      <c r="F50" s="2685"/>
      <c r="G50" s="2685"/>
      <c r="H50" s="2685"/>
      <c r="I50" s="2685"/>
      <c r="J50" s="2685"/>
    </row>
    <row r="51" spans="2:20" x14ac:dyDescent="0.2">
      <c r="B51" s="2685"/>
      <c r="C51" s="2685"/>
      <c r="D51" s="2685"/>
      <c r="E51" s="2685"/>
      <c r="F51" s="2685"/>
      <c r="G51" s="2685"/>
      <c r="H51" s="2685"/>
      <c r="I51" s="2685"/>
      <c r="J51" s="2685"/>
    </row>
    <row r="52" spans="2:20" ht="16" customHeight="1" x14ac:dyDescent="0.2">
      <c r="G52"/>
      <c r="H52"/>
      <c r="I52"/>
      <c r="J52"/>
      <c r="K52"/>
      <c r="L52"/>
      <c r="M52"/>
      <c r="N52"/>
      <c r="O52"/>
      <c r="P52"/>
      <c r="Q52"/>
      <c r="R52"/>
    </row>
    <row r="53" spans="2:20" x14ac:dyDescent="0.2">
      <c r="G53"/>
      <c r="H53"/>
      <c r="I53"/>
      <c r="J53"/>
      <c r="K53"/>
      <c r="L53"/>
      <c r="M53"/>
      <c r="N53"/>
      <c r="O53"/>
      <c r="P53"/>
      <c r="Q53"/>
      <c r="R53"/>
    </row>
    <row r="54" spans="2:20" x14ac:dyDescent="0.2">
      <c r="G54"/>
      <c r="H54"/>
      <c r="I54"/>
      <c r="J54"/>
      <c r="K54"/>
      <c r="L54"/>
      <c r="M54"/>
      <c r="N54"/>
      <c r="O54"/>
      <c r="P54"/>
      <c r="Q54"/>
      <c r="R54"/>
    </row>
    <row r="55" spans="2:20" ht="16" customHeight="1" x14ac:dyDescent="0.2">
      <c r="G55"/>
      <c r="H55"/>
      <c r="I55"/>
      <c r="J55"/>
      <c r="K55"/>
      <c r="L55"/>
      <c r="M55"/>
      <c r="N55"/>
      <c r="O55"/>
      <c r="P55"/>
      <c r="Q55"/>
      <c r="R55"/>
    </row>
    <row r="56" spans="2:20" x14ac:dyDescent="0.2">
      <c r="G56"/>
      <c r="H56"/>
      <c r="I56"/>
      <c r="J56"/>
      <c r="K56"/>
      <c r="L56"/>
      <c r="M56"/>
      <c r="N56"/>
      <c r="O56"/>
      <c r="P56"/>
      <c r="Q56"/>
      <c r="R56"/>
    </row>
    <row r="57" spans="2:20" x14ac:dyDescent="0.2">
      <c r="G57"/>
      <c r="H57"/>
      <c r="I57"/>
      <c r="J57"/>
      <c r="K57"/>
      <c r="L57"/>
      <c r="M57"/>
      <c r="N57"/>
      <c r="O57"/>
      <c r="P57"/>
      <c r="Q57"/>
      <c r="R57"/>
    </row>
    <row r="58" spans="2:20" x14ac:dyDescent="0.2">
      <c r="G58"/>
      <c r="H58"/>
      <c r="I58"/>
      <c r="J58"/>
      <c r="K58"/>
      <c r="L58"/>
      <c r="M58"/>
      <c r="N58"/>
      <c r="O58"/>
      <c r="P58"/>
      <c r="Q58"/>
      <c r="R58"/>
    </row>
    <row r="59" spans="2:20" x14ac:dyDescent="0.2">
      <c r="G59"/>
      <c r="H59"/>
      <c r="I59"/>
      <c r="J59"/>
      <c r="K59"/>
      <c r="L59"/>
      <c r="M59"/>
      <c r="N59"/>
      <c r="O59"/>
      <c r="P59"/>
      <c r="Q59"/>
      <c r="R59"/>
    </row>
    <row r="60" spans="2:20" x14ac:dyDescent="0.2">
      <c r="G60"/>
      <c r="H60"/>
      <c r="I60"/>
      <c r="J60"/>
      <c r="K60"/>
      <c r="L60"/>
      <c r="M60"/>
      <c r="N60"/>
      <c r="O60"/>
      <c r="P60"/>
      <c r="Q60"/>
      <c r="R60"/>
    </row>
    <row r="61" spans="2:20" x14ac:dyDescent="0.2">
      <c r="G61"/>
      <c r="H61"/>
      <c r="I61"/>
      <c r="J61"/>
      <c r="K61"/>
      <c r="L61"/>
      <c r="M61"/>
      <c r="N61"/>
      <c r="O61"/>
      <c r="P61"/>
      <c r="Q61"/>
      <c r="R61"/>
    </row>
    <row r="62" spans="2:20" x14ac:dyDescent="0.2">
      <c r="G62"/>
      <c r="H62"/>
      <c r="I62"/>
      <c r="J62"/>
      <c r="K62"/>
      <c r="L62"/>
      <c r="M62"/>
      <c r="N62"/>
      <c r="O62"/>
      <c r="P62"/>
      <c r="Q62"/>
      <c r="R62"/>
    </row>
    <row r="63" spans="2:20" ht="17" customHeight="1" x14ac:dyDescent="0.2">
      <c r="G63"/>
      <c r="H63"/>
      <c r="I63"/>
      <c r="J63"/>
      <c r="K63"/>
    </row>
    <row r="64" spans="2:20" ht="17" customHeight="1" x14ac:dyDescent="0.2">
      <c r="B64" s="3176" t="s">
        <v>2011</v>
      </c>
      <c r="C64" s="3176"/>
      <c r="D64" s="3176"/>
      <c r="E64" s="3176"/>
      <c r="M64" s="112"/>
      <c r="N64" s="112"/>
      <c r="O64" s="112"/>
      <c r="P64" s="112"/>
      <c r="Q64" s="112"/>
      <c r="R64" s="112"/>
      <c r="S64" s="112"/>
      <c r="T64" s="112"/>
    </row>
    <row r="65" spans="2:20" ht="17" customHeight="1" x14ac:dyDescent="0.2">
      <c r="B65" s="3176"/>
      <c r="C65" s="3176"/>
      <c r="D65" s="3176"/>
      <c r="E65" s="3176"/>
      <c r="F65" s="1843"/>
      <c r="G65" s="1843"/>
      <c r="H65" s="1843"/>
      <c r="I65" s="1843"/>
      <c r="J65" s="1843"/>
      <c r="M65" s="112"/>
      <c r="N65" s="112"/>
      <c r="O65" s="112"/>
      <c r="P65" s="112"/>
      <c r="Q65" s="112"/>
      <c r="R65" s="112"/>
      <c r="S65" s="112"/>
      <c r="T65" s="112"/>
    </row>
    <row r="66" spans="2:20" x14ac:dyDescent="0.2">
      <c r="B66" s="3176"/>
      <c r="C66" s="3176"/>
      <c r="D66" s="3176"/>
      <c r="E66" s="3176"/>
      <c r="F66" s="1843"/>
      <c r="G66" s="1843"/>
      <c r="H66" s="1843"/>
      <c r="I66" s="1843"/>
      <c r="J66" s="1843"/>
      <c r="M66" s="112"/>
      <c r="N66" s="112"/>
      <c r="O66" s="112"/>
      <c r="P66" s="112"/>
      <c r="Q66" s="112"/>
      <c r="R66" s="112"/>
      <c r="S66" s="112"/>
      <c r="T66" s="112"/>
    </row>
    <row r="67" spans="2:20" x14ac:dyDescent="0.2">
      <c r="B67" s="3176"/>
      <c r="C67" s="3176"/>
      <c r="D67" s="3176"/>
      <c r="E67" s="3176"/>
      <c r="F67" s="1843"/>
      <c r="G67" s="1843"/>
      <c r="H67" s="1843"/>
      <c r="I67" s="1843"/>
      <c r="J67" s="1843"/>
      <c r="M67" s="112"/>
      <c r="N67" s="112"/>
      <c r="O67" s="112"/>
      <c r="P67" s="112"/>
      <c r="Q67" s="112"/>
      <c r="R67" s="112"/>
      <c r="S67" s="112"/>
      <c r="T67" s="112"/>
    </row>
    <row r="68" spans="2:20" x14ac:dyDescent="0.2">
      <c r="B68" s="1843"/>
      <c r="C68" s="1843"/>
      <c r="D68" s="1843"/>
      <c r="E68" s="1843"/>
      <c r="F68" s="1843"/>
      <c r="G68" s="1843"/>
      <c r="H68" s="1843"/>
      <c r="I68" s="1843"/>
      <c r="J68" s="1843"/>
      <c r="M68" s="112"/>
      <c r="N68" s="112"/>
      <c r="O68" s="112"/>
      <c r="P68" s="112"/>
      <c r="Q68" s="112"/>
      <c r="R68" s="112"/>
      <c r="S68" s="112"/>
      <c r="T68" s="112"/>
    </row>
    <row r="69" spans="2:20" ht="14.5" customHeight="1" x14ac:dyDescent="0.2">
      <c r="B69" s="2804" t="s">
        <v>2012</v>
      </c>
      <c r="C69" s="2804"/>
      <c r="D69" s="2804"/>
      <c r="E69" s="2804"/>
      <c r="F69" s="2804"/>
      <c r="G69" s="2804"/>
      <c r="H69" s="2804"/>
      <c r="I69" s="2804"/>
      <c r="J69" s="2804"/>
      <c r="M69" s="112"/>
      <c r="N69" s="112"/>
      <c r="O69" s="112"/>
      <c r="P69" s="112"/>
      <c r="Q69" s="112"/>
      <c r="R69" s="112"/>
      <c r="S69" s="112"/>
      <c r="T69" s="112"/>
    </row>
    <row r="70" spans="2:20" x14ac:dyDescent="0.2">
      <c r="B70" s="2804"/>
      <c r="C70" s="2804"/>
      <c r="D70" s="2804"/>
      <c r="E70" s="2804"/>
      <c r="F70" s="2804"/>
      <c r="G70" s="2804"/>
      <c r="H70" s="2804"/>
      <c r="I70" s="2804"/>
      <c r="J70" s="2804"/>
      <c r="M70" s="112"/>
      <c r="N70" s="112"/>
      <c r="O70" s="112"/>
      <c r="P70" s="112"/>
      <c r="Q70" s="112"/>
      <c r="R70" s="112"/>
      <c r="S70" s="112"/>
      <c r="T70" s="112"/>
    </row>
    <row r="71" spans="2:20" x14ac:dyDescent="0.2">
      <c r="B71" s="2804"/>
      <c r="C71" s="2804"/>
      <c r="D71" s="2804"/>
      <c r="E71" s="2804"/>
      <c r="F71" s="2804"/>
      <c r="G71" s="2804"/>
      <c r="H71" s="2804"/>
      <c r="I71" s="2804"/>
      <c r="J71" s="2804"/>
      <c r="M71" s="112"/>
      <c r="N71" s="112"/>
      <c r="O71" s="112"/>
      <c r="P71" s="112"/>
      <c r="Q71" s="112"/>
      <c r="R71" s="112"/>
      <c r="S71" s="112"/>
      <c r="T71" s="112"/>
    </row>
    <row r="72" spans="2:20" x14ac:dyDescent="0.2">
      <c r="B72" s="3175" t="s">
        <v>1756</v>
      </c>
      <c r="C72" s="3175"/>
      <c r="D72" s="3175"/>
      <c r="E72" s="3175"/>
      <c r="F72" s="3175"/>
      <c r="G72" s="3175"/>
      <c r="H72" s="3175"/>
      <c r="I72" s="3175"/>
      <c r="J72" s="3175"/>
      <c r="M72" s="112"/>
      <c r="N72" s="112"/>
      <c r="O72" s="112"/>
      <c r="P72" s="112"/>
      <c r="Q72" s="112"/>
      <c r="R72" s="112"/>
      <c r="S72" s="112"/>
      <c r="T72" s="112"/>
    </row>
    <row r="73" spans="2:20" x14ac:dyDescent="0.2">
      <c r="B73" s="3175"/>
      <c r="C73" s="3175"/>
      <c r="D73" s="3175"/>
      <c r="E73" s="3175"/>
      <c r="F73" s="3175"/>
      <c r="G73" s="3175"/>
      <c r="H73" s="3175"/>
      <c r="I73" s="3175"/>
      <c r="J73" s="3175"/>
      <c r="M73" s="112"/>
      <c r="N73" s="112"/>
      <c r="O73" s="112"/>
      <c r="P73" s="112"/>
      <c r="Q73" s="112"/>
      <c r="R73" s="112"/>
      <c r="S73" s="112"/>
      <c r="T73" s="112"/>
    </row>
    <row r="74" spans="2:20" x14ac:dyDescent="0.2">
      <c r="M74" s="112"/>
      <c r="N74" s="112"/>
      <c r="O74" s="112"/>
      <c r="P74" s="112"/>
      <c r="Q74" s="112"/>
      <c r="R74" s="112"/>
      <c r="S74" s="112"/>
      <c r="T74" s="112"/>
    </row>
    <row r="75" spans="2:20" x14ac:dyDescent="0.2">
      <c r="M75" s="112"/>
      <c r="N75" s="112"/>
      <c r="O75" s="112"/>
      <c r="P75" s="112"/>
      <c r="Q75" s="112"/>
      <c r="R75" s="112"/>
      <c r="S75" s="112"/>
      <c r="T75" s="112"/>
    </row>
    <row r="76" spans="2:20" x14ac:dyDescent="0.2">
      <c r="M76" s="112"/>
      <c r="N76" s="112"/>
      <c r="O76" s="112"/>
      <c r="P76" s="112"/>
      <c r="Q76" s="112"/>
      <c r="R76" s="112"/>
      <c r="S76" s="112"/>
      <c r="T76" s="112"/>
    </row>
    <row r="77" spans="2:20" x14ac:dyDescent="0.2">
      <c r="M77" s="112"/>
      <c r="N77" s="112"/>
      <c r="O77" s="112"/>
      <c r="P77" s="112"/>
      <c r="Q77" s="112"/>
      <c r="R77" s="112"/>
      <c r="S77" s="112"/>
      <c r="T77" s="112"/>
    </row>
    <row r="78" spans="2:20" x14ac:dyDescent="0.2">
      <c r="M78" s="112"/>
      <c r="N78" s="112"/>
      <c r="O78" s="112"/>
      <c r="P78" s="112"/>
      <c r="Q78" s="112"/>
      <c r="R78" s="112"/>
      <c r="S78" s="112"/>
      <c r="T78" s="112"/>
    </row>
    <row r="79" spans="2:20" x14ac:dyDescent="0.2">
      <c r="M79" s="112"/>
      <c r="N79" s="112"/>
      <c r="O79" s="112"/>
      <c r="P79" s="112"/>
      <c r="Q79" s="112"/>
      <c r="R79" s="112"/>
      <c r="S79" s="112"/>
      <c r="T79" s="112"/>
    </row>
    <row r="80" spans="2:20" x14ac:dyDescent="0.2">
      <c r="M80" s="112"/>
      <c r="N80" s="112"/>
      <c r="O80" s="112"/>
      <c r="P80" s="112"/>
      <c r="Q80" s="112"/>
      <c r="R80" s="112"/>
      <c r="S80" s="112"/>
      <c r="T80" s="112"/>
    </row>
    <row r="81" spans="2:20" x14ac:dyDescent="0.2">
      <c r="M81" s="112"/>
      <c r="N81" s="112"/>
      <c r="O81" s="112"/>
      <c r="P81" s="112"/>
      <c r="Q81" s="112"/>
      <c r="R81" s="112"/>
      <c r="S81" s="112"/>
      <c r="T81" s="112"/>
    </row>
    <row r="82" spans="2:20" x14ac:dyDescent="0.2">
      <c r="M82" s="112"/>
      <c r="N82" s="112"/>
      <c r="O82" s="112"/>
      <c r="P82" s="112"/>
      <c r="Q82" s="112"/>
      <c r="R82" s="112"/>
      <c r="S82" s="112"/>
      <c r="T82" s="112"/>
    </row>
    <row r="83" spans="2:20" x14ac:dyDescent="0.2">
      <c r="M83" s="112"/>
      <c r="N83" s="112"/>
      <c r="O83" s="112"/>
      <c r="P83" s="112"/>
      <c r="Q83" s="112"/>
      <c r="R83" s="112"/>
      <c r="S83" s="112"/>
      <c r="T83" s="112"/>
    </row>
    <row r="84" spans="2:20" x14ac:dyDescent="0.2">
      <c r="B84" s="3176" t="s">
        <v>2013</v>
      </c>
      <c r="C84" s="3177"/>
      <c r="D84" s="3177"/>
      <c r="E84" s="3177"/>
      <c r="F84" s="3177"/>
      <c r="G84" s="3177"/>
      <c r="H84" s="3177"/>
      <c r="I84" s="3177"/>
      <c r="J84" s="3177"/>
      <c r="M84" s="112"/>
      <c r="N84" s="112"/>
      <c r="O84" s="112"/>
      <c r="P84" s="112"/>
      <c r="Q84" s="112"/>
      <c r="R84" s="112"/>
      <c r="S84" s="112"/>
      <c r="T84" s="112"/>
    </row>
    <row r="85" spans="2:20" x14ac:dyDescent="0.2">
      <c r="B85" s="3177"/>
      <c r="C85" s="3177"/>
      <c r="D85" s="3177"/>
      <c r="E85" s="3177"/>
      <c r="F85" s="3177"/>
      <c r="G85" s="3177"/>
      <c r="H85" s="3177"/>
      <c r="I85" s="3177"/>
      <c r="J85" s="3177"/>
      <c r="M85" s="112"/>
      <c r="N85" s="112"/>
      <c r="O85" s="112"/>
      <c r="P85" s="112"/>
      <c r="Q85" s="112"/>
      <c r="R85" s="112"/>
      <c r="S85" s="112"/>
      <c r="T85" s="112"/>
    </row>
    <row r="86" spans="2:20" x14ac:dyDescent="0.2">
      <c r="B86" s="3177"/>
      <c r="C86" s="3177"/>
      <c r="D86" s="3177"/>
      <c r="E86" s="3177"/>
      <c r="F86" s="3177"/>
      <c r="G86" s="3177"/>
      <c r="H86" s="3177"/>
      <c r="I86" s="3177"/>
      <c r="J86" s="3177"/>
      <c r="M86" s="112"/>
      <c r="N86" s="112"/>
      <c r="O86" s="112"/>
      <c r="P86" s="112"/>
      <c r="Q86" s="112"/>
      <c r="R86" s="112"/>
      <c r="S86" s="112"/>
      <c r="T86" s="112"/>
    </row>
    <row r="87" spans="2:20" x14ac:dyDescent="0.2">
      <c r="B87" s="2685" t="s">
        <v>1757</v>
      </c>
      <c r="C87" s="2685"/>
      <c r="D87" s="2685"/>
      <c r="E87" s="2685"/>
      <c r="F87" s="2685"/>
      <c r="G87" s="2685"/>
      <c r="H87" s="2685"/>
      <c r="I87" s="2685"/>
      <c r="J87" s="2685"/>
      <c r="M87" s="112"/>
      <c r="N87" s="112"/>
      <c r="O87" s="112"/>
      <c r="P87" s="112"/>
      <c r="Q87" s="112"/>
      <c r="R87" s="112"/>
      <c r="S87" s="112"/>
      <c r="T87" s="112"/>
    </row>
    <row r="88" spans="2:20" x14ac:dyDescent="0.2">
      <c r="B88" s="2685"/>
      <c r="C88" s="2685"/>
      <c r="D88" s="2685"/>
      <c r="E88" s="2685"/>
      <c r="F88" s="2685"/>
      <c r="G88" s="2685"/>
      <c r="H88" s="2685"/>
      <c r="I88" s="2685"/>
      <c r="J88" s="2685"/>
      <c r="M88" s="112"/>
      <c r="N88" s="112"/>
      <c r="O88" s="112"/>
      <c r="P88" s="112"/>
      <c r="Q88" s="112"/>
      <c r="R88" s="112"/>
      <c r="S88" s="112"/>
      <c r="T88" s="112"/>
    </row>
    <row r="89" spans="2:20" x14ac:dyDescent="0.2">
      <c r="B89" s="2685"/>
      <c r="C89" s="2685"/>
      <c r="D89" s="2685"/>
      <c r="E89" s="2685"/>
      <c r="F89" s="2685"/>
      <c r="G89" s="2685"/>
      <c r="H89" s="2685"/>
      <c r="I89" s="2685"/>
      <c r="J89" s="2685"/>
      <c r="M89" s="112"/>
      <c r="N89" s="112"/>
      <c r="O89" s="112"/>
      <c r="P89" s="112"/>
      <c r="Q89" s="112"/>
      <c r="R89" s="112"/>
      <c r="S89" s="112"/>
      <c r="T89" s="112"/>
    </row>
    <row r="90" spans="2:20" x14ac:dyDescent="0.2">
      <c r="M90" s="112"/>
      <c r="N90" s="112"/>
      <c r="O90" s="112"/>
      <c r="P90" s="112"/>
      <c r="Q90" s="112"/>
      <c r="R90" s="112"/>
      <c r="S90" s="112"/>
      <c r="T90" s="112"/>
    </row>
    <row r="91" spans="2:20" x14ac:dyDescent="0.2">
      <c r="M91" s="112"/>
      <c r="N91" s="112"/>
      <c r="O91" s="112"/>
      <c r="P91" s="112"/>
      <c r="Q91" s="112"/>
      <c r="R91" s="112"/>
      <c r="S91" s="112"/>
      <c r="T91" s="112"/>
    </row>
    <row r="92" spans="2:20" x14ac:dyDescent="0.2">
      <c r="M92" s="112"/>
      <c r="N92" s="112"/>
      <c r="O92" s="112"/>
      <c r="P92" s="112"/>
      <c r="Q92" s="112"/>
      <c r="R92" s="112"/>
      <c r="S92" s="112"/>
      <c r="T92" s="112"/>
    </row>
    <row r="93" spans="2:20" x14ac:dyDescent="0.2">
      <c r="M93" s="112"/>
      <c r="N93" s="112"/>
      <c r="O93" s="112"/>
      <c r="P93" s="112"/>
      <c r="Q93" s="112"/>
      <c r="R93" s="112"/>
      <c r="S93" s="112"/>
      <c r="T93" s="112"/>
    </row>
    <row r="94" spans="2:20" x14ac:dyDescent="0.2">
      <c r="M94" s="112"/>
      <c r="N94" s="112"/>
      <c r="O94" s="112"/>
      <c r="P94" s="112"/>
      <c r="Q94" s="112"/>
      <c r="R94" s="112"/>
      <c r="S94" s="112"/>
      <c r="T94" s="112"/>
    </row>
    <row r="95" spans="2:20" x14ac:dyDescent="0.2">
      <c r="M95" s="112"/>
      <c r="N95" s="112"/>
      <c r="O95" s="112"/>
      <c r="P95" s="112"/>
      <c r="Q95" s="112"/>
      <c r="R95" s="112"/>
      <c r="S95" s="112"/>
      <c r="T95" s="112"/>
    </row>
    <row r="96" spans="2:20" x14ac:dyDescent="0.2">
      <c r="M96" s="112"/>
      <c r="N96" s="112"/>
      <c r="O96" s="112"/>
      <c r="P96" s="112"/>
      <c r="Q96" s="112"/>
      <c r="R96" s="112"/>
      <c r="S96" s="112"/>
      <c r="T96" s="112"/>
    </row>
    <row r="97" spans="1:20" x14ac:dyDescent="0.2">
      <c r="M97" s="112"/>
      <c r="N97" s="112"/>
      <c r="O97" s="112"/>
      <c r="P97" s="112"/>
      <c r="Q97" s="112"/>
      <c r="R97" s="112"/>
      <c r="S97" s="112"/>
      <c r="T97" s="112"/>
    </row>
    <row r="98" spans="1:20" x14ac:dyDescent="0.2">
      <c r="A98"/>
      <c r="B98"/>
      <c r="C98"/>
      <c r="D98"/>
      <c r="M98" s="112"/>
      <c r="N98" s="112"/>
      <c r="O98" s="112"/>
      <c r="P98" s="112"/>
      <c r="Q98" s="112"/>
      <c r="R98" s="112"/>
      <c r="S98" s="112"/>
      <c r="T98" s="112"/>
    </row>
    <row r="99" spans="1:20" x14ac:dyDescent="0.2">
      <c r="A99"/>
      <c r="B99"/>
      <c r="C99"/>
      <c r="D99"/>
      <c r="M99" s="112"/>
      <c r="N99" s="112"/>
      <c r="O99" s="112"/>
      <c r="P99" s="112"/>
      <c r="Q99" s="112"/>
      <c r="R99" s="112"/>
      <c r="S99" s="112"/>
      <c r="T99" s="112"/>
    </row>
    <row r="100" spans="1:20" x14ac:dyDescent="0.2">
      <c r="A100"/>
      <c r="B100"/>
      <c r="C100"/>
      <c r="D100"/>
      <c r="M100" s="112"/>
      <c r="N100" s="112"/>
      <c r="O100" s="112"/>
      <c r="P100" s="112"/>
      <c r="Q100" s="112"/>
      <c r="R100" s="112"/>
      <c r="S100" s="112"/>
      <c r="T100" s="112"/>
    </row>
    <row r="101" spans="1:20" x14ac:dyDescent="0.2">
      <c r="A101"/>
      <c r="B101"/>
      <c r="C101"/>
      <c r="D101"/>
      <c r="M101" s="112"/>
      <c r="N101" s="112"/>
      <c r="O101" s="112"/>
      <c r="P101" s="112"/>
      <c r="Q101" s="112"/>
      <c r="R101" s="112"/>
      <c r="S101" s="112"/>
      <c r="T101" s="112"/>
    </row>
    <row r="102" spans="1:20" x14ac:dyDescent="0.2">
      <c r="A102"/>
      <c r="B102"/>
      <c r="C102"/>
      <c r="D102"/>
      <c r="M102" s="112"/>
      <c r="N102" s="112"/>
      <c r="O102" s="112"/>
      <c r="P102" s="112"/>
      <c r="Q102" s="112"/>
      <c r="R102" s="112"/>
      <c r="S102" s="112"/>
      <c r="T102" s="112"/>
    </row>
    <row r="103" spans="1:20" x14ac:dyDescent="0.2">
      <c r="B103"/>
      <c r="C103"/>
      <c r="D103"/>
      <c r="E103"/>
      <c r="F103"/>
      <c r="G103"/>
    </row>
    <row r="104" spans="1:20" x14ac:dyDescent="0.2">
      <c r="B104"/>
      <c r="C104"/>
      <c r="D104"/>
      <c r="E104"/>
      <c r="F104"/>
      <c r="G104"/>
    </row>
    <row r="105" spans="1:20" x14ac:dyDescent="0.2">
      <c r="B105"/>
      <c r="C105"/>
      <c r="D105"/>
      <c r="E105"/>
      <c r="F105"/>
      <c r="G105"/>
    </row>
    <row r="106" spans="1:20" x14ac:dyDescent="0.2">
      <c r="B106"/>
      <c r="C106"/>
      <c r="D106"/>
      <c r="E106"/>
      <c r="F106"/>
      <c r="G106"/>
    </row>
    <row r="107" spans="1:20" x14ac:dyDescent="0.2">
      <c r="B107"/>
      <c r="C107"/>
      <c r="D107"/>
      <c r="E107"/>
      <c r="F107"/>
      <c r="G107"/>
    </row>
    <row r="108" spans="1:20" x14ac:dyDescent="0.2">
      <c r="B108"/>
      <c r="C108"/>
      <c r="D108"/>
      <c r="E108"/>
      <c r="F108"/>
      <c r="G108"/>
    </row>
    <row r="109" spans="1:20" x14ac:dyDescent="0.2">
      <c r="B109"/>
      <c r="C109"/>
      <c r="D109"/>
      <c r="E109"/>
      <c r="F109"/>
      <c r="G109"/>
    </row>
    <row r="110" spans="1:20" x14ac:dyDescent="0.2">
      <c r="B110"/>
      <c r="C110"/>
      <c r="D110"/>
      <c r="E110"/>
      <c r="F110"/>
      <c r="G110"/>
    </row>
    <row r="111" spans="1:20" x14ac:dyDescent="0.2">
      <c r="B111"/>
      <c r="C111"/>
      <c r="D111"/>
      <c r="E111"/>
      <c r="F111"/>
      <c r="G111"/>
    </row>
    <row r="112" spans="1:20" x14ac:dyDescent="0.2">
      <c r="B112"/>
      <c r="C112"/>
      <c r="D112"/>
      <c r="E112"/>
      <c r="F112"/>
      <c r="G112"/>
    </row>
    <row r="113" spans="2:7" x14ac:dyDescent="0.2">
      <c r="B113"/>
      <c r="C113"/>
      <c r="D113"/>
      <c r="E113"/>
      <c r="F113"/>
      <c r="G113"/>
    </row>
    <row r="114" spans="2:7" x14ac:dyDescent="0.2">
      <c r="B114"/>
      <c r="C114"/>
      <c r="D114"/>
      <c r="E114"/>
      <c r="F114"/>
      <c r="G114"/>
    </row>
    <row r="115" spans="2:7" x14ac:dyDescent="0.2">
      <c r="B115"/>
      <c r="C115"/>
      <c r="D115"/>
      <c r="E115"/>
      <c r="F115"/>
      <c r="G115"/>
    </row>
    <row r="116" spans="2:7" x14ac:dyDescent="0.2">
      <c r="B116"/>
      <c r="C116"/>
      <c r="D116"/>
      <c r="E116"/>
      <c r="F116"/>
      <c r="G116"/>
    </row>
    <row r="117" spans="2:7" x14ac:dyDescent="0.2">
      <c r="B117"/>
      <c r="C117"/>
      <c r="D117"/>
      <c r="E117"/>
      <c r="F117"/>
      <c r="G117"/>
    </row>
  </sheetData>
  <mergeCells count="9">
    <mergeCell ref="G17:J23"/>
    <mergeCell ref="B72:J73"/>
    <mergeCell ref="B84:J86"/>
    <mergeCell ref="B87:J89"/>
    <mergeCell ref="B7:C7"/>
    <mergeCell ref="B45:J48"/>
    <mergeCell ref="B49:J51"/>
    <mergeCell ref="B69:J71"/>
    <mergeCell ref="B64:E6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E3E9C-CBF3-1747-9D74-1376F3939CF0}">
  <dimension ref="A1:R33"/>
  <sheetViews>
    <sheetView showGridLines="0" zoomScale="44" workbookViewId="0">
      <selection activeCell="D18" sqref="D18:I18"/>
    </sheetView>
  </sheetViews>
  <sheetFormatPr baseColWidth="10" defaultRowHeight="16" x14ac:dyDescent="0.2"/>
  <cols>
    <col min="1" max="1" width="10.7109375" style="1"/>
    <col min="2" max="2" width="41.28515625" style="1" customWidth="1"/>
    <col min="3" max="3" width="14.42578125" style="1" customWidth="1"/>
    <col min="4" max="9" width="18.140625" style="1" customWidth="1"/>
    <col min="10" max="13" width="10.7109375" style="1"/>
    <col min="14" max="14" width="61" style="1" customWidth="1"/>
    <col min="15" max="15" width="23.5703125" style="1" customWidth="1"/>
    <col min="16" max="16" width="8.5703125" style="1" customWidth="1"/>
    <col min="17" max="17" width="18.5703125" style="1" customWidth="1"/>
    <col min="18" max="16384" width="10.7109375" style="1"/>
  </cols>
  <sheetData>
    <row r="1" spans="1:10" s="2012" customFormat="1" ht="34" customHeight="1" x14ac:dyDescent="0.2">
      <c r="A1" s="2011" t="s">
        <v>2362</v>
      </c>
      <c r="D1" s="2011"/>
      <c r="E1" s="2011"/>
      <c r="F1" s="2011"/>
      <c r="G1" s="2011"/>
    </row>
    <row r="2" spans="1:10" ht="32" customHeight="1" x14ac:dyDescent="0.2"/>
    <row r="3" spans="1:10" ht="28" customHeight="1" x14ac:dyDescent="0.2">
      <c r="B3" s="1800" t="s">
        <v>2715</v>
      </c>
    </row>
    <row r="4" spans="1:10" ht="28" customHeight="1" x14ac:dyDescent="0.2">
      <c r="B4" s="232" t="s">
        <v>1357</v>
      </c>
    </row>
    <row r="5" spans="1:10" ht="28" customHeight="1" x14ac:dyDescent="0.2">
      <c r="B5" s="2906" t="s">
        <v>2363</v>
      </c>
      <c r="C5" s="2906"/>
      <c r="D5" s="2906"/>
      <c r="E5" s="2906"/>
      <c r="F5" s="2906"/>
      <c r="G5" s="2906"/>
      <c r="H5" s="2906"/>
      <c r="I5" s="2906"/>
    </row>
    <row r="6" spans="1:10" ht="28" customHeight="1" thickBot="1" x14ac:dyDescent="0.25"/>
    <row r="7" spans="1:10" ht="66" customHeight="1" thickBot="1" x14ac:dyDescent="0.25">
      <c r="B7" s="2445" t="s">
        <v>497</v>
      </c>
      <c r="C7" s="3180" t="s">
        <v>21</v>
      </c>
      <c r="D7" s="3182" t="s">
        <v>37</v>
      </c>
      <c r="E7" s="3183"/>
      <c r="F7" s="3183"/>
      <c r="G7" s="3183"/>
      <c r="H7" s="3183"/>
      <c r="I7" s="3184"/>
    </row>
    <row r="8" spans="1:10" ht="66" customHeight="1" thickBot="1" x14ac:dyDescent="0.25">
      <c r="B8" s="2446" t="s">
        <v>2387</v>
      </c>
      <c r="C8" s="3181"/>
      <c r="D8" s="3185"/>
      <c r="E8" s="3186"/>
      <c r="F8" s="3186"/>
      <c r="G8" s="3186"/>
      <c r="H8" s="3186"/>
      <c r="I8" s="3187"/>
    </row>
    <row r="9" spans="1:10" ht="66" customHeight="1" x14ac:dyDescent="0.2">
      <c r="B9" s="2447" t="s">
        <v>2439</v>
      </c>
      <c r="C9" s="2448"/>
      <c r="D9" s="3197" t="s">
        <v>2433</v>
      </c>
      <c r="E9" s="3198"/>
      <c r="F9" s="3198"/>
      <c r="G9" s="3198"/>
      <c r="H9" s="3198"/>
      <c r="I9" s="3199"/>
      <c r="J9"/>
    </row>
    <row r="10" spans="1:10" ht="66" customHeight="1" x14ac:dyDescent="0.2">
      <c r="B10" s="2449" t="s">
        <v>2384</v>
      </c>
      <c r="C10" s="2450"/>
      <c r="D10" s="3206" t="s">
        <v>2434</v>
      </c>
      <c r="E10" s="3207"/>
      <c r="F10" s="3207"/>
      <c r="G10" s="3207"/>
      <c r="H10" s="3207"/>
      <c r="I10" s="3208"/>
      <c r="J10"/>
    </row>
    <row r="11" spans="1:10" ht="66" customHeight="1" x14ac:dyDescent="0.2">
      <c r="B11" s="2451" t="s">
        <v>2385</v>
      </c>
      <c r="C11" s="2452"/>
      <c r="D11" s="3194" t="s">
        <v>2435</v>
      </c>
      <c r="E11" s="3195"/>
      <c r="F11" s="3195"/>
      <c r="G11" s="3195"/>
      <c r="H11" s="3195"/>
      <c r="I11" s="3196"/>
      <c r="J11"/>
    </row>
    <row r="12" spans="1:10" ht="66" customHeight="1" x14ac:dyDescent="0.2">
      <c r="B12" s="2451" t="s">
        <v>2609</v>
      </c>
      <c r="C12" s="2453"/>
      <c r="D12" s="3194"/>
      <c r="E12" s="3195"/>
      <c r="F12" s="3195"/>
      <c r="G12" s="3195"/>
      <c r="H12" s="3195"/>
      <c r="I12" s="3196"/>
      <c r="J12"/>
    </row>
    <row r="13" spans="1:10" ht="66" customHeight="1" x14ac:dyDescent="0.2">
      <c r="B13" s="2451" t="s">
        <v>2386</v>
      </c>
      <c r="C13" s="2453"/>
      <c r="D13" s="3194"/>
      <c r="E13" s="3195"/>
      <c r="F13" s="3195"/>
      <c r="G13" s="3195"/>
      <c r="H13" s="3195"/>
      <c r="I13" s="3196"/>
    </row>
    <row r="14" spans="1:10" ht="66" customHeight="1" x14ac:dyDescent="0.2">
      <c r="B14" s="2451" t="s">
        <v>2386</v>
      </c>
      <c r="C14" s="2453"/>
      <c r="D14" s="3194"/>
      <c r="E14" s="3195"/>
      <c r="F14" s="3195"/>
      <c r="G14" s="3195"/>
      <c r="H14" s="3195"/>
      <c r="I14" s="3196"/>
    </row>
    <row r="15" spans="1:10" ht="66" customHeight="1" thickBot="1" x14ac:dyDescent="0.25">
      <c r="B15" s="2454" t="s">
        <v>2365</v>
      </c>
      <c r="C15" s="2455"/>
      <c r="D15" s="3203" t="s">
        <v>2438</v>
      </c>
      <c r="E15" s="3204"/>
      <c r="F15" s="3204"/>
      <c r="G15" s="3204"/>
      <c r="H15" s="3204"/>
      <c r="I15" s="3205"/>
    </row>
    <row r="16" spans="1:10" ht="66" customHeight="1" thickBot="1" x14ac:dyDescent="0.25">
      <c r="B16" s="2456" t="s">
        <v>2388</v>
      </c>
      <c r="C16" s="2457" t="s">
        <v>2364</v>
      </c>
      <c r="D16" s="3188" t="s">
        <v>37</v>
      </c>
      <c r="E16" s="3189"/>
      <c r="F16" s="3189"/>
      <c r="G16" s="3189"/>
      <c r="H16" s="3189"/>
      <c r="I16" s="3190"/>
    </row>
    <row r="17" spans="2:18" ht="66" customHeight="1" x14ac:dyDescent="0.2">
      <c r="B17" s="2449" t="s">
        <v>2436</v>
      </c>
      <c r="C17" s="2458"/>
      <c r="D17" s="3200" t="s">
        <v>2645</v>
      </c>
      <c r="E17" s="3201"/>
      <c r="F17" s="3201"/>
      <c r="G17" s="3201"/>
      <c r="H17" s="3201"/>
      <c r="I17" s="3202"/>
    </row>
    <row r="18" spans="2:18" ht="66" customHeight="1" thickBot="1" x14ac:dyDescent="0.25">
      <c r="B18" s="2459" t="s">
        <v>2437</v>
      </c>
      <c r="C18" s="2460" t="s">
        <v>2389</v>
      </c>
      <c r="D18" s="3191" t="s">
        <v>2390</v>
      </c>
      <c r="E18" s="3192"/>
      <c r="F18" s="3192"/>
      <c r="G18" s="3192"/>
      <c r="H18" s="3192"/>
      <c r="I18" s="3193"/>
    </row>
    <row r="19" spans="2:18" ht="31" customHeight="1" x14ac:dyDescent="0.2">
      <c r="C19" s="2281"/>
    </row>
    <row r="20" spans="2:18" x14ac:dyDescent="0.2">
      <c r="C20" s="2281"/>
    </row>
    <row r="21" spans="2:18" ht="17" thickBot="1" x14ac:dyDescent="0.25">
      <c r="C21" s="2281"/>
    </row>
    <row r="22" spans="2:18" ht="40" customHeight="1" thickBot="1" x14ac:dyDescent="0.25">
      <c r="C22" s="2281"/>
      <c r="N22" s="2527" t="str">
        <f t="shared" ref="N22:N32" si="0">B8</f>
        <v xml:space="preserve">        Évènement</v>
      </c>
      <c r="O22" s="2283" t="str">
        <f>C7</f>
        <v>Satisfaction</v>
      </c>
      <c r="Q22" s="2521"/>
      <c r="R22" s="2243"/>
    </row>
    <row r="23" spans="2:18" ht="40" customHeight="1" x14ac:dyDescent="0.2">
      <c r="C23" s="2281"/>
      <c r="N23" s="2528" t="str">
        <f t="shared" si="0"/>
        <v>Championnats domestiques nationaux rugby XV (TOP 14, PRO D2)</v>
      </c>
      <c r="O23" s="2533"/>
    </row>
    <row r="24" spans="2:18" ht="40" customHeight="1" x14ac:dyDescent="0.2">
      <c r="N24" s="2529" t="str">
        <f t="shared" si="0"/>
        <v>Championnats domestiques nationaux football (D1 Féminine, L1, L2)</v>
      </c>
      <c r="O24" s="2534"/>
    </row>
    <row r="25" spans="2:18" ht="40" customHeight="1" x14ac:dyDescent="0.2">
      <c r="N25" s="2529" t="str">
        <f t="shared" si="0"/>
        <v>Championnats internationaux rugby XV (Champions Cup, Challenge Cup, Tournoi des 6 nations, etc.)</v>
      </c>
      <c r="O25" s="2534"/>
    </row>
    <row r="26" spans="2:18" ht="40" customHeight="1" x14ac:dyDescent="0.2">
      <c r="N26" s="2529" t="str">
        <f t="shared" si="0"/>
        <v>Championnats internationaux football (Champion's League, Ligue Europa, etc.)</v>
      </c>
      <c r="O26" s="2535"/>
    </row>
    <row r="27" spans="2:18" ht="40" customHeight="1" x14ac:dyDescent="0.2">
      <c r="N27" s="2529" t="str">
        <f t="shared" si="0"/>
        <v>Matchs amicaux internationaux football</v>
      </c>
      <c r="O27" s="2535"/>
    </row>
    <row r="28" spans="2:18" ht="40" customHeight="1" x14ac:dyDescent="0.2">
      <c r="N28" s="2529" t="str">
        <f t="shared" si="0"/>
        <v>Matchs amicaux internationaux football</v>
      </c>
      <c r="O28" s="2535"/>
    </row>
    <row r="29" spans="2:18" ht="40" customHeight="1" thickBot="1" x14ac:dyDescent="0.25">
      <c r="N29" s="2530" t="str">
        <f t="shared" si="0"/>
        <v>Coupe de France</v>
      </c>
      <c r="O29" s="2536"/>
      <c r="Q29" s="2522" t="s">
        <v>2717</v>
      </c>
      <c r="R29" s="2523"/>
    </row>
    <row r="30" spans="2:18" ht="40" customHeight="1" thickBot="1" x14ac:dyDescent="0.25">
      <c r="N30" s="2282" t="str">
        <f t="shared" si="0"/>
        <v xml:space="preserve">        Autres</v>
      </c>
      <c r="O30" s="2283" t="str">
        <f>O22</f>
        <v>Satisfaction</v>
      </c>
      <c r="Q30" s="2522" t="s">
        <v>2716</v>
      </c>
      <c r="R30" s="2524"/>
    </row>
    <row r="31" spans="2:18" ht="40" customHeight="1" x14ac:dyDescent="0.2">
      <c r="N31" s="2531" t="str">
        <f t="shared" si="0"/>
        <v>Activités des clubs professionnels (hors évènements)</v>
      </c>
      <c r="O31" s="2537"/>
      <c r="Q31" s="2525" t="s">
        <v>2718</v>
      </c>
      <c r="R31" s="2526"/>
    </row>
    <row r="32" spans="2:18" ht="40" customHeight="1" thickBot="1" x14ac:dyDescent="0.25">
      <c r="N32" s="2532" t="str">
        <f t="shared" si="0"/>
        <v>Sièges administratifs des instances (Ligues pro, syndicats, etc.)</v>
      </c>
      <c r="O32" s="2538" t="s">
        <v>2389</v>
      </c>
      <c r="Q32" s="2522" t="s">
        <v>2719</v>
      </c>
      <c r="R32" s="2522" t="s">
        <v>2319</v>
      </c>
    </row>
    <row r="33" ht="24" customHeight="1" x14ac:dyDescent="0.2"/>
  </sheetData>
  <mergeCells count="13">
    <mergeCell ref="C7:C8"/>
    <mergeCell ref="D7:I8"/>
    <mergeCell ref="D16:I16"/>
    <mergeCell ref="B5:I5"/>
    <mergeCell ref="D18:I18"/>
    <mergeCell ref="D11:I11"/>
    <mergeCell ref="D9:I9"/>
    <mergeCell ref="D17:I17"/>
    <mergeCell ref="D15:I15"/>
    <mergeCell ref="D13:I13"/>
    <mergeCell ref="D10:I10"/>
    <mergeCell ref="D12:I12"/>
    <mergeCell ref="D14:I14"/>
  </mergeCells>
  <conditionalFormatting sqref="C18 C16">
    <cfRule type="colorScale" priority="34">
      <colorScale>
        <cfvo type="percent" val="0"/>
        <cfvo type="percent" val="50"/>
        <cfvo type="percent" val="100"/>
        <color rgb="FFF8696B"/>
        <color rgb="FFFFFF00"/>
        <color rgb="FF63BE7B"/>
      </colorScale>
    </cfRule>
  </conditionalFormatting>
  <conditionalFormatting sqref="O32">
    <cfRule type="colorScale" priority="1">
      <colorScale>
        <cfvo type="percent" val="0"/>
        <cfvo type="percent" val="50"/>
        <cfvo type="percent" val="100"/>
        <color rgb="FFF8696B"/>
        <color rgb="FFFFFF00"/>
        <color rgb="FF63BE7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B2:AD177"/>
  <sheetViews>
    <sheetView zoomScale="50" workbookViewId="0">
      <selection activeCell="J126" sqref="J126"/>
    </sheetView>
  </sheetViews>
  <sheetFormatPr baseColWidth="10" defaultRowHeight="16" outlineLevelRow="2" x14ac:dyDescent="0.2"/>
  <cols>
    <col min="1" max="1" width="10.7109375" style="2"/>
    <col min="2" max="2" width="30.5703125" style="2" customWidth="1"/>
    <col min="3" max="3" width="24.28515625" style="2" customWidth="1"/>
    <col min="4" max="4" width="18.85546875" style="2" customWidth="1"/>
    <col min="5" max="8" width="17.7109375" style="2" customWidth="1"/>
    <col min="9" max="9" width="14" style="2" customWidth="1"/>
    <col min="10" max="10" width="48.5703125" style="2" customWidth="1"/>
    <col min="11" max="13" width="15.5703125" style="2" customWidth="1"/>
    <col min="14" max="14" width="25.140625" style="2" customWidth="1"/>
    <col min="15" max="15" width="23.5703125" style="2" customWidth="1"/>
    <col min="16" max="16" width="30.7109375" style="2" customWidth="1"/>
    <col min="17" max="17" width="14.140625" style="2" customWidth="1"/>
    <col min="18" max="18" width="10.7109375" style="2"/>
    <col min="19" max="19" width="22.42578125" style="2" customWidth="1"/>
    <col min="20" max="20" width="13.140625" style="2" customWidth="1"/>
    <col min="21" max="21" width="15.140625" style="2" customWidth="1"/>
    <col min="22" max="23" width="10.7109375" style="2"/>
    <col min="24" max="24" width="12.7109375" style="2" customWidth="1"/>
    <col min="25" max="26" width="10.42578125" style="2" customWidth="1"/>
    <col min="27" max="28" width="10.7109375" style="2"/>
    <col min="29" max="29" width="11.7109375" style="2" customWidth="1"/>
    <col min="30" max="31" width="10.7109375" style="2"/>
    <col min="32" max="32" width="13" style="2" customWidth="1"/>
    <col min="33" max="33" width="10.7109375" style="2"/>
    <col min="34" max="34" width="11.7109375" style="2" customWidth="1"/>
    <col min="35" max="35" width="11.28515625" style="2" customWidth="1"/>
    <col min="36" max="16384" width="10.7109375" style="2"/>
  </cols>
  <sheetData>
    <row r="2" spans="2:13" ht="21" thickBot="1" x14ac:dyDescent="0.25">
      <c r="B2" s="2559" t="s">
        <v>133</v>
      </c>
      <c r="C2" s="2561"/>
    </row>
    <row r="3" spans="2:13" ht="25" customHeight="1" thickBot="1" x14ac:dyDescent="0.25">
      <c r="F3"/>
      <c r="G3"/>
      <c r="H3"/>
      <c r="I3"/>
      <c r="J3"/>
      <c r="K3"/>
      <c r="L3"/>
      <c r="M3"/>
    </row>
    <row r="4" spans="2:13" ht="19" thickBot="1" x14ac:dyDescent="0.25">
      <c r="B4" s="2562" t="s">
        <v>17</v>
      </c>
      <c r="C4" s="2563"/>
      <c r="D4" s="2564"/>
      <c r="F4"/>
      <c r="G4"/>
      <c r="H4"/>
      <c r="I4"/>
      <c r="J4"/>
      <c r="K4"/>
      <c r="L4"/>
      <c r="M4"/>
    </row>
    <row r="5" spans="2:13" ht="21" customHeight="1" x14ac:dyDescent="0.2">
      <c r="B5" s="56" t="s">
        <v>18</v>
      </c>
      <c r="C5" s="857">
        <f>C51</f>
        <v>3575.8805820895232</v>
      </c>
      <c r="D5" s="57" t="s">
        <v>19</v>
      </c>
      <c r="F5"/>
      <c r="G5"/>
      <c r="H5"/>
      <c r="I5"/>
      <c r="J5"/>
      <c r="K5"/>
      <c r="L5"/>
      <c r="M5"/>
    </row>
    <row r="6" spans="2:13" ht="21" customHeight="1" x14ac:dyDescent="0.2">
      <c r="B6" s="59" t="s">
        <v>20</v>
      </c>
      <c r="C6" s="2596" t="str">
        <f>C9</f>
        <v>vFinale</v>
      </c>
      <c r="D6" s="2597"/>
      <c r="F6"/>
      <c r="G6"/>
      <c r="H6"/>
      <c r="I6"/>
      <c r="J6"/>
      <c r="K6"/>
      <c r="L6"/>
      <c r="M6"/>
    </row>
    <row r="7" spans="2:13" ht="21" customHeight="1" thickBot="1" x14ac:dyDescent="0.25">
      <c r="B7" s="61" t="s">
        <v>21</v>
      </c>
      <c r="C7" s="2567"/>
      <c r="D7" s="2568"/>
      <c r="F7"/>
      <c r="G7"/>
      <c r="H7"/>
      <c r="I7"/>
      <c r="J7"/>
      <c r="K7"/>
      <c r="L7"/>
      <c r="M7"/>
    </row>
    <row r="8" spans="2:13" ht="21" customHeight="1" thickBot="1" x14ac:dyDescent="0.25"/>
    <row r="9" spans="2:13" s="55" customFormat="1" ht="21" customHeight="1" x14ac:dyDescent="0.2">
      <c r="B9" s="974" t="s">
        <v>22</v>
      </c>
      <c r="C9" s="2598" t="s">
        <v>1602</v>
      </c>
      <c r="D9" s="2599"/>
      <c r="E9" s="62"/>
      <c r="F9" s="62"/>
      <c r="G9" s="62"/>
      <c r="H9" s="62"/>
      <c r="I9" s="62"/>
      <c r="J9" s="62"/>
      <c r="K9" s="62"/>
      <c r="L9" s="63"/>
    </row>
    <row r="10" spans="2:13" s="55" customFormat="1" ht="21" customHeight="1" thickBot="1" x14ac:dyDescent="0.25">
      <c r="B10" s="975" t="s">
        <v>1905</v>
      </c>
      <c r="C10" s="976">
        <f>C5/'ANNEXE A'!$C$248</f>
        <v>2.4559619382482989</v>
      </c>
      <c r="D10" s="977" t="s">
        <v>24</v>
      </c>
      <c r="E10" s="64"/>
      <c r="F10" s="64"/>
      <c r="G10" s="64"/>
      <c r="H10" s="64"/>
      <c r="I10" s="64"/>
      <c r="J10" s="64"/>
      <c r="K10" s="64"/>
      <c r="L10" s="65"/>
    </row>
    <row r="11" spans="2:13" s="55" customFormat="1" ht="21" customHeight="1" thickBot="1" x14ac:dyDescent="0.25">
      <c r="B11" s="66"/>
      <c r="C11" s="67"/>
      <c r="D11" s="67"/>
      <c r="E11" s="67"/>
      <c r="F11" s="67"/>
      <c r="G11" s="67"/>
      <c r="H11" s="67"/>
      <c r="I11" s="67"/>
      <c r="J11" s="67"/>
      <c r="K11" s="67"/>
      <c r="L11" s="68"/>
    </row>
    <row r="12" spans="2:13" s="55" customFormat="1" ht="21" customHeight="1" x14ac:dyDescent="0.2">
      <c r="B12" s="2571" t="s">
        <v>25</v>
      </c>
      <c r="C12" s="2572"/>
      <c r="D12" s="2572"/>
      <c r="E12" s="2572"/>
      <c r="F12" s="2572"/>
      <c r="G12" s="2572"/>
      <c r="H12" s="2572"/>
      <c r="I12" s="2572"/>
      <c r="J12" s="2572"/>
      <c r="K12" s="2572"/>
      <c r="L12" s="2573"/>
    </row>
    <row r="13" spans="2:13" ht="44" customHeight="1" x14ac:dyDescent="0.2">
      <c r="B13" s="69" t="s">
        <v>26</v>
      </c>
      <c r="C13" s="2574" t="s">
        <v>1960</v>
      </c>
      <c r="D13" s="2575"/>
      <c r="E13" s="2575"/>
      <c r="F13" s="2575"/>
      <c r="G13" s="2575"/>
      <c r="H13" s="2575"/>
      <c r="I13" s="2575"/>
      <c r="J13" s="2575"/>
      <c r="K13" s="2575"/>
      <c r="L13" s="2576"/>
    </row>
    <row r="14" spans="2:13" ht="36" customHeight="1" x14ac:dyDescent="0.2">
      <c r="B14" s="70" t="s">
        <v>27</v>
      </c>
      <c r="C14" s="2577" t="s">
        <v>1957</v>
      </c>
      <c r="D14" s="2578"/>
      <c r="E14" s="2578"/>
      <c r="F14" s="2578"/>
      <c r="G14" s="2578"/>
      <c r="H14" s="2578"/>
      <c r="I14" s="2578"/>
      <c r="J14" s="2578"/>
      <c r="K14" s="2578"/>
      <c r="L14" s="2579"/>
    </row>
    <row r="15" spans="2:13" ht="120" customHeight="1" x14ac:dyDescent="0.2">
      <c r="B15" s="70" t="s">
        <v>28</v>
      </c>
      <c r="C15" s="2577" t="s">
        <v>1961</v>
      </c>
      <c r="D15" s="2578"/>
      <c r="E15" s="2578"/>
      <c r="F15" s="2578"/>
      <c r="G15" s="2578"/>
      <c r="H15" s="2578"/>
      <c r="I15" s="2578"/>
      <c r="J15" s="2578"/>
      <c r="K15" s="2578"/>
      <c r="L15" s="2579"/>
    </row>
    <row r="16" spans="2:13" ht="37" customHeight="1" x14ac:dyDescent="0.2">
      <c r="B16" s="70" t="s">
        <v>29</v>
      </c>
      <c r="C16" s="2577" t="s">
        <v>2304</v>
      </c>
      <c r="D16" s="2578"/>
      <c r="E16" s="2578"/>
      <c r="F16" s="2578"/>
      <c r="G16" s="2578"/>
      <c r="H16" s="2578"/>
      <c r="I16" s="2578"/>
      <c r="J16" s="2578"/>
      <c r="K16" s="2578"/>
      <c r="L16" s="2579"/>
    </row>
    <row r="17" spans="2:12" ht="24" customHeight="1" x14ac:dyDescent="0.2">
      <c r="B17" s="70" t="s">
        <v>30</v>
      </c>
      <c r="C17" s="2577" t="s">
        <v>1962</v>
      </c>
      <c r="D17" s="2578"/>
      <c r="E17" s="2578"/>
      <c r="F17" s="2578"/>
      <c r="G17" s="2578"/>
      <c r="H17" s="2578"/>
      <c r="I17" s="2578"/>
      <c r="J17" s="2578"/>
      <c r="K17" s="2578"/>
      <c r="L17" s="2579"/>
    </row>
    <row r="18" spans="2:12" ht="22" customHeight="1" x14ac:dyDescent="0.2">
      <c r="B18" s="70" t="s">
        <v>31</v>
      </c>
      <c r="C18" s="2600" t="s">
        <v>1963</v>
      </c>
      <c r="D18" s="2578"/>
      <c r="E18" s="2578"/>
      <c r="F18" s="2578"/>
      <c r="G18" s="2578"/>
      <c r="H18" s="2578"/>
      <c r="I18" s="2578"/>
      <c r="J18" s="2578"/>
      <c r="K18" s="2578"/>
      <c r="L18" s="2579"/>
    </row>
    <row r="19" spans="2:12" ht="25" customHeight="1" x14ac:dyDescent="0.2">
      <c r="B19" s="71" t="s">
        <v>33</v>
      </c>
      <c r="C19" s="2580"/>
      <c r="D19" s="2581"/>
      <c r="E19" s="2581"/>
      <c r="F19" s="2581"/>
      <c r="G19" s="2581"/>
      <c r="H19" s="2581"/>
      <c r="I19" s="2581"/>
      <c r="J19" s="2581"/>
      <c r="K19" s="2581"/>
      <c r="L19" s="2582"/>
    </row>
    <row r="20" spans="2:12" ht="24" customHeight="1" x14ac:dyDescent="0.2"/>
    <row r="21" spans="2:12" ht="24" customHeight="1" x14ac:dyDescent="0.2">
      <c r="B21" s="433" t="s">
        <v>1353</v>
      </c>
    </row>
    <row r="22" spans="2:12" ht="24" customHeight="1" x14ac:dyDescent="0.2">
      <c r="B22"/>
    </row>
    <row r="23" spans="2:12" ht="23" customHeight="1" x14ac:dyDescent="0.2">
      <c r="B23" s="430" t="s">
        <v>1895</v>
      </c>
      <c r="C23" s="55"/>
      <c r="D23"/>
      <c r="E23"/>
    </row>
    <row r="24" spans="2:12" ht="24" customHeight="1" x14ac:dyDescent="0.2">
      <c r="B24" s="55" t="s">
        <v>1896</v>
      </c>
      <c r="C24" s="55"/>
      <c r="D24"/>
      <c r="E24"/>
    </row>
    <row r="25" spans="2:12" ht="24" customHeight="1" x14ac:dyDescent="0.2">
      <c r="B25" s="55"/>
      <c r="C25" s="55"/>
      <c r="D25"/>
      <c r="E25"/>
    </row>
    <row r="26" spans="2:12" ht="42" customHeight="1" x14ac:dyDescent="0.2">
      <c r="B26" s="76" t="s">
        <v>1891</v>
      </c>
      <c r="C26" s="91">
        <f>'ANNEXE A'!$C$240</f>
        <v>21000</v>
      </c>
      <c r="D26"/>
      <c r="E26"/>
    </row>
    <row r="27" spans="2:12" ht="34" x14ac:dyDescent="0.2">
      <c r="B27" s="76" t="s">
        <v>40</v>
      </c>
      <c r="C27" s="789">
        <f>'ANNEXE A'!$C$238</f>
        <v>18</v>
      </c>
      <c r="D27"/>
      <c r="E27"/>
    </row>
    <row r="28" spans="2:12" ht="25" customHeight="1" x14ac:dyDescent="0.2"/>
    <row r="29" spans="2:12" ht="25" customHeight="1" x14ac:dyDescent="0.2"/>
    <row r="30" spans="2:12" s="374" customFormat="1" ht="25" customHeight="1" x14ac:dyDescent="0.2">
      <c r="B30" s="325" t="s">
        <v>1906</v>
      </c>
      <c r="E30" s="2"/>
    </row>
    <row r="31" spans="2:12" s="374" customFormat="1" ht="25" customHeight="1" x14ac:dyDescent="0.2">
      <c r="B31" s="325"/>
      <c r="E31" s="2"/>
    </row>
    <row r="32" spans="2:12" ht="21" customHeight="1" x14ac:dyDescent="0.2">
      <c r="B32" s="118" t="s">
        <v>1357</v>
      </c>
    </row>
    <row r="33" spans="2:10" ht="32" customHeight="1" x14ac:dyDescent="0.2">
      <c r="B33" s="55" t="s">
        <v>143</v>
      </c>
      <c r="H33" s="630"/>
    </row>
    <row r="34" spans="2:10" ht="34" customHeight="1" x14ac:dyDescent="0.2">
      <c r="B34" s="79" t="s">
        <v>146</v>
      </c>
      <c r="C34" s="79" t="s">
        <v>147</v>
      </c>
      <c r="D34" s="79" t="s">
        <v>59</v>
      </c>
      <c r="E34" s="79" t="s">
        <v>148</v>
      </c>
      <c r="F34" s="79" t="s">
        <v>59</v>
      </c>
      <c r="G34" s="79" t="s">
        <v>125</v>
      </c>
      <c r="H34" s="79" t="s">
        <v>149</v>
      </c>
      <c r="I34" s="972" t="s">
        <v>62</v>
      </c>
      <c r="J34" s="971" t="s">
        <v>150</v>
      </c>
    </row>
    <row r="35" spans="2:10" ht="32" customHeight="1" x14ac:dyDescent="0.2">
      <c r="B35" s="89" t="s">
        <v>152</v>
      </c>
      <c r="C35" s="884">
        <f>W84</f>
        <v>919306</v>
      </c>
      <c r="D35" s="89" t="s">
        <v>65</v>
      </c>
      <c r="E35" s="87">
        <f>C104</f>
        <v>5.1999999999999998E-2</v>
      </c>
      <c r="F35" s="81" t="s">
        <v>66</v>
      </c>
      <c r="G35" s="76" t="s">
        <v>130</v>
      </c>
      <c r="H35" s="91">
        <f>C35*E35</f>
        <v>47803.911999999997</v>
      </c>
      <c r="I35" s="672" t="s">
        <v>67</v>
      </c>
      <c r="J35" s="81"/>
    </row>
    <row r="36" spans="2:10" ht="32" customHeight="1" x14ac:dyDescent="0.2">
      <c r="B36" s="409"/>
      <c r="C36" s="1593"/>
      <c r="D36" s="409"/>
      <c r="E36" s="219"/>
      <c r="F36" s="55"/>
      <c r="G36" s="73" t="s">
        <v>198</v>
      </c>
      <c r="H36" s="8">
        <f>SUM(H35)/1000</f>
        <v>47.803911999999997</v>
      </c>
      <c r="I36" s="7" t="s">
        <v>71</v>
      </c>
      <c r="J36" s="55"/>
    </row>
    <row r="37" spans="2:10" ht="22" customHeight="1" x14ac:dyDescent="0.2">
      <c r="B37" s="55"/>
      <c r="C37" s="55"/>
      <c r="D37" s="55"/>
      <c r="E37" s="55"/>
      <c r="F37" s="55"/>
      <c r="G37"/>
      <c r="H37"/>
      <c r="I37"/>
      <c r="J37"/>
    </row>
    <row r="38" spans="2:10" ht="22" customHeight="1" x14ac:dyDescent="0.2">
      <c r="B38" s="325" t="s">
        <v>1909</v>
      </c>
      <c r="C38" s="55"/>
      <c r="D38" s="55"/>
      <c r="E38" s="55"/>
      <c r="F38" s="55"/>
      <c r="G38" s="55"/>
      <c r="H38" s="55"/>
      <c r="I38" s="55"/>
      <c r="J38" s="55"/>
    </row>
    <row r="39" spans="2:10" ht="22" customHeight="1" x14ac:dyDescent="0.2">
      <c r="B39" s="325"/>
      <c r="C39" s="55"/>
      <c r="D39" s="55"/>
      <c r="E39" s="55"/>
      <c r="F39" s="55"/>
      <c r="G39" s="55"/>
      <c r="H39" s="55"/>
      <c r="I39" s="55"/>
      <c r="J39" s="55"/>
    </row>
    <row r="40" spans="2:10" s="55" customFormat="1" ht="26" customHeight="1" x14ac:dyDescent="0.2">
      <c r="B40" s="430" t="s">
        <v>1895</v>
      </c>
    </row>
    <row r="41" spans="2:10" s="55" customFormat="1" ht="26" customHeight="1" x14ac:dyDescent="0.2">
      <c r="B41" s="55" t="s">
        <v>1902</v>
      </c>
    </row>
    <row r="42" spans="2:10" ht="25" customHeight="1" x14ac:dyDescent="0.2">
      <c r="B42" s="55" t="s">
        <v>1903</v>
      </c>
      <c r="C42" s="55"/>
      <c r="D42" s="55"/>
      <c r="E42" s="55"/>
      <c r="F42" s="55"/>
      <c r="G42" s="55"/>
      <c r="H42" s="55"/>
      <c r="I42" s="55"/>
      <c r="J42" s="55"/>
    </row>
    <row r="43" spans="2:10" ht="25" customHeight="1" thickBot="1" x14ac:dyDescent="0.25">
      <c r="B43" s="55"/>
      <c r="C43" s="55"/>
      <c r="D43" s="55"/>
      <c r="E43" s="55"/>
      <c r="F43" s="55"/>
      <c r="G43" s="55"/>
      <c r="H43" s="55"/>
      <c r="I43" s="55"/>
      <c r="J43" s="55"/>
    </row>
    <row r="44" spans="2:10" ht="40" customHeight="1" thickBot="1" x14ac:dyDescent="0.25">
      <c r="B44" s="871"/>
      <c r="C44" s="870" t="s">
        <v>57</v>
      </c>
      <c r="D44" s="869" t="s">
        <v>106</v>
      </c>
      <c r="E44" s="869" t="s">
        <v>1591</v>
      </c>
      <c r="F44" s="869" t="s">
        <v>1590</v>
      </c>
      <c r="G44" s="872" t="s">
        <v>1593</v>
      </c>
      <c r="H44" s="879" t="s">
        <v>1592</v>
      </c>
    </row>
    <row r="45" spans="2:10" ht="28" customHeight="1" thickBot="1" x14ac:dyDescent="0.25">
      <c r="B45" s="910" t="s">
        <v>1463</v>
      </c>
      <c r="C45" s="911" t="str">
        <f>B35</f>
        <v>Électricité</v>
      </c>
      <c r="D45" s="912">
        <f>C26</f>
        <v>21000</v>
      </c>
      <c r="E45" s="912">
        <f>C35/$D$45</f>
        <v>43.776476190476188</v>
      </c>
      <c r="F45" s="912">
        <f>E45*$D$45</f>
        <v>919306</v>
      </c>
      <c r="G45" s="913">
        <f>E35</f>
        <v>5.1999999999999998E-2</v>
      </c>
      <c r="H45" s="914">
        <f>E45*D45*G45/1000</f>
        <v>47.803911999999997</v>
      </c>
    </row>
    <row r="46" spans="2:10" ht="28" customHeight="1" thickBot="1" x14ac:dyDescent="0.25">
      <c r="B46" s="2605"/>
      <c r="C46" s="2606"/>
      <c r="D46" s="2606"/>
      <c r="E46" s="2606"/>
      <c r="F46" s="2601" t="s">
        <v>1595</v>
      </c>
      <c r="G46" s="2602"/>
      <c r="H46" s="943">
        <f>H45</f>
        <v>47.803911999999997</v>
      </c>
    </row>
    <row r="47" spans="2:10" ht="28" customHeight="1" thickBot="1" x14ac:dyDescent="0.25">
      <c r="B47" s="909" t="s">
        <v>1594</v>
      </c>
      <c r="C47" s="915" t="str">
        <f>C45</f>
        <v>Électricité</v>
      </c>
      <c r="D47" s="845">
        <f>'ANNEXE A'!$C$241</f>
        <v>1570865</v>
      </c>
      <c r="E47" s="848">
        <f>E45</f>
        <v>43.776476190476188</v>
      </c>
      <c r="F47" s="845">
        <f>E47*$D$47</f>
        <v>68766934.270952374</v>
      </c>
      <c r="G47" s="916">
        <f>G45</f>
        <v>5.1999999999999998E-2</v>
      </c>
      <c r="H47" s="914">
        <f>E47*D47*G47/1000</f>
        <v>3575.8805820895232</v>
      </c>
    </row>
    <row r="48" spans="2:10" ht="27" customHeight="1" thickBot="1" x14ac:dyDescent="0.25">
      <c r="B48" s="2603"/>
      <c r="C48" s="2604"/>
      <c r="D48" s="2604"/>
      <c r="E48" s="2604"/>
      <c r="F48" s="2601" t="s">
        <v>1595</v>
      </c>
      <c r="G48" s="2602"/>
      <c r="H48" s="944">
        <f>H47</f>
        <v>3575.8805820895232</v>
      </c>
    </row>
    <row r="49" spans="2:30" ht="23" customHeight="1" x14ac:dyDescent="0.2"/>
    <row r="50" spans="2:30" ht="23" customHeight="1" thickBot="1" x14ac:dyDescent="0.25">
      <c r="B50"/>
      <c r="C50"/>
      <c r="D50"/>
    </row>
    <row r="51" spans="2:30" ht="30" customHeight="1" thickBot="1" x14ac:dyDescent="0.25">
      <c r="B51" s="862" t="s">
        <v>765</v>
      </c>
      <c r="C51" s="863">
        <f>H48</f>
        <v>3575.8805820895232</v>
      </c>
      <c r="D51" s="864" t="s">
        <v>71</v>
      </c>
    </row>
    <row r="56" spans="2:30" ht="23" x14ac:dyDescent="0.2">
      <c r="B56" s="433" t="s">
        <v>1352</v>
      </c>
    </row>
    <row r="57" spans="2:30" hidden="1" outlineLevel="1" x14ac:dyDescent="0.2"/>
    <row r="58" spans="2:30" ht="18" hidden="1" outlineLevel="1" x14ac:dyDescent="0.2">
      <c r="B58" s="1597" t="s">
        <v>134</v>
      </c>
    </row>
    <row r="59" spans="2:30" hidden="1" outlineLevel="2" x14ac:dyDescent="0.2"/>
    <row r="60" spans="2:30" ht="68" hidden="1" outlineLevel="2" x14ac:dyDescent="0.2">
      <c r="B60" s="885" t="s">
        <v>135</v>
      </c>
      <c r="C60" s="886" t="s">
        <v>136</v>
      </c>
      <c r="D60" s="886" t="s">
        <v>137</v>
      </c>
    </row>
    <row r="61" spans="2:30" hidden="1" outlineLevel="2" x14ac:dyDescent="0.2">
      <c r="B61" s="887" t="s">
        <v>139</v>
      </c>
      <c r="C61" s="888">
        <v>67000</v>
      </c>
      <c r="D61" s="888">
        <v>8258000</v>
      </c>
    </row>
    <row r="62" spans="2:30" hidden="1" outlineLevel="2" x14ac:dyDescent="0.2">
      <c r="B62" s="887" t="s">
        <v>140</v>
      </c>
      <c r="C62" s="888">
        <v>58000</v>
      </c>
      <c r="D62" s="888">
        <v>10500000</v>
      </c>
    </row>
    <row r="63" spans="2:30" hidden="1" outlineLevel="2" x14ac:dyDescent="0.2">
      <c r="B63" s="887" t="s">
        <v>141</v>
      </c>
      <c r="C63" s="888">
        <v>50000</v>
      </c>
      <c r="D63" s="888">
        <v>6240000</v>
      </c>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row>
    <row r="64" spans="2:30" hidden="1" outlineLevel="2" x14ac:dyDescent="0.2">
      <c r="B64" s="887" t="s">
        <v>142</v>
      </c>
      <c r="C64" s="888">
        <v>47926</v>
      </c>
      <c r="D64" s="888">
        <v>5493769</v>
      </c>
    </row>
    <row r="65" spans="2:30" hidden="1" outlineLevel="2" x14ac:dyDescent="0.2">
      <c r="B65" s="887" t="s">
        <v>144</v>
      </c>
      <c r="C65" s="888">
        <v>42115</v>
      </c>
      <c r="D65" s="888">
        <v>1087146</v>
      </c>
    </row>
    <row r="66" spans="2:30" hidden="1" outlineLevel="2" x14ac:dyDescent="0.2">
      <c r="B66" s="887" t="s">
        <v>145</v>
      </c>
      <c r="C66" s="888">
        <v>42000</v>
      </c>
      <c r="D66" s="888">
        <v>4000000</v>
      </c>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row>
    <row r="67" spans="2:30" hidden="1" outlineLevel="2" x14ac:dyDescent="0.2">
      <c r="B67" s="887" t="s">
        <v>151</v>
      </c>
      <c r="C67" s="888">
        <v>38223</v>
      </c>
      <c r="D67" s="888">
        <v>700000</v>
      </c>
    </row>
    <row r="68" spans="2:30" hidden="1" outlineLevel="2" x14ac:dyDescent="0.2">
      <c r="B68" s="887" t="s">
        <v>153</v>
      </c>
      <c r="C68" s="888">
        <v>35000</v>
      </c>
      <c r="D68" s="888">
        <v>1415511</v>
      </c>
    </row>
    <row r="69" spans="2:30" hidden="1" outlineLevel="2" x14ac:dyDescent="0.2">
      <c r="B69" s="887" t="s">
        <v>154</v>
      </c>
      <c r="C69" s="888">
        <v>33000</v>
      </c>
      <c r="D69" s="888">
        <v>1987451</v>
      </c>
    </row>
    <row r="70" spans="2:30" hidden="1" outlineLevel="2" x14ac:dyDescent="0.2">
      <c r="B70" s="887" t="s">
        <v>155</v>
      </c>
      <c r="C70" s="888">
        <v>30857</v>
      </c>
      <c r="D70" s="888">
        <v>2900000</v>
      </c>
    </row>
    <row r="71" spans="2:30" hidden="1" outlineLevel="2" x14ac:dyDescent="0.2">
      <c r="B71" s="887" t="s">
        <v>156</v>
      </c>
      <c r="C71" s="888">
        <v>26000</v>
      </c>
      <c r="D71" s="888">
        <v>293371</v>
      </c>
    </row>
    <row r="72" spans="2:30" hidden="1" outlineLevel="2" x14ac:dyDescent="0.2">
      <c r="B72" s="887" t="s">
        <v>157</v>
      </c>
      <c r="C72" s="888">
        <v>25000</v>
      </c>
      <c r="D72" s="888">
        <v>1120000</v>
      </c>
    </row>
    <row r="73" spans="2:30" hidden="1" outlineLevel="2" x14ac:dyDescent="0.2">
      <c r="B73" s="887" t="s">
        <v>158</v>
      </c>
      <c r="C73" s="888">
        <v>25000</v>
      </c>
      <c r="D73" s="888">
        <v>1813000</v>
      </c>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row>
    <row r="74" spans="2:30" ht="24" hidden="1" customHeight="1" outlineLevel="2" x14ac:dyDescent="0.2">
      <c r="B74" s="887" t="s">
        <v>159</v>
      </c>
      <c r="C74" s="888">
        <v>22143</v>
      </c>
      <c r="D74" s="888">
        <v>1320000</v>
      </c>
    </row>
    <row r="75" spans="2:30" ht="24" hidden="1" customHeight="1" outlineLevel="2" x14ac:dyDescent="0.2">
      <c r="B75" s="887" t="s">
        <v>160</v>
      </c>
      <c r="C75" s="888">
        <v>22000</v>
      </c>
      <c r="D75" s="888">
        <v>565100</v>
      </c>
    </row>
    <row r="76" spans="2:30" ht="24" hidden="1" customHeight="1" outlineLevel="2" x14ac:dyDescent="0.2">
      <c r="B76" s="887" t="s">
        <v>161</v>
      </c>
      <c r="C76" s="888">
        <v>21877</v>
      </c>
      <c r="D76" s="888">
        <v>1367254</v>
      </c>
    </row>
    <row r="77" spans="2:30" ht="24" hidden="1" customHeight="1" outlineLevel="2" x14ac:dyDescent="0.2">
      <c r="B77" s="887" t="s">
        <v>162</v>
      </c>
      <c r="C77" s="888">
        <v>20395</v>
      </c>
      <c r="D77" s="888">
        <v>1000000</v>
      </c>
    </row>
    <row r="78" spans="2:30" ht="24" hidden="1" customHeight="1" outlineLevel="2" x14ac:dyDescent="0.2">
      <c r="B78" s="889" t="s">
        <v>163</v>
      </c>
      <c r="C78" s="890">
        <v>20000</v>
      </c>
      <c r="D78" s="890">
        <v>1800000</v>
      </c>
    </row>
    <row r="79" spans="2:30" ht="24" hidden="1" customHeight="1" outlineLevel="2" x14ac:dyDescent="0.2">
      <c r="B79" s="889" t="s">
        <v>164</v>
      </c>
      <c r="C79" s="890">
        <v>20000</v>
      </c>
      <c r="D79" s="890">
        <v>1120000</v>
      </c>
    </row>
    <row r="80" spans="2:30" ht="24" hidden="1" customHeight="1" outlineLevel="2" x14ac:dyDescent="0.2">
      <c r="B80" s="889" t="s">
        <v>165</v>
      </c>
      <c r="C80" s="890">
        <v>20000</v>
      </c>
      <c r="D80" s="890">
        <v>1872000</v>
      </c>
    </row>
    <row r="81" spans="2:24" ht="24" hidden="1" customHeight="1" outlineLevel="2" x14ac:dyDescent="0.2">
      <c r="B81" s="887" t="s">
        <v>166</v>
      </c>
      <c r="C81" s="888">
        <v>20000</v>
      </c>
      <c r="D81" s="888">
        <v>1200000</v>
      </c>
      <c r="F81" s="891"/>
      <c r="G81" s="891"/>
      <c r="H81" s="891"/>
      <c r="I81" s="891"/>
      <c r="J81" s="891"/>
      <c r="K81" s="891"/>
      <c r="L81" s="891"/>
      <c r="M81" s="891"/>
      <c r="N81" s="891"/>
      <c r="O81" s="891"/>
    </row>
    <row r="82" spans="2:24" ht="24" hidden="1" customHeight="1" outlineLevel="2" x14ac:dyDescent="0.2">
      <c r="B82" s="887" t="s">
        <v>167</v>
      </c>
      <c r="C82" s="888">
        <v>18990</v>
      </c>
      <c r="D82" s="888">
        <v>402468</v>
      </c>
      <c r="F82" s="892" t="s">
        <v>168</v>
      </c>
      <c r="G82" s="891"/>
      <c r="H82" s="891"/>
      <c r="I82" s="891"/>
      <c r="J82" s="891"/>
      <c r="K82" s="891"/>
      <c r="L82" s="891"/>
      <c r="M82" s="891"/>
      <c r="N82" s="891"/>
      <c r="O82" s="891"/>
      <c r="P82" s="892" t="s">
        <v>169</v>
      </c>
      <c r="Q82" s="891"/>
      <c r="R82" s="891"/>
      <c r="S82" s="891"/>
      <c r="T82" s="891"/>
      <c r="U82" s="891"/>
      <c r="V82" s="891"/>
      <c r="W82" s="891"/>
      <c r="X82" s="891"/>
    </row>
    <row r="83" spans="2:24" ht="24" hidden="1" customHeight="1" outlineLevel="2" x14ac:dyDescent="0.2">
      <c r="B83" s="889" t="s">
        <v>170</v>
      </c>
      <c r="C83" s="890">
        <v>17000</v>
      </c>
      <c r="D83" s="893">
        <v>400489</v>
      </c>
      <c r="F83" s="891"/>
      <c r="G83" s="891"/>
      <c r="H83" s="891"/>
      <c r="I83" s="891"/>
      <c r="J83" s="891"/>
      <c r="K83" s="891"/>
      <c r="L83" s="891"/>
      <c r="M83" s="891"/>
      <c r="N83" s="891"/>
      <c r="O83" s="891"/>
      <c r="P83" s="891"/>
      <c r="Q83" s="891"/>
      <c r="R83" s="891"/>
      <c r="S83" s="891"/>
      <c r="T83" s="891"/>
      <c r="U83" s="891"/>
      <c r="V83" s="891"/>
      <c r="W83" s="891"/>
      <c r="X83" s="891"/>
    </row>
    <row r="84" spans="2:24" ht="24" hidden="1" customHeight="1" outlineLevel="2" x14ac:dyDescent="0.2">
      <c r="B84" s="887" t="s">
        <v>171</v>
      </c>
      <c r="C84" s="888">
        <v>16000</v>
      </c>
      <c r="D84" s="888">
        <v>351115</v>
      </c>
      <c r="F84" s="891" t="s">
        <v>172</v>
      </c>
      <c r="G84" s="891"/>
      <c r="H84" s="894">
        <f>$C$26</f>
        <v>21000</v>
      </c>
      <c r="I84" s="891" t="s">
        <v>173</v>
      </c>
      <c r="J84" s="891"/>
      <c r="K84" s="891"/>
      <c r="L84" s="891"/>
      <c r="M84" s="894">
        <f>202870*EXP(6*(10^(-5))*C26)</f>
        <v>715202.25714181527</v>
      </c>
      <c r="N84" s="891" t="s">
        <v>174</v>
      </c>
      <c r="O84" s="891"/>
      <c r="P84" s="891" t="s">
        <v>172</v>
      </c>
      <c r="Q84" s="891"/>
      <c r="R84" s="894">
        <f>$C$26</f>
        <v>21000</v>
      </c>
      <c r="S84" s="891" t="s">
        <v>173</v>
      </c>
      <c r="T84" s="891"/>
      <c r="U84" s="891"/>
      <c r="V84" s="891"/>
      <c r="W84" s="894">
        <f>0.0028*R84^2-47.564*R84+683350</f>
        <v>919306</v>
      </c>
      <c r="X84" s="891" t="s">
        <v>174</v>
      </c>
    </row>
    <row r="85" spans="2:24" ht="24" hidden="1" customHeight="1" outlineLevel="2" x14ac:dyDescent="0.2">
      <c r="B85" s="887" t="s">
        <v>175</v>
      </c>
      <c r="C85" s="888">
        <v>16000</v>
      </c>
      <c r="D85" s="888">
        <v>720000</v>
      </c>
      <c r="F85" s="895"/>
      <c r="G85" s="891"/>
      <c r="H85" s="891"/>
      <c r="I85" s="891"/>
      <c r="J85" s="891"/>
      <c r="K85" s="891"/>
      <c r="L85" s="891"/>
      <c r="M85" s="891"/>
      <c r="N85" s="891"/>
      <c r="O85" s="891"/>
    </row>
    <row r="86" spans="2:24" ht="24" hidden="1" customHeight="1" outlineLevel="2" x14ac:dyDescent="0.2">
      <c r="B86" s="887" t="s">
        <v>176</v>
      </c>
      <c r="C86" s="888">
        <v>15500</v>
      </c>
      <c r="D86" s="888">
        <v>1100000</v>
      </c>
      <c r="F86" s="896"/>
      <c r="H86" s="891"/>
      <c r="I86" s="891"/>
      <c r="J86" s="891"/>
      <c r="K86" s="891"/>
      <c r="L86" s="891"/>
      <c r="M86" s="891"/>
      <c r="N86" s="891"/>
      <c r="O86" s="891"/>
    </row>
    <row r="87" spans="2:24" ht="24" hidden="1" customHeight="1" outlineLevel="2" x14ac:dyDescent="0.2">
      <c r="B87" s="889" t="s">
        <v>177</v>
      </c>
      <c r="C87" s="890">
        <v>14000</v>
      </c>
      <c r="D87" s="890">
        <v>510842</v>
      </c>
    </row>
    <row r="88" spans="2:24" ht="24" hidden="1" customHeight="1" outlineLevel="2" x14ac:dyDescent="0.2">
      <c r="B88" s="887" t="s">
        <v>178</v>
      </c>
      <c r="C88" s="888">
        <v>12907</v>
      </c>
      <c r="D88" s="888">
        <v>1672000</v>
      </c>
    </row>
    <row r="89" spans="2:24" ht="24" hidden="1" customHeight="1" outlineLevel="2" x14ac:dyDescent="0.2">
      <c r="B89" s="897" t="s">
        <v>179</v>
      </c>
      <c r="C89" s="898">
        <v>12171</v>
      </c>
      <c r="D89" s="898">
        <v>470000</v>
      </c>
      <c r="U89" s="858"/>
      <c r="W89" s="858"/>
    </row>
    <row r="90" spans="2:24" ht="24" hidden="1" customHeight="1" outlineLevel="2" x14ac:dyDescent="0.2">
      <c r="B90" s="457" t="s">
        <v>180</v>
      </c>
      <c r="C90" s="859">
        <v>12000</v>
      </c>
      <c r="D90" s="859">
        <v>455000</v>
      </c>
    </row>
    <row r="91" spans="2:24" ht="24" hidden="1" customHeight="1" outlineLevel="2" x14ac:dyDescent="0.2">
      <c r="B91" s="457" t="s">
        <v>181</v>
      </c>
      <c r="C91" s="859">
        <v>11000</v>
      </c>
      <c r="D91" s="859">
        <v>400000</v>
      </c>
      <c r="V91" s="894"/>
      <c r="W91" s="891"/>
    </row>
    <row r="92" spans="2:24" ht="24" hidden="1" customHeight="1" outlineLevel="2" x14ac:dyDescent="0.2">
      <c r="B92" s="457" t="s">
        <v>182</v>
      </c>
      <c r="C92" s="859">
        <v>10000</v>
      </c>
      <c r="D92" s="859">
        <v>300000</v>
      </c>
      <c r="F92" s="891"/>
      <c r="G92" s="891"/>
      <c r="H92" s="891"/>
      <c r="I92" s="891"/>
      <c r="J92" s="891"/>
      <c r="K92" s="891"/>
      <c r="L92" s="891"/>
      <c r="M92" s="891"/>
      <c r="N92" s="891"/>
      <c r="O92" s="891"/>
    </row>
    <row r="93" spans="2:24" ht="24" hidden="1" customHeight="1" outlineLevel="2" x14ac:dyDescent="0.2">
      <c r="B93" s="457" t="s">
        <v>183</v>
      </c>
      <c r="C93" s="859">
        <v>10000</v>
      </c>
      <c r="D93" s="859">
        <v>523123</v>
      </c>
      <c r="F93" s="891"/>
      <c r="G93" s="891"/>
      <c r="H93" s="891"/>
      <c r="I93" s="891"/>
      <c r="J93" s="891"/>
      <c r="K93" s="891"/>
      <c r="L93" s="891"/>
      <c r="M93" s="891"/>
      <c r="N93" s="891"/>
      <c r="O93" s="891"/>
    </row>
    <row r="94" spans="2:24" ht="24" hidden="1" customHeight="1" outlineLevel="2" x14ac:dyDescent="0.2">
      <c r="B94" s="897" t="s">
        <v>184</v>
      </c>
      <c r="C94" s="898">
        <v>10000</v>
      </c>
      <c r="D94" s="898">
        <v>196817</v>
      </c>
      <c r="F94" s="891"/>
      <c r="G94" s="891"/>
      <c r="H94" s="891"/>
      <c r="I94" s="891"/>
      <c r="J94" s="891"/>
      <c r="K94" s="891"/>
      <c r="L94" s="891"/>
      <c r="M94" s="891"/>
      <c r="N94" s="891"/>
      <c r="O94" s="891"/>
    </row>
    <row r="95" spans="2:24" hidden="1" outlineLevel="2" x14ac:dyDescent="0.2">
      <c r="B95" s="897" t="s">
        <v>185</v>
      </c>
      <c r="C95" s="898">
        <v>10000</v>
      </c>
      <c r="D95" s="898">
        <v>314895</v>
      </c>
      <c r="F95" s="891"/>
      <c r="G95" s="891"/>
      <c r="H95" s="891"/>
      <c r="I95" s="891"/>
      <c r="J95" s="891"/>
      <c r="K95" s="891"/>
      <c r="L95" s="891"/>
      <c r="M95" s="891"/>
      <c r="N95" s="891"/>
      <c r="O95" s="891"/>
    </row>
    <row r="96" spans="2:24" hidden="1" outlineLevel="2" x14ac:dyDescent="0.2">
      <c r="B96" s="457" t="s">
        <v>186</v>
      </c>
      <c r="C96" s="859">
        <v>8000</v>
      </c>
      <c r="D96" s="859">
        <v>22295</v>
      </c>
      <c r="F96" s="891"/>
      <c r="G96" s="891"/>
      <c r="H96" s="891"/>
      <c r="I96" s="891"/>
      <c r="J96" s="891"/>
      <c r="K96" s="891"/>
      <c r="L96" s="891"/>
      <c r="M96" s="891"/>
      <c r="N96" s="891"/>
      <c r="O96" s="891"/>
    </row>
    <row r="97" spans="2:15" hidden="1" outlineLevel="2" x14ac:dyDescent="0.2">
      <c r="B97" s="897" t="s">
        <v>187</v>
      </c>
      <c r="C97" s="898">
        <v>8000</v>
      </c>
      <c r="D97" s="898">
        <v>343000</v>
      </c>
      <c r="F97" s="891"/>
      <c r="G97" s="891"/>
      <c r="H97" s="891"/>
      <c r="I97" s="891"/>
      <c r="J97" s="891"/>
      <c r="K97" s="891"/>
      <c r="L97" s="891"/>
      <c r="M97" s="891"/>
      <c r="N97" s="891"/>
      <c r="O97" s="891"/>
    </row>
    <row r="98" spans="2:15" hidden="1" outlineLevel="2" x14ac:dyDescent="0.2">
      <c r="B98" s="897" t="s">
        <v>188</v>
      </c>
      <c r="C98" s="898">
        <v>4331</v>
      </c>
      <c r="D98" s="898">
        <v>264000</v>
      </c>
      <c r="F98" s="891"/>
      <c r="G98" s="891"/>
      <c r="H98" s="891"/>
      <c r="I98" s="891"/>
      <c r="J98" s="891"/>
      <c r="K98" s="891"/>
      <c r="L98" s="891"/>
      <c r="M98" s="891"/>
      <c r="N98" s="891"/>
      <c r="O98" s="891"/>
    </row>
    <row r="99" spans="2:15" hidden="1" outlineLevel="2" x14ac:dyDescent="0.2">
      <c r="B99" s="50" t="s">
        <v>90</v>
      </c>
      <c r="C99" s="352">
        <f>AVERAGE(C61:C98)</f>
        <v>23485.13157894737</v>
      </c>
      <c r="D99" s="352">
        <f>AVERAGE(D61:D98)</f>
        <v>1697332.7894736843</v>
      </c>
    </row>
    <row r="100" spans="2:15" ht="34" hidden="1" customHeight="1" outlineLevel="1" collapsed="1" x14ac:dyDescent="0.2"/>
    <row r="101" spans="2:15" ht="18" hidden="1" outlineLevel="1" x14ac:dyDescent="0.2">
      <c r="B101" s="1597" t="s">
        <v>1910</v>
      </c>
    </row>
    <row r="102" spans="2:15" hidden="1" outlineLevel="1" x14ac:dyDescent="0.2"/>
    <row r="103" spans="2:15" hidden="1" outlineLevel="1" x14ac:dyDescent="0.2">
      <c r="B103" s="60" t="s">
        <v>124</v>
      </c>
      <c r="C103" s="60" t="s">
        <v>36</v>
      </c>
      <c r="D103" s="60" t="s">
        <v>59</v>
      </c>
      <c r="E103" s="60" t="s">
        <v>125</v>
      </c>
    </row>
    <row r="104" spans="2:15" hidden="1" outlineLevel="1" x14ac:dyDescent="0.2">
      <c r="B104" s="5" t="s">
        <v>130</v>
      </c>
      <c r="C104" s="645">
        <v>5.1999999999999998E-2</v>
      </c>
      <c r="D104" s="5" t="s">
        <v>131</v>
      </c>
      <c r="E104" s="5" t="s">
        <v>132</v>
      </c>
    </row>
    <row r="105" spans="2:15" hidden="1" outlineLevel="1" x14ac:dyDescent="0.2"/>
    <row r="106" spans="2:15" hidden="1" outlineLevel="1" x14ac:dyDescent="0.2"/>
    <row r="107" spans="2:15" hidden="1" outlineLevel="1" x14ac:dyDescent="0.2"/>
    <row r="108" spans="2:15" ht="18" hidden="1" outlineLevel="1" x14ac:dyDescent="0.2">
      <c r="B108" s="1597" t="s">
        <v>189</v>
      </c>
    </row>
    <row r="109" spans="2:15" hidden="1" outlineLevel="1" x14ac:dyDescent="0.2"/>
    <row r="110" spans="2:15" hidden="1" outlineLevel="1" x14ac:dyDescent="0.2">
      <c r="B110" s="558" t="s">
        <v>190</v>
      </c>
    </row>
    <row r="111" spans="2:15" hidden="1" outlineLevel="1" x14ac:dyDescent="0.2"/>
    <row r="112" spans="2:15" ht="34" hidden="1" outlineLevel="1" x14ac:dyDescent="0.2">
      <c r="B112" s="74" t="s">
        <v>191</v>
      </c>
      <c r="C112" s="74" t="s">
        <v>1466</v>
      </c>
      <c r="D112" s="60" t="s">
        <v>1465</v>
      </c>
      <c r="E112" s="74" t="s">
        <v>2419</v>
      </c>
      <c r="F112" s="60" t="s">
        <v>192</v>
      </c>
      <c r="G112" s="74" t="s">
        <v>193</v>
      </c>
      <c r="H112" s="74" t="s">
        <v>194</v>
      </c>
    </row>
    <row r="113" spans="2:8" hidden="1" outlineLevel="1" x14ac:dyDescent="0.2">
      <c r="B113" s="5" t="s">
        <v>195</v>
      </c>
      <c r="C113" s="917">
        <f>'6'!C35</f>
        <v>919306</v>
      </c>
      <c r="D113" s="457">
        <f>C113/$C$26</f>
        <v>43.776476190476188</v>
      </c>
      <c r="E113" s="918">
        <f>'6'!F47</f>
        <v>68766934.270952374</v>
      </c>
      <c r="F113" s="919">
        <f>C113/$C$118</f>
        <v>0.75098746637983971</v>
      </c>
      <c r="G113" s="920">
        <f>H35/1000</f>
        <v>47.803911999999997</v>
      </c>
      <c r="H113" s="919">
        <f>G113/$G$118</f>
        <v>0.40740678929681773</v>
      </c>
    </row>
    <row r="114" spans="2:8" hidden="1" outlineLevel="1" x14ac:dyDescent="0.2">
      <c r="B114" s="5" t="s">
        <v>197</v>
      </c>
      <c r="C114" s="917">
        <f>'1'!C38</f>
        <v>27225.321897305057</v>
      </c>
      <c r="D114" s="457">
        <f>C114/$C$26</f>
        <v>1.2964438998716694</v>
      </c>
      <c r="E114" s="918">
        <f>'1'!F54</f>
        <v>2036538.3467719101</v>
      </c>
      <c r="F114" s="919">
        <f>C114/$C$118</f>
        <v>2.2240554845756141E-2</v>
      </c>
      <c r="G114" s="920">
        <f>'1'!G38/1000</f>
        <v>8.8210042947268388</v>
      </c>
      <c r="H114" s="919">
        <f>G114/$G$118</f>
        <v>7.5176630692653401E-2</v>
      </c>
    </row>
    <row r="115" spans="2:8" hidden="1" outlineLevel="1" x14ac:dyDescent="0.2">
      <c r="B115" s="5" t="s">
        <v>78</v>
      </c>
      <c r="C115" s="917">
        <f>'1'!C39</f>
        <v>28800</v>
      </c>
      <c r="D115" s="457">
        <f>C115/$C$26</f>
        <v>1.3714285714285714</v>
      </c>
      <c r="E115" s="918">
        <f>'1'!F55</f>
        <v>2154329.1428571427</v>
      </c>
      <c r="F115" s="919">
        <f>C115/$C$118</f>
        <v>2.3526920341800643E-2</v>
      </c>
      <c r="G115" s="920">
        <f>'1'!G39/1000</f>
        <v>9.3312000000000008</v>
      </c>
      <c r="H115" s="919">
        <f>G115/$G$118</f>
        <v>7.9524751704138072E-2</v>
      </c>
    </row>
    <row r="116" spans="2:8" hidden="1" outlineLevel="1" x14ac:dyDescent="0.2">
      <c r="B116" s="5" t="s">
        <v>196</v>
      </c>
      <c r="C116" s="917">
        <f>'1'!C37</f>
        <v>204482.84802966111</v>
      </c>
      <c r="D116" s="457">
        <f t="shared" ref="D116:D117" si="0">C116/$C$26</f>
        <v>9.73727847760291</v>
      </c>
      <c r="E116" s="918">
        <f>'1'!F53</f>
        <v>15295949.955719694</v>
      </c>
      <c r="F116" s="919">
        <f>C116/$C$118</f>
        <v>0.16704346100202652</v>
      </c>
      <c r="G116" s="920">
        <f>'1'!G37/1000</f>
        <v>46.417606502733072</v>
      </c>
      <c r="H116" s="919">
        <f>G116/$G$118</f>
        <v>0.39559206016699161</v>
      </c>
    </row>
    <row r="117" spans="2:8" hidden="1" outlineLevel="1" x14ac:dyDescent="0.2">
      <c r="B117" s="5" t="s">
        <v>46</v>
      </c>
      <c r="C117" s="917">
        <f>'7'!C35</f>
        <v>44315.447617179467</v>
      </c>
      <c r="D117" s="457">
        <f t="shared" si="0"/>
        <v>2.1102594103418792</v>
      </c>
      <c r="E117" s="918">
        <f>'7'!F47</f>
        <v>3314932.6486266963</v>
      </c>
      <c r="F117" s="919">
        <f>C117/$C$118</f>
        <v>3.6201597430577097E-2</v>
      </c>
      <c r="G117" s="921">
        <f>'7'!G35/1000</f>
        <v>4.9633301331241002</v>
      </c>
      <c r="H117" s="919">
        <f>G117/$G$118</f>
        <v>4.229976813939907E-2</v>
      </c>
    </row>
    <row r="118" spans="2:8" hidden="1" outlineLevel="1" x14ac:dyDescent="0.2">
      <c r="B118" s="922" t="s">
        <v>198</v>
      </c>
      <c r="C118" s="923">
        <f t="shared" ref="C118:H118" si="1">SUM(C113:C117)</f>
        <v>1224129.6175441456</v>
      </c>
      <c r="D118" s="924">
        <f t="shared" si="1"/>
        <v>58.291886549721227</v>
      </c>
      <c r="E118" s="924">
        <f t="shared" si="1"/>
        <v>91568684.364927828</v>
      </c>
      <c r="F118" s="925">
        <f t="shared" si="1"/>
        <v>1</v>
      </c>
      <c r="G118" s="926">
        <f t="shared" si="1"/>
        <v>117.33705293058402</v>
      </c>
      <c r="H118" s="925">
        <f t="shared" si="1"/>
        <v>0.99999999999999978</v>
      </c>
    </row>
    <row r="119" spans="2:8" hidden="1" outlineLevel="1" x14ac:dyDescent="0.2"/>
    <row r="120" spans="2:8" hidden="1" outlineLevel="1" x14ac:dyDescent="0.2"/>
    <row r="121" spans="2:8" hidden="1" outlineLevel="1" x14ac:dyDescent="0.2"/>
    <row r="122" spans="2:8" hidden="1" outlineLevel="1" x14ac:dyDescent="0.2"/>
    <row r="123" spans="2:8" hidden="1" outlineLevel="1" x14ac:dyDescent="0.2">
      <c r="F123" s="656"/>
    </row>
    <row r="124" spans="2:8" hidden="1" outlineLevel="1" x14ac:dyDescent="0.2"/>
    <row r="125" spans="2:8" hidden="1" outlineLevel="1" x14ac:dyDescent="0.2"/>
    <row r="126" spans="2:8" hidden="1" outlineLevel="1" x14ac:dyDescent="0.2"/>
    <row r="127" spans="2:8" hidden="1" outlineLevel="1" x14ac:dyDescent="0.2"/>
    <row r="128" spans="2:8" hidden="1" outlineLevel="1" x14ac:dyDescent="0.2"/>
    <row r="129" spans="2:5" hidden="1" outlineLevel="1" x14ac:dyDescent="0.2"/>
    <row r="130" spans="2:5" hidden="1" outlineLevel="1" x14ac:dyDescent="0.2"/>
    <row r="131" spans="2:5" hidden="1" outlineLevel="1" x14ac:dyDescent="0.2"/>
    <row r="132" spans="2:5" hidden="1" outlineLevel="1" x14ac:dyDescent="0.2"/>
    <row r="133" spans="2:5" hidden="1" outlineLevel="1" x14ac:dyDescent="0.2"/>
    <row r="134" spans="2:5" hidden="1" outlineLevel="1" x14ac:dyDescent="0.2">
      <c r="B134" s="2" t="s">
        <v>199</v>
      </c>
      <c r="E134" s="2" t="s">
        <v>200</v>
      </c>
    </row>
    <row r="135" spans="2:5" hidden="1" outlineLevel="1" x14ac:dyDescent="0.2"/>
    <row r="136" spans="2:5" hidden="1" outlineLevel="1" x14ac:dyDescent="0.2">
      <c r="B136" s="899" t="s">
        <v>201</v>
      </c>
    </row>
    <row r="137" spans="2:5" ht="17" hidden="1" outlineLevel="1" thickBot="1" x14ac:dyDescent="0.25">
      <c r="B137" s="899"/>
    </row>
    <row r="138" spans="2:5" ht="34" hidden="1" outlineLevel="1" x14ac:dyDescent="0.2">
      <c r="B138" s="900" t="s">
        <v>202</v>
      </c>
      <c r="C138" s="901">
        <f>(C35*20%)/$C$27</f>
        <v>10214.511111111111</v>
      </c>
      <c r="D138" s="902" t="s">
        <v>203</v>
      </c>
      <c r="E138" s="802"/>
    </row>
    <row r="139" spans="2:5" ht="34" hidden="1" outlineLevel="1" x14ac:dyDescent="0.2">
      <c r="B139" s="903" t="s">
        <v>204</v>
      </c>
      <c r="C139" s="5">
        <v>2223</v>
      </c>
      <c r="D139" s="5" t="s">
        <v>205</v>
      </c>
      <c r="E139" s="904" t="s">
        <v>206</v>
      </c>
    </row>
    <row r="140" spans="2:5" ht="69" hidden="1" outlineLevel="1" thickBot="1" x14ac:dyDescent="0.25">
      <c r="B140" s="905" t="s">
        <v>207</v>
      </c>
      <c r="C140" s="906">
        <f>C138/C139</f>
        <v>4.5949217773779178</v>
      </c>
      <c r="D140" s="907" t="s">
        <v>208</v>
      </c>
      <c r="E140" s="908"/>
    </row>
    <row r="141" spans="2:5" hidden="1" outlineLevel="1" x14ac:dyDescent="0.2">
      <c r="C141" s="286"/>
    </row>
    <row r="142" spans="2:5" hidden="1" outlineLevel="1" x14ac:dyDescent="0.2"/>
    <row r="143" spans="2:5" hidden="1" outlineLevel="1" x14ac:dyDescent="0.2">
      <c r="B143" s="558" t="s">
        <v>209</v>
      </c>
    </row>
    <row r="144" spans="2:5" hidden="1" outlineLevel="1" x14ac:dyDescent="0.2"/>
    <row r="145" spans="2:2" hidden="1" outlineLevel="1" x14ac:dyDescent="0.2">
      <c r="B145" s="2" t="s">
        <v>210</v>
      </c>
    </row>
    <row r="146" spans="2:2" hidden="1" outlineLevel="1" x14ac:dyDescent="0.2">
      <c r="B146" s="2" t="s">
        <v>211</v>
      </c>
    </row>
    <row r="147" spans="2:2" hidden="1" outlineLevel="1" x14ac:dyDescent="0.2"/>
    <row r="148" spans="2:2" hidden="1" outlineLevel="1" x14ac:dyDescent="0.2"/>
    <row r="149" spans="2:2" hidden="1" outlineLevel="1" x14ac:dyDescent="0.2"/>
    <row r="150" spans="2:2" hidden="1" outlineLevel="1" x14ac:dyDescent="0.2"/>
    <row r="151" spans="2:2" hidden="1" outlineLevel="1" x14ac:dyDescent="0.2"/>
    <row r="152" spans="2:2" hidden="1" outlineLevel="1" x14ac:dyDescent="0.2"/>
    <row r="153" spans="2:2" hidden="1" outlineLevel="1" x14ac:dyDescent="0.2"/>
    <row r="154" spans="2:2" hidden="1" outlineLevel="1" x14ac:dyDescent="0.2"/>
    <row r="155" spans="2:2" hidden="1" outlineLevel="1" x14ac:dyDescent="0.2"/>
    <row r="156" spans="2:2" hidden="1" outlineLevel="1" x14ac:dyDescent="0.2"/>
    <row r="157" spans="2:2" hidden="1" outlineLevel="1" x14ac:dyDescent="0.2"/>
    <row r="158" spans="2:2" hidden="1" outlineLevel="1" x14ac:dyDescent="0.2"/>
    <row r="159" spans="2:2" hidden="1" outlineLevel="1" x14ac:dyDescent="0.2"/>
    <row r="160" spans="2:2" hidden="1" outlineLevel="1" x14ac:dyDescent="0.2"/>
    <row r="161" hidden="1" outlineLevel="1" x14ac:dyDescent="0.2"/>
    <row r="162" hidden="1" outlineLevel="1" x14ac:dyDescent="0.2"/>
    <row r="163" hidden="1" outlineLevel="1" x14ac:dyDescent="0.2"/>
    <row r="164" hidden="1" outlineLevel="1" x14ac:dyDescent="0.2"/>
    <row r="165" hidden="1" outlineLevel="1" x14ac:dyDescent="0.2"/>
    <row r="166" hidden="1" outlineLevel="1" x14ac:dyDescent="0.2"/>
    <row r="167" hidden="1" outlineLevel="1" x14ac:dyDescent="0.2"/>
    <row r="168" hidden="1" outlineLevel="1" x14ac:dyDescent="0.2"/>
    <row r="169" hidden="1" outlineLevel="1" x14ac:dyDescent="0.2"/>
    <row r="170" hidden="1" outlineLevel="1" x14ac:dyDescent="0.2"/>
    <row r="171" hidden="1" outlineLevel="1" x14ac:dyDescent="0.2"/>
    <row r="172" hidden="1" outlineLevel="1" x14ac:dyDescent="0.2"/>
    <row r="173" hidden="1" outlineLevel="1" x14ac:dyDescent="0.2"/>
    <row r="174" hidden="1" outlineLevel="1" x14ac:dyDescent="0.2"/>
    <row r="175" hidden="1" outlineLevel="1" x14ac:dyDescent="0.2"/>
    <row r="176" hidden="1" outlineLevel="1" x14ac:dyDescent="0.2"/>
    <row r="177" collapsed="1" x14ac:dyDescent="0.2"/>
  </sheetData>
  <sortState xmlns:xlrd2="http://schemas.microsoft.com/office/spreadsheetml/2017/richdata2" ref="B115:E115">
    <sortCondition ref="E115"/>
  </sortState>
  <mergeCells count="17">
    <mergeCell ref="C17:L17"/>
    <mergeCell ref="C18:L18"/>
    <mergeCell ref="C19:L19"/>
    <mergeCell ref="F46:G46"/>
    <mergeCell ref="F48:G48"/>
    <mergeCell ref="B48:E48"/>
    <mergeCell ref="B46:E46"/>
    <mergeCell ref="B12:L12"/>
    <mergeCell ref="C13:L13"/>
    <mergeCell ref="C14:L14"/>
    <mergeCell ref="C15:L15"/>
    <mergeCell ref="C16:L16"/>
    <mergeCell ref="B2:C2"/>
    <mergeCell ref="B4:D4"/>
    <mergeCell ref="C6:D6"/>
    <mergeCell ref="C7:D7"/>
    <mergeCell ref="C9:D9"/>
  </mergeCells>
  <conditionalFormatting sqref="C7">
    <cfRule type="containsText" dxfId="190" priority="1" operator="containsText" text="Calcul brouillon, odg">
      <formula>NOT(ISERROR(SEARCH("Calcul brouillon, odg",C7)))</formula>
    </cfRule>
    <cfRule type="containsText" dxfId="189" priority="2" operator="containsText" text="Pas ok">
      <formula>NOT(ISERROR(SEARCH("Pas ok",C7)))</formula>
    </cfRule>
    <cfRule type="containsText" dxfId="188" priority="3" operator="containsText" text="Calcul brouillon, ordre de grandeur">
      <formula>NOT(ISERROR(SEARCH("Calcul brouillon, ordre de grandeur",C7)))</formula>
    </cfRule>
    <cfRule type="containsText" dxfId="187" priority="4" operator="containsText" text="Bon ordre de grandeur">
      <formula>NOT(ISERROR(SEARCH("Bon ordre de grandeur",C7)))</formula>
    </cfRule>
    <cfRule type="containsText" dxfId="186" priority="5" operator="containsText" text="Calcul validé">
      <formula>NOT(ISERROR(SEARCH("Calcul validé",C7)))</formula>
    </cfRule>
    <cfRule type="containsText" dxfId="185" priority="6" operator="containsText" text="Pas ok">
      <formula>NOT(ISERROR(SEARCH("Pas ok",C7)))</formula>
    </cfRule>
    <cfRule type="containsText" dxfId="184" priority="7" operator="containsText" text="Calcul brouillon, ordre de grandeur">
      <formula>NOT(ISERROR(SEARCH("Calcul brouillon, ordre de grandeur",C7)))</formula>
    </cfRule>
    <cfRule type="containsText" dxfId="183" priority="8" operator="containsText" text="Bon ordre de grandeur">
      <formula>NOT(ISERROR(SEARCH("Bon ordre de grandeur",C7)))</formula>
    </cfRule>
    <cfRule type="containsText" dxfId="182" priority="9" operator="containsText" text="Calcul validé">
      <formula>NOT(ISERROR(SEARCH("Calcul validé",C7)))</formula>
    </cfRule>
  </conditionalFormatting>
  <pageMargins left="0.7" right="0.7" top="0.75" bottom="0.75" header="0.3" footer="0.3"/>
  <pageSetup paperSize="9" orientation="portrait"/>
  <ignoredErrors>
    <ignoredError sqref="D47" formula="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outlinePr summaryBelow="0" summaryRight="0"/>
  </sheetPr>
  <dimension ref="B2:AE174"/>
  <sheetViews>
    <sheetView zoomScale="63" workbookViewId="0">
      <selection activeCell="G35" sqref="G35"/>
    </sheetView>
  </sheetViews>
  <sheetFormatPr baseColWidth="10" defaultColWidth="9.5703125" defaultRowHeight="15" customHeight="1" outlineLevelRow="1" x14ac:dyDescent="0.2"/>
  <cols>
    <col min="1" max="1" width="11.42578125" style="55" customWidth="1"/>
    <col min="2" max="2" width="32" style="55" customWidth="1"/>
    <col min="3" max="8" width="18.85546875" style="55" customWidth="1"/>
    <col min="9" max="9" width="48.28515625" style="55" customWidth="1"/>
    <col min="10" max="10" width="12.42578125" style="55" customWidth="1"/>
    <col min="11" max="11" width="11.7109375" style="55" customWidth="1"/>
    <col min="12" max="12" width="25.28515625" style="55" customWidth="1"/>
    <col min="13" max="13" width="13.42578125" style="55" customWidth="1"/>
    <col min="14" max="14" width="14.7109375" style="55" customWidth="1"/>
    <col min="15" max="15" width="19" style="55" customWidth="1"/>
    <col min="16" max="16" width="15.7109375" style="55" customWidth="1"/>
    <col min="17" max="17" width="23.140625" style="55" customWidth="1"/>
    <col min="18" max="18" width="16.5703125" style="55" customWidth="1"/>
    <col min="19" max="19" width="15.5703125" style="55" customWidth="1"/>
    <col min="20" max="20" width="11.85546875" style="55" customWidth="1"/>
    <col min="21" max="21" width="9.5703125" style="55"/>
    <col min="22" max="22" width="27.5703125" style="55" customWidth="1"/>
    <col min="23" max="23" width="9.5703125" style="55"/>
    <col min="24" max="24" width="12" style="55" customWidth="1"/>
    <col min="25" max="28" width="9.5703125" style="55"/>
    <col min="29" max="29" width="9.7109375" style="55" customWidth="1"/>
    <col min="30" max="30" width="11" style="55" customWidth="1"/>
    <col min="31" max="31" width="26.140625" style="55" customWidth="1"/>
    <col min="32" max="35" width="9.7109375" style="55" customWidth="1"/>
    <col min="36" max="16384" width="9.5703125" style="55"/>
  </cols>
  <sheetData>
    <row r="2" spans="2:14" ht="24" customHeight="1" x14ac:dyDescent="0.2">
      <c r="B2" s="2559" t="s">
        <v>212</v>
      </c>
      <c r="C2" s="2560"/>
      <c r="D2" s="2560"/>
      <c r="E2" s="2560"/>
      <c r="F2" s="2561"/>
    </row>
    <row r="3" spans="2:14" ht="20" customHeight="1" thickBot="1" x14ac:dyDescent="0.25"/>
    <row r="4" spans="2:14" ht="23" customHeight="1" thickBot="1" x14ac:dyDescent="0.25">
      <c r="B4" s="2607" t="s">
        <v>17</v>
      </c>
      <c r="C4" s="2608"/>
      <c r="D4" s="2609"/>
      <c r="F4"/>
      <c r="G4"/>
      <c r="H4"/>
      <c r="I4"/>
      <c r="J4"/>
      <c r="K4"/>
      <c r="L4"/>
      <c r="M4"/>
      <c r="N4"/>
    </row>
    <row r="5" spans="2:14" ht="19" customHeight="1" x14ac:dyDescent="0.2">
      <c r="B5" s="56" t="s">
        <v>18</v>
      </c>
      <c r="C5" s="857">
        <f>C51</f>
        <v>371.27245664618999</v>
      </c>
      <c r="D5" s="57" t="s">
        <v>19</v>
      </c>
      <c r="F5"/>
      <c r="G5"/>
      <c r="H5"/>
      <c r="I5"/>
      <c r="J5"/>
      <c r="K5"/>
      <c r="L5"/>
      <c r="M5"/>
      <c r="N5"/>
    </row>
    <row r="6" spans="2:14" ht="19" customHeight="1" x14ac:dyDescent="0.2">
      <c r="B6" s="59" t="s">
        <v>20</v>
      </c>
      <c r="C6" s="2565" t="str">
        <f>C9</f>
        <v>vFinale</v>
      </c>
      <c r="D6" s="2566"/>
      <c r="F6"/>
      <c r="G6"/>
      <c r="H6"/>
      <c r="I6"/>
      <c r="J6"/>
      <c r="K6"/>
      <c r="L6"/>
      <c r="M6"/>
      <c r="N6"/>
    </row>
    <row r="7" spans="2:14" ht="19" customHeight="1" thickBot="1" x14ac:dyDescent="0.25">
      <c r="B7" s="61" t="s">
        <v>21</v>
      </c>
      <c r="C7" s="2567"/>
      <c r="D7" s="2568"/>
      <c r="F7"/>
      <c r="G7"/>
      <c r="H7"/>
      <c r="I7"/>
      <c r="J7"/>
      <c r="K7"/>
      <c r="L7"/>
      <c r="M7"/>
      <c r="N7"/>
    </row>
    <row r="8" spans="2:14" ht="19" customHeight="1" thickBot="1" x14ac:dyDescent="0.25"/>
    <row r="9" spans="2:14" ht="21" customHeight="1" x14ac:dyDescent="0.2">
      <c r="B9" s="979" t="s">
        <v>22</v>
      </c>
      <c r="C9" s="2610" t="s">
        <v>1602</v>
      </c>
      <c r="D9" s="2611"/>
      <c r="E9" s="62"/>
      <c r="F9" s="62"/>
      <c r="G9" s="62"/>
      <c r="H9" s="62"/>
      <c r="I9" s="62"/>
      <c r="J9" s="62"/>
      <c r="K9" s="62"/>
      <c r="L9" s="62"/>
      <c r="M9" s="62"/>
      <c r="N9" s="63"/>
    </row>
    <row r="10" spans="2:14" ht="21" customHeight="1" thickBot="1" x14ac:dyDescent="0.25">
      <c r="B10" s="980" t="s">
        <v>1905</v>
      </c>
      <c r="C10" s="976">
        <f>C5/'ANNEXE A'!$C$248</f>
        <v>0.2549948191251305</v>
      </c>
      <c r="D10" s="977" t="s">
        <v>24</v>
      </c>
      <c r="E10" s="64"/>
      <c r="F10" s="64"/>
      <c r="G10" s="64"/>
      <c r="H10" s="64"/>
      <c r="I10" s="64"/>
      <c r="J10" s="64"/>
      <c r="K10" s="64"/>
      <c r="L10" s="64"/>
      <c r="M10" s="64"/>
      <c r="N10" s="65"/>
    </row>
    <row r="11" spans="2:14" ht="21" customHeight="1" thickBot="1" x14ac:dyDescent="0.25">
      <c r="B11" s="66"/>
      <c r="C11" s="67"/>
      <c r="D11" s="67"/>
      <c r="E11" s="67"/>
      <c r="F11" s="67"/>
      <c r="G11" s="67"/>
      <c r="H11" s="67"/>
      <c r="I11" s="67"/>
      <c r="J11" s="67"/>
      <c r="K11" s="67"/>
      <c r="L11" s="67"/>
      <c r="M11" s="67"/>
      <c r="N11" s="68"/>
    </row>
    <row r="12" spans="2:14" ht="31" customHeight="1" x14ac:dyDescent="0.2">
      <c r="B12" s="2571" t="s">
        <v>25</v>
      </c>
      <c r="C12" s="2572"/>
      <c r="D12" s="2572"/>
      <c r="E12" s="2572"/>
      <c r="F12" s="2572"/>
      <c r="G12" s="2572"/>
      <c r="H12" s="2572"/>
      <c r="I12" s="2572"/>
      <c r="J12" s="2572"/>
      <c r="K12" s="2572"/>
      <c r="L12" s="2572"/>
      <c r="M12" s="2572"/>
      <c r="N12" s="2573"/>
    </row>
    <row r="13" spans="2:14" ht="42" customHeight="1" x14ac:dyDescent="0.2">
      <c r="B13" s="69" t="s">
        <v>26</v>
      </c>
      <c r="C13" s="2574" t="s">
        <v>1908</v>
      </c>
      <c r="D13" s="2575"/>
      <c r="E13" s="2575"/>
      <c r="F13" s="2575"/>
      <c r="G13" s="2575"/>
      <c r="H13" s="2575"/>
      <c r="I13" s="2575"/>
      <c r="J13" s="2575"/>
      <c r="K13" s="2575"/>
      <c r="L13" s="2575"/>
      <c r="M13" s="2575"/>
      <c r="N13" s="2576"/>
    </row>
    <row r="14" spans="2:14" ht="39" customHeight="1" x14ac:dyDescent="0.2">
      <c r="B14" s="70" t="s">
        <v>27</v>
      </c>
      <c r="C14" s="2577" t="s">
        <v>1957</v>
      </c>
      <c r="D14" s="2578"/>
      <c r="E14" s="2578"/>
      <c r="F14" s="2578"/>
      <c r="G14" s="2578"/>
      <c r="H14" s="2578"/>
      <c r="I14" s="2578"/>
      <c r="J14" s="2578"/>
      <c r="K14" s="2578"/>
      <c r="L14" s="2578"/>
      <c r="M14" s="2578"/>
      <c r="N14" s="2579"/>
    </row>
    <row r="15" spans="2:14" ht="67" customHeight="1" x14ac:dyDescent="0.2">
      <c r="B15" s="70" t="s">
        <v>28</v>
      </c>
      <c r="C15" s="2577" t="s">
        <v>1603</v>
      </c>
      <c r="D15" s="2578"/>
      <c r="E15" s="2578"/>
      <c r="F15" s="2578"/>
      <c r="G15" s="2578"/>
      <c r="H15" s="2578"/>
      <c r="I15" s="2578"/>
      <c r="J15" s="2578"/>
      <c r="K15" s="2578"/>
      <c r="L15" s="2578"/>
      <c r="M15" s="2578"/>
      <c r="N15" s="2579"/>
    </row>
    <row r="16" spans="2:14" ht="31" customHeight="1" x14ac:dyDescent="0.2">
      <c r="B16" s="70" t="s">
        <v>29</v>
      </c>
      <c r="C16" s="2577" t="s">
        <v>1971</v>
      </c>
      <c r="D16" s="2578"/>
      <c r="E16" s="2578"/>
      <c r="F16" s="2578"/>
      <c r="G16" s="2578"/>
      <c r="H16" s="2578"/>
      <c r="I16" s="2578"/>
      <c r="J16" s="2578"/>
      <c r="K16" s="2578"/>
      <c r="L16" s="2578"/>
      <c r="M16" s="2578"/>
      <c r="N16" s="2579"/>
    </row>
    <row r="17" spans="2:31" ht="44" customHeight="1" x14ac:dyDescent="0.2">
      <c r="B17" s="70" t="s">
        <v>30</v>
      </c>
      <c r="C17" s="2577" t="s">
        <v>213</v>
      </c>
      <c r="D17" s="2578"/>
      <c r="E17" s="2578"/>
      <c r="F17" s="2578"/>
      <c r="G17" s="2578"/>
      <c r="H17" s="2578"/>
      <c r="I17" s="2578"/>
      <c r="J17" s="2578"/>
      <c r="K17" s="2578"/>
      <c r="L17" s="2578"/>
      <c r="M17" s="2578"/>
      <c r="N17" s="2579"/>
    </row>
    <row r="18" spans="2:31" ht="34" customHeight="1" x14ac:dyDescent="0.2">
      <c r="B18" s="70" t="s">
        <v>31</v>
      </c>
      <c r="C18" s="2600" t="s">
        <v>32</v>
      </c>
      <c r="D18" s="2578"/>
      <c r="E18" s="2578"/>
      <c r="F18" s="2578"/>
      <c r="G18" s="2578"/>
      <c r="H18" s="2578"/>
      <c r="I18" s="2578"/>
      <c r="J18" s="2578"/>
      <c r="K18" s="2578"/>
      <c r="L18" s="2578"/>
      <c r="M18" s="2578"/>
      <c r="N18" s="2579"/>
    </row>
    <row r="19" spans="2:31" ht="34" customHeight="1" x14ac:dyDescent="0.2">
      <c r="B19" s="71" t="s">
        <v>33</v>
      </c>
      <c r="C19" s="2580" t="s">
        <v>34</v>
      </c>
      <c r="D19" s="2581"/>
      <c r="E19" s="2581"/>
      <c r="F19" s="2581"/>
      <c r="G19" s="2581"/>
      <c r="H19" s="2581"/>
      <c r="I19" s="2581"/>
      <c r="J19" s="2581"/>
      <c r="K19" s="2581"/>
      <c r="L19" s="2581"/>
      <c r="M19" s="2581"/>
      <c r="N19" s="2582"/>
    </row>
    <row r="20" spans="2:31" ht="21" customHeight="1" x14ac:dyDescent="0.2"/>
    <row r="21" spans="2:31" ht="23" customHeight="1" x14ac:dyDescent="0.2">
      <c r="B21" s="433" t="s">
        <v>1353</v>
      </c>
    </row>
    <row r="22" spans="2:31" ht="23" customHeight="1" x14ac:dyDescent="0.2">
      <c r="B22"/>
    </row>
    <row r="23" spans="2:31" ht="23" customHeight="1" x14ac:dyDescent="0.2">
      <c r="B23" s="430" t="s">
        <v>1895</v>
      </c>
    </row>
    <row r="24" spans="2:31" ht="18" customHeight="1" x14ac:dyDescent="0.2">
      <c r="B24" s="55" t="s">
        <v>1896</v>
      </c>
      <c r="D24"/>
      <c r="E24"/>
    </row>
    <row r="25" spans="2:31" ht="23" customHeight="1" x14ac:dyDescent="0.2">
      <c r="D25"/>
      <c r="E25"/>
    </row>
    <row r="26" spans="2:31" ht="34" customHeight="1" x14ac:dyDescent="0.2">
      <c r="B26" s="76" t="s">
        <v>1891</v>
      </c>
      <c r="C26" s="91">
        <f>'ANNEXE A'!$C$240</f>
        <v>21000</v>
      </c>
      <c r="D26"/>
      <c r="E26"/>
    </row>
    <row r="27" spans="2:31" ht="36" customHeight="1" x14ac:dyDescent="0.2">
      <c r="B27" s="76" t="s">
        <v>40</v>
      </c>
      <c r="C27" s="789">
        <f>'ANNEXE A'!$C$238</f>
        <v>18</v>
      </c>
      <c r="D27"/>
      <c r="E27"/>
    </row>
    <row r="28" spans="2:31" ht="30" customHeight="1" x14ac:dyDescent="0.2">
      <c r="AE28" s="85"/>
    </row>
    <row r="29" spans="2:31" ht="26" customHeight="1" x14ac:dyDescent="0.2">
      <c r="B29" s="318" t="s">
        <v>1907</v>
      </c>
    </row>
    <row r="30" spans="2:31" ht="26" customHeight="1" x14ac:dyDescent="0.2">
      <c r="B30" s="318"/>
    </row>
    <row r="31" spans="2:31" ht="24" customHeight="1" x14ac:dyDescent="0.2">
      <c r="B31" s="118" t="s">
        <v>1365</v>
      </c>
    </row>
    <row r="32" spans="2:31" ht="26" customHeight="1" x14ac:dyDescent="0.2">
      <c r="B32" s="86" t="s">
        <v>1908</v>
      </c>
    </row>
    <row r="33" spans="2:10" ht="26" customHeight="1" x14ac:dyDescent="0.2"/>
    <row r="34" spans="2:10" ht="39" customHeight="1" x14ac:dyDescent="0.2">
      <c r="B34" s="79" t="s">
        <v>57</v>
      </c>
      <c r="C34" s="79" t="s">
        <v>58</v>
      </c>
      <c r="D34" s="79" t="s">
        <v>59</v>
      </c>
      <c r="E34" s="79" t="s">
        <v>60</v>
      </c>
      <c r="F34" s="79" t="s">
        <v>59</v>
      </c>
      <c r="G34" s="79" t="s">
        <v>61</v>
      </c>
      <c r="H34" s="79" t="s">
        <v>62</v>
      </c>
      <c r="I34" s="971" t="s">
        <v>37</v>
      </c>
    </row>
    <row r="35" spans="2:10" ht="29" customHeight="1" x14ac:dyDescent="0.2">
      <c r="B35" s="89" t="s">
        <v>46</v>
      </c>
      <c r="C35" s="78">
        <f>M98*C26</f>
        <v>44315.447617179467</v>
      </c>
      <c r="D35" s="77" t="s">
        <v>65</v>
      </c>
      <c r="E35" s="90">
        <f>C132</f>
        <v>0.112</v>
      </c>
      <c r="F35" s="487" t="s">
        <v>66</v>
      </c>
      <c r="G35" s="91">
        <f>C35*E35</f>
        <v>4963.3301331241</v>
      </c>
      <c r="H35" s="81" t="s">
        <v>67</v>
      </c>
      <c r="I35" s="92"/>
      <c r="J35" s="93"/>
    </row>
    <row r="36" spans="2:10" ht="37" customHeight="1" x14ac:dyDescent="0.2">
      <c r="F36" s="1595" t="s">
        <v>198</v>
      </c>
      <c r="G36" s="1596">
        <f>G35/1000</f>
        <v>4.9633301331241002</v>
      </c>
      <c r="H36" s="1594" t="s">
        <v>71</v>
      </c>
      <c r="I36" s="345"/>
    </row>
    <row r="37" spans="2:10" ht="26" customHeight="1" x14ac:dyDescent="0.2"/>
    <row r="38" spans="2:10" ht="26" customHeight="1" x14ac:dyDescent="0.2">
      <c r="B38" s="318" t="s">
        <v>1866</v>
      </c>
    </row>
    <row r="39" spans="2:10" ht="26" customHeight="1" x14ac:dyDescent="0.2">
      <c r="B39" s="118"/>
      <c r="C39" s="1"/>
      <c r="D39" s="1"/>
      <c r="E39" s="2"/>
      <c r="F39" s="2"/>
      <c r="G39" s="2"/>
      <c r="H39" s="2"/>
      <c r="I39" s="2"/>
    </row>
    <row r="40" spans="2:10" ht="26" customHeight="1" x14ac:dyDescent="0.2">
      <c r="B40" s="430" t="s">
        <v>1895</v>
      </c>
      <c r="C40" s="1"/>
      <c r="D40" s="1"/>
      <c r="E40" s="2"/>
      <c r="F40" s="2"/>
      <c r="G40" s="2"/>
      <c r="H40" s="2"/>
      <c r="I40" s="2"/>
    </row>
    <row r="41" spans="2:10" ht="26" customHeight="1" x14ac:dyDescent="0.2">
      <c r="B41" s="55" t="s">
        <v>1902</v>
      </c>
      <c r="C41" s="1"/>
      <c r="D41" s="1"/>
      <c r="E41" s="2"/>
      <c r="F41" s="2"/>
      <c r="G41" s="2"/>
      <c r="H41" s="2"/>
      <c r="I41" s="2"/>
    </row>
    <row r="42" spans="2:10" ht="26" customHeight="1" x14ac:dyDescent="0.2">
      <c r="B42" s="55" t="s">
        <v>1903</v>
      </c>
      <c r="C42" s="1"/>
      <c r="D42" s="1"/>
      <c r="E42" s="2"/>
      <c r="F42" s="2"/>
      <c r="G42" s="2"/>
      <c r="H42" s="2"/>
      <c r="I42" s="2"/>
    </row>
    <row r="43" spans="2:10" ht="26" customHeight="1" thickBot="1" x14ac:dyDescent="0.25">
      <c r="C43" s="1"/>
      <c r="D43" s="1"/>
      <c r="E43" s="2"/>
      <c r="F43" s="2"/>
      <c r="G43" s="2"/>
      <c r="H43" s="2"/>
      <c r="I43" s="2"/>
    </row>
    <row r="44" spans="2:10" ht="37" customHeight="1" thickBot="1" x14ac:dyDescent="0.25">
      <c r="B44" s="871"/>
      <c r="C44" s="870" t="s">
        <v>57</v>
      </c>
      <c r="D44" s="869" t="s">
        <v>106</v>
      </c>
      <c r="E44" s="869" t="s">
        <v>1591</v>
      </c>
      <c r="F44" s="869" t="s">
        <v>1590</v>
      </c>
      <c r="G44" s="872" t="s">
        <v>1593</v>
      </c>
      <c r="H44" s="879" t="s">
        <v>1592</v>
      </c>
      <c r="I44" s="2"/>
    </row>
    <row r="45" spans="2:10" ht="30" customHeight="1" thickBot="1" x14ac:dyDescent="0.25">
      <c r="B45" s="910" t="s">
        <v>1463</v>
      </c>
      <c r="C45" s="911" t="str">
        <f>B35</f>
        <v>Chauffage urbain</v>
      </c>
      <c r="D45" s="912">
        <f>$C$26</f>
        <v>21000</v>
      </c>
      <c r="E45" s="912">
        <f>C35/$D$45</f>
        <v>2.1102594103418792</v>
      </c>
      <c r="F45" s="912">
        <f>E45*$D$45</f>
        <v>44315.447617179467</v>
      </c>
      <c r="G45" s="913">
        <f>$E$35</f>
        <v>0.112</v>
      </c>
      <c r="H45" s="914">
        <f>E45*D45*G45/1000</f>
        <v>4.9633301331241002</v>
      </c>
    </row>
    <row r="46" spans="2:10" ht="30" customHeight="1" thickBot="1" x14ac:dyDescent="0.25">
      <c r="B46" s="2605"/>
      <c r="C46" s="2606"/>
      <c r="D46" s="2606"/>
      <c r="E46" s="2606"/>
      <c r="F46" s="2601" t="s">
        <v>1595</v>
      </c>
      <c r="G46" s="2602"/>
      <c r="H46" s="941">
        <f>H45</f>
        <v>4.9633301331241002</v>
      </c>
    </row>
    <row r="47" spans="2:10" ht="30" customHeight="1" thickBot="1" x14ac:dyDescent="0.25">
      <c r="B47" s="909" t="s">
        <v>1594</v>
      </c>
      <c r="C47" s="915" t="str">
        <f>C45</f>
        <v>Chauffage urbain</v>
      </c>
      <c r="D47" s="845">
        <f>'ANNEXE A'!$C$241</f>
        <v>1570865</v>
      </c>
      <c r="E47" s="848">
        <f>E45</f>
        <v>2.1102594103418792</v>
      </c>
      <c r="F47" s="883">
        <f>E47*$D$47</f>
        <v>3314932.6486266963</v>
      </c>
      <c r="G47" s="940">
        <f>G45</f>
        <v>0.112</v>
      </c>
      <c r="H47" s="914">
        <f>E47*D47*G47/1000</f>
        <v>371.27245664618999</v>
      </c>
    </row>
    <row r="48" spans="2:10" ht="30" customHeight="1" thickBot="1" x14ac:dyDescent="0.25">
      <c r="B48" s="2603"/>
      <c r="C48" s="2604"/>
      <c r="D48" s="2604"/>
      <c r="E48" s="2604"/>
      <c r="F48" s="2601" t="s">
        <v>1595</v>
      </c>
      <c r="G48" s="2602"/>
      <c r="H48" s="942">
        <f>H47</f>
        <v>371.27245664618999</v>
      </c>
    </row>
    <row r="49" spans="2:10" ht="21" customHeight="1" x14ac:dyDescent="0.2"/>
    <row r="50" spans="2:10" ht="23" customHeight="1" thickBot="1" x14ac:dyDescent="0.25"/>
    <row r="51" spans="2:10" ht="30" customHeight="1" thickBot="1" x14ac:dyDescent="0.25">
      <c r="B51" s="315" t="s">
        <v>765</v>
      </c>
      <c r="C51" s="316">
        <f>H48</f>
        <v>371.27245664618999</v>
      </c>
      <c r="D51" s="317" t="s">
        <v>71</v>
      </c>
    </row>
    <row r="52" spans="2:10" ht="20" customHeight="1" x14ac:dyDescent="0.2"/>
    <row r="53" spans="2:10" ht="20" customHeight="1" x14ac:dyDescent="0.2"/>
    <row r="54" spans="2:10" ht="20" customHeight="1" x14ac:dyDescent="0.2">
      <c r="D54" s="11"/>
    </row>
    <row r="55" spans="2:10" ht="20" customHeight="1" collapsed="1" x14ac:dyDescent="0.2">
      <c r="B55" s="433" t="s">
        <v>1352</v>
      </c>
    </row>
    <row r="56" spans="2:10" ht="20" hidden="1" customHeight="1" outlineLevel="1" x14ac:dyDescent="0.2"/>
    <row r="57" spans="2:10" ht="20" hidden="1" customHeight="1" outlineLevel="1" x14ac:dyDescent="0.2">
      <c r="B57" s="1592" t="s">
        <v>35</v>
      </c>
      <c r="C57" s="72"/>
      <c r="D57" s="72"/>
      <c r="E57" s="72"/>
    </row>
    <row r="58" spans="2:10" ht="20" hidden="1" customHeight="1" outlineLevel="1" x14ac:dyDescent="0.2"/>
    <row r="59" spans="2:10" ht="20" hidden="1" customHeight="1" outlineLevel="1" x14ac:dyDescent="0.2">
      <c r="B59" s="75" t="s">
        <v>38</v>
      </c>
    </row>
    <row r="60" spans="2:10" ht="20" hidden="1" customHeight="1" outlineLevel="1" x14ac:dyDescent="0.2">
      <c r="B60" s="55" t="s">
        <v>39</v>
      </c>
    </row>
    <row r="61" spans="2:10" ht="26" hidden="1" customHeight="1" outlineLevel="1" x14ac:dyDescent="0.2">
      <c r="B61" s="79" t="s">
        <v>41</v>
      </c>
      <c r="C61" s="79" t="s">
        <v>42</v>
      </c>
      <c r="D61" s="79" t="s">
        <v>43</v>
      </c>
      <c r="E61" s="79" t="s">
        <v>44</v>
      </c>
      <c r="F61" s="79" t="s">
        <v>45</v>
      </c>
      <c r="G61" s="79" t="s">
        <v>46</v>
      </c>
      <c r="H61" s="79" t="s">
        <v>47</v>
      </c>
      <c r="I61" s="79" t="s">
        <v>48</v>
      </c>
      <c r="J61" s="80" t="s">
        <v>49</v>
      </c>
    </row>
    <row r="62" spans="2:10" ht="26" hidden="1" customHeight="1" outlineLevel="1" x14ac:dyDescent="0.2">
      <c r="B62" s="81" t="s">
        <v>50</v>
      </c>
      <c r="C62" s="77">
        <v>58000</v>
      </c>
      <c r="D62" s="82">
        <v>0</v>
      </c>
      <c r="E62" s="82">
        <v>1</v>
      </c>
      <c r="F62" s="83">
        <v>0</v>
      </c>
      <c r="G62" s="83">
        <v>0</v>
      </c>
      <c r="H62" s="84">
        <v>0</v>
      </c>
      <c r="I62" s="84">
        <v>0</v>
      </c>
      <c r="J62" s="84">
        <v>0</v>
      </c>
    </row>
    <row r="63" spans="2:10" ht="26" hidden="1" customHeight="1" outlineLevel="1" x14ac:dyDescent="0.2">
      <c r="B63" s="81" t="s">
        <v>51</v>
      </c>
      <c r="C63" s="77">
        <v>47926</v>
      </c>
      <c r="D63" s="82">
        <v>0.01</v>
      </c>
      <c r="E63" s="82">
        <v>0.75</v>
      </c>
      <c r="F63" s="82">
        <v>0.24</v>
      </c>
      <c r="G63" s="83">
        <v>0</v>
      </c>
      <c r="H63" s="84">
        <v>730</v>
      </c>
      <c r="I63" s="78">
        <v>2044188</v>
      </c>
      <c r="J63" s="84">
        <v>0</v>
      </c>
    </row>
    <row r="64" spans="2:10" ht="26" hidden="1" customHeight="1" outlineLevel="1" x14ac:dyDescent="0.2">
      <c r="B64" s="87" t="s">
        <v>52</v>
      </c>
      <c r="C64" s="77">
        <v>22143</v>
      </c>
      <c r="D64" s="88"/>
      <c r="E64" s="88"/>
      <c r="F64" s="88"/>
      <c r="G64" s="88"/>
      <c r="H64" s="84">
        <v>0</v>
      </c>
      <c r="I64" s="78">
        <v>1260000</v>
      </c>
      <c r="J64" s="84">
        <v>0</v>
      </c>
    </row>
    <row r="65" spans="2:10" ht="26" hidden="1" customHeight="1" outlineLevel="1" x14ac:dyDescent="0.2">
      <c r="B65" s="81" t="s">
        <v>53</v>
      </c>
      <c r="C65" s="77">
        <v>30857</v>
      </c>
      <c r="D65" s="82">
        <v>0</v>
      </c>
      <c r="E65" s="82">
        <v>1</v>
      </c>
      <c r="F65" s="82">
        <v>0</v>
      </c>
      <c r="G65" s="83">
        <v>0</v>
      </c>
      <c r="H65" s="84">
        <v>0</v>
      </c>
      <c r="I65" s="84">
        <v>0</v>
      </c>
      <c r="J65" s="84">
        <v>0</v>
      </c>
    </row>
    <row r="66" spans="2:10" ht="26" hidden="1" customHeight="1" outlineLevel="1" x14ac:dyDescent="0.2">
      <c r="B66" s="81" t="s">
        <v>54</v>
      </c>
      <c r="C66" s="77">
        <v>35000</v>
      </c>
      <c r="D66" s="82">
        <v>0</v>
      </c>
      <c r="E66" s="82">
        <v>1</v>
      </c>
      <c r="F66" s="82">
        <v>0</v>
      </c>
      <c r="G66" s="83">
        <v>0</v>
      </c>
      <c r="H66" s="84">
        <v>0</v>
      </c>
      <c r="I66" s="84">
        <v>0</v>
      </c>
      <c r="J66" s="84">
        <v>0</v>
      </c>
    </row>
    <row r="67" spans="2:10" ht="26" hidden="1" customHeight="1" outlineLevel="1" x14ac:dyDescent="0.2">
      <c r="B67" s="81" t="s">
        <v>55</v>
      </c>
      <c r="C67" s="77">
        <v>22000</v>
      </c>
      <c r="D67" s="88"/>
      <c r="E67" s="88"/>
      <c r="F67" s="88"/>
      <c r="G67" s="88"/>
      <c r="H67" s="84">
        <v>0</v>
      </c>
      <c r="I67" s="78">
        <v>342837</v>
      </c>
      <c r="J67" s="84">
        <v>0</v>
      </c>
    </row>
    <row r="68" spans="2:10" ht="26" hidden="1" customHeight="1" outlineLevel="1" x14ac:dyDescent="0.2">
      <c r="B68" s="81" t="s">
        <v>56</v>
      </c>
      <c r="C68" s="77">
        <v>50000</v>
      </c>
      <c r="D68" s="82">
        <v>0</v>
      </c>
      <c r="E68" s="82">
        <v>0.67</v>
      </c>
      <c r="F68" s="82">
        <v>0.33</v>
      </c>
      <c r="G68" s="83">
        <v>0</v>
      </c>
      <c r="H68" s="84">
        <v>0</v>
      </c>
      <c r="I68" s="84">
        <v>0</v>
      </c>
      <c r="J68" s="84">
        <v>0</v>
      </c>
    </row>
    <row r="69" spans="2:10" ht="26" hidden="1" customHeight="1" outlineLevel="1" x14ac:dyDescent="0.2">
      <c r="B69" s="81" t="s">
        <v>63</v>
      </c>
      <c r="C69" s="77">
        <v>25000</v>
      </c>
      <c r="D69" s="88"/>
      <c r="E69" s="88"/>
      <c r="F69" s="88"/>
      <c r="G69" s="88"/>
      <c r="H69" s="84">
        <v>0</v>
      </c>
      <c r="I69" s="78">
        <v>130000</v>
      </c>
      <c r="J69" s="84">
        <v>0</v>
      </c>
    </row>
    <row r="70" spans="2:10" ht="26" hidden="1" customHeight="1" outlineLevel="1" x14ac:dyDescent="0.2">
      <c r="B70" s="81" t="s">
        <v>68</v>
      </c>
      <c r="C70" s="77">
        <v>25000</v>
      </c>
      <c r="D70" s="82">
        <v>0</v>
      </c>
      <c r="E70" s="83">
        <v>1</v>
      </c>
      <c r="F70" s="82">
        <v>0</v>
      </c>
      <c r="G70" s="83">
        <v>0</v>
      </c>
      <c r="H70" s="84">
        <v>0</v>
      </c>
      <c r="I70" s="84">
        <v>0</v>
      </c>
      <c r="J70" s="84">
        <v>0</v>
      </c>
    </row>
    <row r="71" spans="2:10" ht="26" hidden="1" customHeight="1" outlineLevel="1" x14ac:dyDescent="0.2">
      <c r="B71" s="81" t="s">
        <v>70</v>
      </c>
      <c r="C71" s="77">
        <v>18990</v>
      </c>
      <c r="D71" s="82">
        <v>0</v>
      </c>
      <c r="E71" s="82">
        <v>0.34</v>
      </c>
      <c r="F71" s="82">
        <v>0.19</v>
      </c>
      <c r="G71" s="82">
        <v>0.47</v>
      </c>
      <c r="H71" s="84">
        <v>0</v>
      </c>
      <c r="I71" s="78">
        <v>222729</v>
      </c>
      <c r="J71" s="84">
        <v>562640</v>
      </c>
    </row>
    <row r="72" spans="2:10" ht="26" hidden="1" customHeight="1" outlineLevel="1" x14ac:dyDescent="0.2">
      <c r="B72" s="81" t="s">
        <v>72</v>
      </c>
      <c r="C72" s="77">
        <v>42115</v>
      </c>
      <c r="D72" s="82">
        <v>0.05</v>
      </c>
      <c r="E72" s="82">
        <v>0.95</v>
      </c>
      <c r="F72" s="83">
        <v>0</v>
      </c>
      <c r="G72" s="83">
        <v>0</v>
      </c>
      <c r="H72" s="84">
        <v>32621</v>
      </c>
      <c r="I72" s="84">
        <v>0</v>
      </c>
      <c r="J72" s="84">
        <v>0</v>
      </c>
    </row>
    <row r="73" spans="2:10" ht="26" hidden="1" customHeight="1" outlineLevel="1" x14ac:dyDescent="0.2">
      <c r="B73" s="81" t="s">
        <v>73</v>
      </c>
      <c r="C73" s="77">
        <v>28152</v>
      </c>
      <c r="D73" s="82">
        <v>0</v>
      </c>
      <c r="E73" s="82">
        <v>0.6</v>
      </c>
      <c r="F73" s="83">
        <v>0</v>
      </c>
      <c r="G73" s="82">
        <v>0.4</v>
      </c>
      <c r="H73" s="84">
        <v>0</v>
      </c>
      <c r="I73" s="84">
        <v>0</v>
      </c>
      <c r="J73" s="84">
        <v>0</v>
      </c>
    </row>
    <row r="74" spans="2:10" ht="26" hidden="1" customHeight="1" outlineLevel="1" x14ac:dyDescent="0.2">
      <c r="B74" s="81" t="s">
        <v>74</v>
      </c>
      <c r="C74" s="77">
        <v>26000</v>
      </c>
      <c r="D74" s="88"/>
      <c r="E74" s="88"/>
      <c r="F74" s="88"/>
      <c r="G74" s="88"/>
      <c r="H74" s="84">
        <v>21000</v>
      </c>
      <c r="I74" s="78">
        <v>649435</v>
      </c>
      <c r="J74" s="84">
        <v>0</v>
      </c>
    </row>
    <row r="75" spans="2:10" ht="26" hidden="1" customHeight="1" outlineLevel="1" x14ac:dyDescent="0.2">
      <c r="B75" s="81" t="s">
        <v>75</v>
      </c>
      <c r="C75" s="77">
        <v>10000</v>
      </c>
      <c r="D75" s="88"/>
      <c r="E75" s="88"/>
      <c r="F75" s="88"/>
      <c r="G75" s="88"/>
      <c r="H75" s="84">
        <v>0</v>
      </c>
      <c r="I75" s="78">
        <v>261470</v>
      </c>
      <c r="J75" s="84">
        <v>0</v>
      </c>
    </row>
    <row r="76" spans="2:10" ht="26" hidden="1" customHeight="1" outlineLevel="1" x14ac:dyDescent="0.2">
      <c r="B76" s="81" t="s">
        <v>76</v>
      </c>
      <c r="C76" s="77">
        <v>14700</v>
      </c>
      <c r="D76" s="82">
        <v>0</v>
      </c>
      <c r="E76" s="82">
        <v>1</v>
      </c>
      <c r="F76" s="83">
        <v>0</v>
      </c>
      <c r="G76" s="83">
        <v>0</v>
      </c>
      <c r="H76" s="84">
        <v>0</v>
      </c>
      <c r="I76" s="84">
        <v>0</v>
      </c>
      <c r="J76" s="84">
        <v>0</v>
      </c>
    </row>
    <row r="77" spans="2:10" ht="26" hidden="1" customHeight="1" outlineLevel="1" x14ac:dyDescent="0.2">
      <c r="B77" s="81" t="s">
        <v>77</v>
      </c>
      <c r="C77" s="77">
        <v>12907</v>
      </c>
      <c r="D77" s="82">
        <v>0</v>
      </c>
      <c r="E77" s="82">
        <v>0.55000000000000004</v>
      </c>
      <c r="F77" s="83">
        <v>0</v>
      </c>
      <c r="G77" s="82">
        <v>0.45</v>
      </c>
      <c r="H77" s="84">
        <v>0</v>
      </c>
      <c r="I77" s="84">
        <v>0</v>
      </c>
      <c r="J77" s="84">
        <v>965000</v>
      </c>
    </row>
    <row r="78" spans="2:10" ht="26" hidden="1" customHeight="1" outlineLevel="1" x14ac:dyDescent="0.2">
      <c r="B78" s="81" t="s">
        <v>79</v>
      </c>
      <c r="C78" s="77">
        <v>15500</v>
      </c>
      <c r="D78" s="82">
        <v>0.34</v>
      </c>
      <c r="E78" s="82">
        <v>0.57999999999999996</v>
      </c>
      <c r="F78" s="82">
        <v>0.08</v>
      </c>
      <c r="G78" s="83">
        <v>0</v>
      </c>
      <c r="H78" s="84">
        <v>2500</v>
      </c>
      <c r="I78" s="84">
        <v>0</v>
      </c>
      <c r="J78" s="84">
        <v>0</v>
      </c>
    </row>
    <row r="79" spans="2:10" ht="26" hidden="1" customHeight="1" outlineLevel="1" x14ac:dyDescent="0.2">
      <c r="B79" s="81" t="s">
        <v>80</v>
      </c>
      <c r="C79" s="77">
        <v>16000</v>
      </c>
      <c r="D79" s="82">
        <v>0</v>
      </c>
      <c r="E79" s="82">
        <v>1</v>
      </c>
      <c r="F79" s="82">
        <v>0</v>
      </c>
      <c r="G79" s="83">
        <v>0</v>
      </c>
      <c r="H79" s="84">
        <v>20000</v>
      </c>
      <c r="I79" s="78">
        <v>108510</v>
      </c>
      <c r="J79" s="84">
        <v>0</v>
      </c>
    </row>
    <row r="80" spans="2:10" ht="26" hidden="1" customHeight="1" outlineLevel="1" x14ac:dyDescent="0.2">
      <c r="B80" s="81" t="s">
        <v>81</v>
      </c>
      <c r="C80" s="77">
        <v>8000</v>
      </c>
      <c r="D80" s="82">
        <v>0</v>
      </c>
      <c r="E80" s="82">
        <v>1</v>
      </c>
      <c r="F80" s="82">
        <v>0</v>
      </c>
      <c r="G80" s="83">
        <v>0</v>
      </c>
      <c r="H80" s="84">
        <v>0</v>
      </c>
      <c r="I80" s="84">
        <v>0</v>
      </c>
      <c r="J80" s="84">
        <v>0</v>
      </c>
    </row>
    <row r="81" spans="2:12" ht="26" hidden="1" customHeight="1" outlineLevel="1" x14ac:dyDescent="0.2">
      <c r="B81" s="81" t="s">
        <v>82</v>
      </c>
      <c r="C81" s="77">
        <v>35624</v>
      </c>
      <c r="D81" s="82">
        <v>0</v>
      </c>
      <c r="E81" s="82">
        <v>1</v>
      </c>
      <c r="F81" s="82">
        <v>0</v>
      </c>
      <c r="G81" s="83">
        <v>0</v>
      </c>
      <c r="H81" s="84">
        <v>0</v>
      </c>
      <c r="I81" s="84">
        <v>0</v>
      </c>
      <c r="J81" s="84">
        <v>0</v>
      </c>
    </row>
    <row r="82" spans="2:12" ht="26" hidden="1" customHeight="1" outlineLevel="1" x14ac:dyDescent="0.2">
      <c r="B82" s="81" t="s">
        <v>83</v>
      </c>
      <c r="C82" s="77">
        <v>21877</v>
      </c>
      <c r="D82" s="88"/>
      <c r="E82" s="88"/>
      <c r="F82" s="88"/>
      <c r="G82" s="88"/>
      <c r="H82" s="84">
        <v>15000</v>
      </c>
      <c r="I82" s="78">
        <v>950014</v>
      </c>
      <c r="J82" s="84">
        <v>0</v>
      </c>
    </row>
    <row r="83" spans="2:12" ht="26" hidden="1" customHeight="1" outlineLevel="1" x14ac:dyDescent="0.2">
      <c r="B83" s="87" t="s">
        <v>84</v>
      </c>
      <c r="C83" s="77">
        <v>67000</v>
      </c>
      <c r="D83" s="82"/>
      <c r="E83" s="88"/>
      <c r="F83" s="88"/>
      <c r="G83" s="88"/>
      <c r="H83" s="84">
        <v>0</v>
      </c>
      <c r="I83" s="78">
        <v>17740</v>
      </c>
      <c r="J83" s="84">
        <v>0</v>
      </c>
    </row>
    <row r="84" spans="2:12" ht="26" hidden="1" customHeight="1" outlineLevel="1" x14ac:dyDescent="0.2">
      <c r="B84" s="81" t="s">
        <v>85</v>
      </c>
      <c r="C84" s="77">
        <v>38223</v>
      </c>
      <c r="D84" s="82">
        <v>0</v>
      </c>
      <c r="E84" s="82">
        <v>1</v>
      </c>
      <c r="F84" s="82">
        <v>0</v>
      </c>
      <c r="G84" s="83">
        <v>0</v>
      </c>
      <c r="H84" s="84">
        <v>0</v>
      </c>
      <c r="I84" s="78">
        <v>24000</v>
      </c>
      <c r="J84" s="84">
        <v>0</v>
      </c>
    </row>
    <row r="85" spans="2:12" ht="26" hidden="1" customHeight="1" outlineLevel="1" x14ac:dyDescent="0.2">
      <c r="B85" s="81" t="s">
        <v>86</v>
      </c>
      <c r="C85" s="77">
        <v>12171</v>
      </c>
      <c r="D85" s="82">
        <v>0.2</v>
      </c>
      <c r="E85" s="82">
        <v>0.55000000000000004</v>
      </c>
      <c r="F85" s="82">
        <v>0.43</v>
      </c>
      <c r="G85" s="83">
        <v>0</v>
      </c>
      <c r="H85" s="84">
        <v>2000</v>
      </c>
      <c r="I85" s="78">
        <v>364000</v>
      </c>
      <c r="J85" s="84">
        <v>0</v>
      </c>
    </row>
    <row r="86" spans="2:12" ht="26" hidden="1" customHeight="1" outlineLevel="1" x14ac:dyDescent="0.2">
      <c r="B86" s="81" t="s">
        <v>87</v>
      </c>
      <c r="C86" s="77">
        <v>20395</v>
      </c>
      <c r="D86" s="82">
        <v>0.04</v>
      </c>
      <c r="E86" s="82">
        <v>0.59</v>
      </c>
      <c r="F86" s="82">
        <v>0.37</v>
      </c>
      <c r="G86" s="83">
        <v>0</v>
      </c>
      <c r="H86" s="84">
        <v>0</v>
      </c>
      <c r="I86" s="78">
        <v>650000</v>
      </c>
      <c r="J86" s="84">
        <v>0</v>
      </c>
      <c r="K86" s="95"/>
    </row>
    <row r="87" spans="2:12" ht="26" hidden="1" customHeight="1" outlineLevel="1" x14ac:dyDescent="0.2">
      <c r="B87" s="81" t="s">
        <v>88</v>
      </c>
      <c r="C87" s="77">
        <v>4331</v>
      </c>
      <c r="D87" s="82">
        <v>0.01</v>
      </c>
      <c r="E87" s="82">
        <v>0.89</v>
      </c>
      <c r="F87" s="82">
        <v>0.1</v>
      </c>
      <c r="G87" s="83">
        <v>0</v>
      </c>
      <c r="H87" s="84">
        <v>0</v>
      </c>
      <c r="I87" s="78">
        <v>24000</v>
      </c>
      <c r="J87" s="84">
        <v>0</v>
      </c>
    </row>
    <row r="88" spans="2:12" ht="26" hidden="1" customHeight="1" outlineLevel="1" x14ac:dyDescent="0.2">
      <c r="B88" s="81" t="s">
        <v>89</v>
      </c>
      <c r="C88" s="77">
        <v>16000</v>
      </c>
      <c r="D88" s="96">
        <v>0</v>
      </c>
      <c r="E88" s="96">
        <v>1</v>
      </c>
      <c r="F88" s="96">
        <v>0</v>
      </c>
      <c r="G88" s="97">
        <v>0</v>
      </c>
      <c r="H88" s="84">
        <v>0</v>
      </c>
      <c r="I88" s="84">
        <v>0</v>
      </c>
      <c r="J88" s="84">
        <v>0</v>
      </c>
    </row>
    <row r="89" spans="2:12" ht="26" hidden="1" customHeight="1" outlineLevel="1" x14ac:dyDescent="0.2">
      <c r="B89" s="50" t="s">
        <v>90</v>
      </c>
      <c r="C89" s="98">
        <f t="shared" ref="C89:G89" si="0">AVERAGE(C62:C88)</f>
        <v>26811.518518518518</v>
      </c>
      <c r="D89" s="99">
        <f>AVERAGE(D62:D88)</f>
        <v>3.2500000000000008E-2</v>
      </c>
      <c r="E89" s="99">
        <f t="shared" si="0"/>
        <v>0.8234999999999999</v>
      </c>
      <c r="F89" s="99">
        <f t="shared" si="0"/>
        <v>8.7000000000000008E-2</v>
      </c>
      <c r="G89" s="99">
        <f t="shared" si="0"/>
        <v>6.6000000000000003E-2</v>
      </c>
      <c r="H89" s="100">
        <f>AVERAGE(H62:H88)</f>
        <v>3475.962962962963</v>
      </c>
      <c r="I89" s="100">
        <f t="shared" ref="I89:J89" si="1">AVERAGE(I62:I88)</f>
        <v>261071.22222222222</v>
      </c>
      <c r="J89" s="100">
        <f t="shared" si="1"/>
        <v>56579.259259259263</v>
      </c>
    </row>
    <row r="90" spans="2:12" ht="20" hidden="1" customHeight="1" outlineLevel="1" x14ac:dyDescent="0.2">
      <c r="B90" s="75"/>
    </row>
    <row r="91" spans="2:12" ht="20" hidden="1" customHeight="1" outlineLevel="1" x14ac:dyDescent="0.2">
      <c r="G91" s="101"/>
    </row>
    <row r="92" spans="2:12" ht="22" hidden="1" customHeight="1" outlineLevel="1" x14ac:dyDescent="0.2">
      <c r="B92" s="75" t="s">
        <v>91</v>
      </c>
    </row>
    <row r="93" spans="2:12" ht="22" hidden="1" customHeight="1" outlineLevel="1" x14ac:dyDescent="0.2">
      <c r="B93" s="55" t="s">
        <v>92</v>
      </c>
    </row>
    <row r="94" spans="2:12" ht="22" hidden="1" customHeight="1" outlineLevel="1" x14ac:dyDescent="0.2">
      <c r="L94" s="102"/>
    </row>
    <row r="95" spans="2:12" ht="22" hidden="1" customHeight="1" outlineLevel="1" x14ac:dyDescent="0.2">
      <c r="B95" s="102" t="s">
        <v>93</v>
      </c>
      <c r="G95" s="102" t="s">
        <v>94</v>
      </c>
      <c r="L95" s="102" t="s">
        <v>95</v>
      </c>
    </row>
    <row r="96" spans="2:12" ht="22" hidden="1" customHeight="1" outlineLevel="1" thickBot="1" x14ac:dyDescent="0.25"/>
    <row r="97" spans="2:17" ht="22" hidden="1" customHeight="1" outlineLevel="1" x14ac:dyDescent="0.2">
      <c r="B97" s="103" t="s">
        <v>96</v>
      </c>
      <c r="C97" s="104">
        <f>COUNTA(B103:B109)/COUNTA(B62:B88)</f>
        <v>0.25925925925925924</v>
      </c>
      <c r="D97" s="105"/>
      <c r="G97" s="103" t="s">
        <v>97</v>
      </c>
      <c r="H97" s="104">
        <f>COUNTA(G103:G116)/COUNTA(B62:B88)</f>
        <v>0.51851851851851849</v>
      </c>
      <c r="I97" s="105"/>
      <c r="L97" s="106" t="s">
        <v>98</v>
      </c>
      <c r="M97" s="104">
        <f>COUNTA(L103:L104)/COUNTA(B62:B88)</f>
        <v>7.407407407407407E-2</v>
      </c>
      <c r="N97" s="105"/>
    </row>
    <row r="98" spans="2:17" ht="22" hidden="1" customHeight="1" outlineLevel="1" thickBot="1" x14ac:dyDescent="0.25">
      <c r="B98" s="107" t="s">
        <v>99</v>
      </c>
      <c r="C98" s="108">
        <f>H89/C89</f>
        <v>0.12964438998716693</v>
      </c>
      <c r="D98" s="109" t="s">
        <v>100</v>
      </c>
      <c r="G98" s="107" t="s">
        <v>101</v>
      </c>
      <c r="H98" s="108">
        <f>I89/C89</f>
        <v>9.73727847760291</v>
      </c>
      <c r="I98" s="109" t="s">
        <v>102</v>
      </c>
      <c r="L98" s="107" t="s">
        <v>103</v>
      </c>
      <c r="M98" s="108">
        <f>J89/C89</f>
        <v>2.1102594103418792</v>
      </c>
      <c r="N98" s="109" t="s">
        <v>104</v>
      </c>
    </row>
    <row r="99" spans="2:17" ht="15" hidden="1" customHeight="1" outlineLevel="1" x14ac:dyDescent="0.2"/>
    <row r="100" spans="2:17" ht="15" hidden="1" customHeight="1" outlineLevel="1" x14ac:dyDescent="0.2"/>
    <row r="101" spans="2:17" ht="15" hidden="1" customHeight="1" outlineLevel="1" x14ac:dyDescent="0.2">
      <c r="Q101" s="2"/>
    </row>
    <row r="102" spans="2:17" ht="15" hidden="1" customHeight="1" outlineLevel="1" x14ac:dyDescent="0.2">
      <c r="B102" s="79" t="s">
        <v>41</v>
      </c>
      <c r="C102" s="79" t="s">
        <v>42</v>
      </c>
      <c r="D102" s="79" t="s">
        <v>47</v>
      </c>
      <c r="G102" s="79" t="s">
        <v>41</v>
      </c>
      <c r="H102" s="79" t="s">
        <v>42</v>
      </c>
      <c r="I102" s="50" t="s">
        <v>48</v>
      </c>
      <c r="L102" s="110" t="s">
        <v>105</v>
      </c>
      <c r="M102" s="110" t="s">
        <v>106</v>
      </c>
      <c r="N102" s="79" t="s">
        <v>49</v>
      </c>
      <c r="Q102" s="2"/>
    </row>
    <row r="103" spans="2:17" ht="15" hidden="1" customHeight="1" outlineLevel="1" x14ac:dyDescent="0.2">
      <c r="B103" s="81" t="s">
        <v>51</v>
      </c>
      <c r="C103" s="78">
        <v>47926</v>
      </c>
      <c r="D103" s="111">
        <v>730</v>
      </c>
      <c r="G103" s="81" t="s">
        <v>51</v>
      </c>
      <c r="H103" s="77">
        <v>47926</v>
      </c>
      <c r="I103" s="91">
        <v>2044188</v>
      </c>
      <c r="L103" s="87" t="s">
        <v>70</v>
      </c>
      <c r="M103" s="111">
        <v>18990</v>
      </c>
      <c r="N103" s="91">
        <v>562640</v>
      </c>
      <c r="Q103" s="2"/>
    </row>
    <row r="104" spans="2:17" ht="15" hidden="1" customHeight="1" outlineLevel="1" x14ac:dyDescent="0.2">
      <c r="B104" s="81" t="s">
        <v>72</v>
      </c>
      <c r="C104" s="78">
        <v>42115</v>
      </c>
      <c r="D104" s="111">
        <v>32621</v>
      </c>
      <c r="E104" s="112"/>
      <c r="G104" s="87" t="s">
        <v>52</v>
      </c>
      <c r="H104" s="77">
        <v>22143</v>
      </c>
      <c r="I104" s="91">
        <v>1260000</v>
      </c>
      <c r="L104" s="87" t="s">
        <v>77</v>
      </c>
      <c r="M104" s="111">
        <v>12907</v>
      </c>
      <c r="N104" s="91">
        <v>965000</v>
      </c>
      <c r="Q104" s="2"/>
    </row>
    <row r="105" spans="2:17" ht="15" hidden="1" customHeight="1" outlineLevel="1" x14ac:dyDescent="0.2">
      <c r="B105" s="81" t="s">
        <v>74</v>
      </c>
      <c r="C105" s="78">
        <v>26000</v>
      </c>
      <c r="D105" s="111">
        <v>21000</v>
      </c>
      <c r="G105" s="81" t="s">
        <v>55</v>
      </c>
      <c r="H105" s="77">
        <v>22000</v>
      </c>
      <c r="I105" s="91">
        <v>342837</v>
      </c>
      <c r="L105" s="7" t="s">
        <v>90</v>
      </c>
      <c r="M105" s="8">
        <f>AVERAGE(M103:M104)</f>
        <v>15948.5</v>
      </c>
      <c r="N105" s="8">
        <f>AVERAGE(N103:N104)</f>
        <v>763820</v>
      </c>
      <c r="Q105" s="2"/>
    </row>
    <row r="106" spans="2:17" ht="15" hidden="1" customHeight="1" outlineLevel="1" x14ac:dyDescent="0.2">
      <c r="B106" s="81" t="s">
        <v>79</v>
      </c>
      <c r="C106" s="78">
        <v>15500</v>
      </c>
      <c r="D106" s="111">
        <v>2500</v>
      </c>
      <c r="G106" s="81" t="s">
        <v>63</v>
      </c>
      <c r="H106" s="77">
        <v>25000</v>
      </c>
      <c r="I106" s="113">
        <v>130000</v>
      </c>
      <c r="Q106" s="2"/>
    </row>
    <row r="107" spans="2:17" ht="15" hidden="1" customHeight="1" outlineLevel="1" thickBot="1" x14ac:dyDescent="0.25">
      <c r="B107" s="81" t="s">
        <v>80</v>
      </c>
      <c r="C107" s="78">
        <v>16000</v>
      </c>
      <c r="D107" s="111">
        <v>20000</v>
      </c>
      <c r="G107" s="81" t="s">
        <v>70</v>
      </c>
      <c r="H107" s="77">
        <v>18990</v>
      </c>
      <c r="I107" s="91">
        <v>222729</v>
      </c>
      <c r="L107" s="55" t="s">
        <v>107</v>
      </c>
    </row>
    <row r="108" spans="2:17" ht="15" hidden="1" customHeight="1" outlineLevel="1" thickBot="1" x14ac:dyDescent="0.25">
      <c r="B108" s="81" t="s">
        <v>83</v>
      </c>
      <c r="C108" s="78">
        <v>21877</v>
      </c>
      <c r="D108" s="111">
        <v>15000</v>
      </c>
      <c r="G108" s="81" t="s">
        <v>74</v>
      </c>
      <c r="H108" s="77">
        <v>26000</v>
      </c>
      <c r="I108" s="91">
        <v>649435</v>
      </c>
      <c r="L108" s="114" t="s">
        <v>108</v>
      </c>
      <c r="M108" s="115">
        <f>N105/M105</f>
        <v>47.892905288898639</v>
      </c>
      <c r="N108" s="116" t="s">
        <v>102</v>
      </c>
    </row>
    <row r="109" spans="2:17" ht="15" hidden="1" customHeight="1" outlineLevel="1" x14ac:dyDescent="0.2">
      <c r="B109" s="81" t="s">
        <v>86</v>
      </c>
      <c r="C109" s="78">
        <v>12171</v>
      </c>
      <c r="D109" s="111">
        <v>2000</v>
      </c>
      <c r="G109" s="81" t="s">
        <v>75</v>
      </c>
      <c r="H109" s="77">
        <v>10000</v>
      </c>
      <c r="I109" s="91">
        <v>261470</v>
      </c>
    </row>
    <row r="110" spans="2:17" ht="15" hidden="1" customHeight="1" outlineLevel="1" x14ac:dyDescent="0.2">
      <c r="B110" s="7" t="s">
        <v>90</v>
      </c>
      <c r="C110" s="8">
        <f>AVERAGE(C103:C109)</f>
        <v>25941.285714285714</v>
      </c>
      <c r="D110" s="8">
        <f>AVERAGE(D103:D109)</f>
        <v>13407.285714285714</v>
      </c>
      <c r="G110" s="81" t="s">
        <v>80</v>
      </c>
      <c r="H110" s="77">
        <v>16000</v>
      </c>
      <c r="I110" s="91">
        <v>108510</v>
      </c>
    </row>
    <row r="111" spans="2:17" ht="15" hidden="1" customHeight="1" outlineLevel="1" x14ac:dyDescent="0.2">
      <c r="G111" s="81" t="s">
        <v>83</v>
      </c>
      <c r="H111" s="77">
        <v>21877</v>
      </c>
      <c r="I111" s="91">
        <v>950014</v>
      </c>
    </row>
    <row r="112" spans="2:17" ht="15" hidden="1" customHeight="1" outlineLevel="1" thickBot="1" x14ac:dyDescent="0.25">
      <c r="B112" s="55" t="s">
        <v>109</v>
      </c>
      <c r="E112" s="117"/>
      <c r="G112" s="87" t="s">
        <v>84</v>
      </c>
      <c r="H112" s="77">
        <v>67000</v>
      </c>
      <c r="I112" s="91">
        <v>17740</v>
      </c>
    </row>
    <row r="113" spans="2:9" ht="15" hidden="1" customHeight="1" outlineLevel="1" thickBot="1" x14ac:dyDescent="0.25">
      <c r="B113" s="114" t="s">
        <v>110</v>
      </c>
      <c r="C113" s="115">
        <f>D110/C110</f>
        <v>0.51683196669401776</v>
      </c>
      <c r="D113" s="116" t="s">
        <v>111</v>
      </c>
      <c r="G113" s="81" t="s">
        <v>85</v>
      </c>
      <c r="H113" s="77">
        <v>38223</v>
      </c>
      <c r="I113" s="91">
        <v>24000</v>
      </c>
    </row>
    <row r="114" spans="2:9" ht="15" hidden="1" customHeight="1" outlineLevel="1" x14ac:dyDescent="0.2">
      <c r="G114" s="81" t="s">
        <v>86</v>
      </c>
      <c r="H114" s="77">
        <v>12171</v>
      </c>
      <c r="I114" s="91">
        <v>364000</v>
      </c>
    </row>
    <row r="115" spans="2:9" ht="15" hidden="1" customHeight="1" outlineLevel="1" thickBot="1" x14ac:dyDescent="0.25">
      <c r="B115" s="118" t="s">
        <v>112</v>
      </c>
      <c r="G115" s="81" t="s">
        <v>87</v>
      </c>
      <c r="H115" s="77">
        <v>20395</v>
      </c>
      <c r="I115" s="91">
        <v>650000</v>
      </c>
    </row>
    <row r="116" spans="2:9" ht="15" hidden="1" customHeight="1" outlineLevel="1" x14ac:dyDescent="0.2">
      <c r="B116" s="302" t="s">
        <v>113</v>
      </c>
      <c r="C116" s="119">
        <f>C98*C26</f>
        <v>2722.5321897305057</v>
      </c>
      <c r="D116" s="303" t="s">
        <v>114</v>
      </c>
      <c r="E116" s="304"/>
      <c r="G116" s="81" t="s">
        <v>88</v>
      </c>
      <c r="H116" s="77">
        <v>4331</v>
      </c>
      <c r="I116" s="91">
        <v>24000</v>
      </c>
    </row>
    <row r="117" spans="2:9" ht="15" hidden="1" customHeight="1" outlineLevel="1" thickBot="1" x14ac:dyDescent="0.25">
      <c r="B117" s="120"/>
      <c r="C117" s="121">
        <f>4*40*C27</f>
        <v>2880</v>
      </c>
      <c r="D117" s="305" t="s">
        <v>115</v>
      </c>
      <c r="E117" s="306"/>
      <c r="G117" s="7" t="s">
        <v>90</v>
      </c>
      <c r="H117" s="8">
        <f>AVERAGE(H103:H116)</f>
        <v>25146.857142857141</v>
      </c>
      <c r="I117" s="8">
        <f>AVERAGE(I103:I116)</f>
        <v>503494.5</v>
      </c>
    </row>
    <row r="118" spans="2:9" ht="15" hidden="1" customHeight="1" outlineLevel="1" thickBot="1" x14ac:dyDescent="0.25">
      <c r="B118" s="122" t="s">
        <v>116</v>
      </c>
      <c r="C118" s="123">
        <v>10</v>
      </c>
      <c r="D118" s="300" t="s">
        <v>117</v>
      </c>
      <c r="E118" s="301"/>
    </row>
    <row r="119" spans="2:9" ht="15" hidden="1" customHeight="1" outlineLevel="1" thickBot="1" x14ac:dyDescent="0.25">
      <c r="B119" s="302" t="s">
        <v>113</v>
      </c>
      <c r="C119" s="124">
        <f>C116*C118</f>
        <v>27225.321897305057</v>
      </c>
      <c r="D119" s="303" t="s">
        <v>118</v>
      </c>
      <c r="E119" s="304"/>
      <c r="G119" s="55" t="s">
        <v>109</v>
      </c>
    </row>
    <row r="120" spans="2:9" ht="15" hidden="1" customHeight="1" outlineLevel="1" thickBot="1" x14ac:dyDescent="0.25">
      <c r="B120" s="120"/>
      <c r="C120" s="121">
        <f>C118*C117</f>
        <v>28800</v>
      </c>
      <c r="D120" s="305" t="s">
        <v>119</v>
      </c>
      <c r="E120" s="306"/>
      <c r="G120" s="114" t="s">
        <v>120</v>
      </c>
      <c r="H120" s="115">
        <f>I117/H117</f>
        <v>20.022164087531529</v>
      </c>
      <c r="I120" s="116" t="s">
        <v>102</v>
      </c>
    </row>
    <row r="121" spans="2:9" ht="15" hidden="1" customHeight="1" outlineLevel="1" thickBot="1" x14ac:dyDescent="0.25">
      <c r="B121" s="120" t="s">
        <v>121</v>
      </c>
      <c r="C121" s="125">
        <f>C119+C120</f>
        <v>56025.321897305053</v>
      </c>
      <c r="D121" s="300" t="s">
        <v>122</v>
      </c>
      <c r="E121" s="301"/>
    </row>
    <row r="122" spans="2:9" ht="15" hidden="1" customHeight="1" outlineLevel="1" x14ac:dyDescent="0.2"/>
    <row r="123" spans="2:9" ht="15" hidden="1" customHeight="1" outlineLevel="1" x14ac:dyDescent="0.2"/>
    <row r="124" spans="2:9" ht="15" hidden="1" customHeight="1" outlineLevel="1" x14ac:dyDescent="0.2"/>
    <row r="125" spans="2:9" ht="15" hidden="1" customHeight="1" outlineLevel="1" x14ac:dyDescent="0.2">
      <c r="B125" s="1592" t="s">
        <v>123</v>
      </c>
    </row>
    <row r="126" spans="2:9" ht="15" hidden="1" customHeight="1" outlineLevel="1" x14ac:dyDescent="0.2"/>
    <row r="127" spans="2:9" ht="31" hidden="1" customHeight="1" outlineLevel="1" x14ac:dyDescent="0.2">
      <c r="B127" s="60" t="s">
        <v>124</v>
      </c>
      <c r="C127" s="60" t="s">
        <v>36</v>
      </c>
      <c r="D127" s="60" t="s">
        <v>59</v>
      </c>
      <c r="E127" s="60" t="s">
        <v>125</v>
      </c>
    </row>
    <row r="128" spans="2:9" ht="31" hidden="1" customHeight="1" outlineLevel="1" x14ac:dyDescent="0.2">
      <c r="B128" s="89" t="s">
        <v>126</v>
      </c>
      <c r="C128" s="90">
        <v>3.25</v>
      </c>
      <c r="D128" s="89" t="s">
        <v>69</v>
      </c>
      <c r="E128" s="58" t="s">
        <v>127</v>
      </c>
    </row>
    <row r="129" spans="2:18" ht="31" hidden="1" customHeight="1" outlineLevel="1" x14ac:dyDescent="0.2">
      <c r="B129" s="89" t="s">
        <v>126</v>
      </c>
      <c r="C129" s="1317">
        <v>0.32400000000000001</v>
      </c>
      <c r="D129" s="89" t="s">
        <v>128</v>
      </c>
      <c r="E129" s="58" t="s">
        <v>127</v>
      </c>
    </row>
    <row r="130" spans="2:18" ht="31" hidden="1" customHeight="1" outlineLevel="1" x14ac:dyDescent="0.2">
      <c r="B130" s="89" t="s">
        <v>64</v>
      </c>
      <c r="C130" s="569">
        <v>0.22700000000000001</v>
      </c>
      <c r="D130" s="89" t="s">
        <v>128</v>
      </c>
      <c r="E130" s="58" t="s">
        <v>127</v>
      </c>
    </row>
    <row r="131" spans="2:18" ht="31" hidden="1" customHeight="1" outlineLevel="1" x14ac:dyDescent="0.2">
      <c r="B131" s="89" t="s">
        <v>126</v>
      </c>
      <c r="C131" s="569">
        <v>0.32400000000000001</v>
      </c>
      <c r="D131" s="89" t="s">
        <v>128</v>
      </c>
      <c r="E131" s="58" t="s">
        <v>127</v>
      </c>
    </row>
    <row r="132" spans="2:18" ht="31" hidden="1" customHeight="1" outlineLevel="1" x14ac:dyDescent="0.2">
      <c r="B132" s="81" t="s">
        <v>46</v>
      </c>
      <c r="C132" s="569">
        <v>0.112</v>
      </c>
      <c r="D132" s="81" t="s">
        <v>129</v>
      </c>
      <c r="E132" s="58" t="s">
        <v>1469</v>
      </c>
      <c r="F132" s="1674"/>
    </row>
    <row r="133" spans="2:18" ht="31" hidden="1" customHeight="1" outlineLevel="1" x14ac:dyDescent="0.2">
      <c r="B133" s="89" t="s">
        <v>130</v>
      </c>
      <c r="C133" s="90">
        <v>5.1999999999999998E-2</v>
      </c>
      <c r="D133" s="89" t="s">
        <v>131</v>
      </c>
      <c r="E133" s="58" t="s">
        <v>132</v>
      </c>
    </row>
    <row r="134" spans="2:18" ht="15" hidden="1" customHeight="1" outlineLevel="1" x14ac:dyDescent="0.2">
      <c r="B134" s="2"/>
      <c r="C134" s="2"/>
      <c r="D134" s="2"/>
      <c r="E134" s="2"/>
      <c r="F134" s="2"/>
      <c r="G134" s="2"/>
      <c r="H134" s="2"/>
    </row>
    <row r="135" spans="2:18" ht="15" customHeight="1" x14ac:dyDescent="0.2">
      <c r="J135" s="2"/>
      <c r="K135" s="2"/>
      <c r="L135" s="2"/>
      <c r="M135" s="2"/>
      <c r="N135" s="2"/>
      <c r="O135" s="2"/>
      <c r="P135" s="2"/>
      <c r="Q135" s="2"/>
      <c r="R135" s="2"/>
    </row>
    <row r="136" spans="2:18" ht="15" customHeight="1" x14ac:dyDescent="0.2">
      <c r="J136" s="2"/>
      <c r="K136" s="2"/>
      <c r="L136" s="2"/>
      <c r="M136" s="2"/>
      <c r="N136" s="2"/>
      <c r="O136" s="2"/>
      <c r="P136" s="2"/>
      <c r="Q136" s="2"/>
      <c r="R136" s="2"/>
    </row>
    <row r="137" spans="2:18" ht="15" customHeight="1" x14ac:dyDescent="0.2">
      <c r="J137" s="2"/>
      <c r="K137" s="2"/>
      <c r="L137" s="2"/>
      <c r="M137" s="2"/>
      <c r="N137" s="2"/>
      <c r="O137" s="2"/>
      <c r="P137" s="2"/>
      <c r="Q137" s="2"/>
      <c r="R137" s="2"/>
    </row>
    <row r="138" spans="2:18" ht="15" customHeight="1" x14ac:dyDescent="0.2">
      <c r="J138" s="2"/>
      <c r="K138" s="2"/>
      <c r="L138" s="2"/>
      <c r="M138" s="2"/>
      <c r="N138" s="2"/>
      <c r="O138" s="2"/>
      <c r="P138" s="2"/>
      <c r="Q138" s="2"/>
      <c r="R138" s="2"/>
    </row>
    <row r="139" spans="2:18" ht="15" customHeight="1" x14ac:dyDescent="0.2">
      <c r="J139" s="2"/>
      <c r="K139" s="2"/>
      <c r="L139" s="2"/>
      <c r="M139" s="2"/>
      <c r="N139" s="2"/>
      <c r="O139" s="2"/>
      <c r="P139" s="2"/>
      <c r="Q139" s="2"/>
      <c r="R139" s="2"/>
    </row>
    <row r="140" spans="2:18" ht="15" customHeight="1" x14ac:dyDescent="0.2">
      <c r="J140" s="2"/>
      <c r="K140" s="2"/>
      <c r="L140" s="2"/>
      <c r="M140" s="2"/>
      <c r="N140" s="2"/>
      <c r="O140" s="2"/>
      <c r="P140" s="2"/>
      <c r="Q140" s="2"/>
      <c r="R140" s="2"/>
    </row>
    <row r="141" spans="2:18" ht="15" customHeight="1" x14ac:dyDescent="0.2">
      <c r="J141" s="2"/>
      <c r="K141" s="2"/>
      <c r="L141" s="2"/>
      <c r="M141" s="2"/>
      <c r="N141" s="2"/>
      <c r="O141" s="2"/>
      <c r="P141" s="2"/>
      <c r="Q141" s="2"/>
      <c r="R141" s="2"/>
    </row>
    <row r="142" spans="2:18" ht="15" customHeight="1" x14ac:dyDescent="0.2">
      <c r="J142" s="2"/>
      <c r="K142" s="2"/>
      <c r="L142" s="2"/>
      <c r="M142" s="2"/>
      <c r="N142" s="2"/>
      <c r="O142" s="2"/>
      <c r="P142" s="2"/>
      <c r="Q142" s="2"/>
      <c r="R142" s="2"/>
    </row>
    <row r="143" spans="2:18" ht="15" customHeight="1" x14ac:dyDescent="0.2">
      <c r="J143" s="2"/>
      <c r="K143" s="2"/>
      <c r="L143" s="2"/>
      <c r="M143" s="2"/>
      <c r="N143" s="2"/>
      <c r="O143" s="2"/>
      <c r="P143" s="2"/>
      <c r="Q143" s="2"/>
      <c r="R143" s="2"/>
    </row>
    <row r="144" spans="2:18" ht="15" customHeight="1" x14ac:dyDescent="0.2">
      <c r="J144" s="2"/>
      <c r="K144" s="2"/>
      <c r="L144" s="2"/>
      <c r="M144" s="2"/>
      <c r="N144" s="2"/>
      <c r="O144" s="2"/>
      <c r="P144" s="2"/>
      <c r="Q144" s="2"/>
      <c r="R144" s="2"/>
    </row>
    <row r="145" spans="10:18" ht="15" customHeight="1" x14ac:dyDescent="0.2">
      <c r="J145" s="2"/>
      <c r="K145" s="2"/>
      <c r="L145" s="2"/>
      <c r="M145" s="2"/>
      <c r="N145" s="2"/>
      <c r="O145" s="2"/>
      <c r="P145" s="2"/>
      <c r="Q145" s="2"/>
      <c r="R145" s="2"/>
    </row>
    <row r="146" spans="10:18" ht="15" customHeight="1" x14ac:dyDescent="0.2">
      <c r="J146" s="2"/>
      <c r="K146" s="2"/>
      <c r="L146" s="2"/>
      <c r="M146" s="2"/>
      <c r="N146" s="2"/>
      <c r="O146" s="2"/>
      <c r="P146" s="2"/>
      <c r="Q146" s="2"/>
      <c r="R146" s="2"/>
    </row>
    <row r="147" spans="10:18" ht="15" customHeight="1" x14ac:dyDescent="0.2">
      <c r="J147" s="2"/>
      <c r="K147" s="2"/>
      <c r="L147" s="2"/>
      <c r="M147" s="2"/>
      <c r="N147" s="2"/>
      <c r="O147" s="2"/>
      <c r="P147" s="2"/>
      <c r="Q147" s="2"/>
      <c r="R147" s="2"/>
    </row>
    <row r="148" spans="10:18" ht="15" customHeight="1" x14ac:dyDescent="0.2">
      <c r="J148" s="2"/>
      <c r="K148" s="2"/>
      <c r="L148" s="2"/>
      <c r="M148" s="2"/>
      <c r="N148" s="2"/>
      <c r="O148" s="2"/>
      <c r="P148" s="2"/>
      <c r="Q148" s="2"/>
      <c r="R148" s="2"/>
    </row>
    <row r="149" spans="10:18" ht="15" customHeight="1" x14ac:dyDescent="0.2">
      <c r="J149" s="2"/>
      <c r="K149" s="2"/>
      <c r="L149" s="2"/>
      <c r="M149" s="2"/>
      <c r="N149" s="2"/>
      <c r="O149" s="2"/>
      <c r="P149" s="2"/>
      <c r="Q149" s="2"/>
      <c r="R149" s="2"/>
    </row>
    <row r="150" spans="10:18" ht="15" customHeight="1" x14ac:dyDescent="0.2">
      <c r="J150" s="2"/>
      <c r="K150" s="2"/>
      <c r="L150" s="2"/>
      <c r="M150" s="2"/>
      <c r="N150" s="2"/>
      <c r="O150" s="2"/>
      <c r="P150" s="2"/>
      <c r="Q150" s="2"/>
      <c r="R150" s="2"/>
    </row>
    <row r="151" spans="10:18" ht="15" customHeight="1" x14ac:dyDescent="0.2">
      <c r="J151" s="2"/>
      <c r="K151" s="2"/>
      <c r="L151" s="2"/>
      <c r="M151" s="2"/>
      <c r="N151" s="2"/>
      <c r="O151" s="2"/>
      <c r="P151" s="2"/>
      <c r="Q151" s="2"/>
      <c r="R151" s="2"/>
    </row>
    <row r="152" spans="10:18" ht="15" customHeight="1" x14ac:dyDescent="0.2">
      <c r="J152" s="2"/>
      <c r="K152" s="2"/>
      <c r="L152" s="2"/>
      <c r="M152" s="2"/>
      <c r="N152" s="2"/>
      <c r="O152" s="2"/>
      <c r="P152" s="2"/>
      <c r="Q152" s="2"/>
      <c r="R152" s="2"/>
    </row>
    <row r="153" spans="10:18" ht="15" customHeight="1" x14ac:dyDescent="0.2">
      <c r="J153" s="2"/>
      <c r="K153" s="2"/>
      <c r="L153" s="2"/>
      <c r="M153" s="2"/>
      <c r="N153" s="2"/>
      <c r="O153" s="2"/>
      <c r="P153" s="2"/>
      <c r="Q153" s="2"/>
      <c r="R153" s="2"/>
    </row>
    <row r="154" spans="10:18" ht="15" customHeight="1" x14ac:dyDescent="0.2">
      <c r="J154" s="2"/>
      <c r="K154" s="2"/>
      <c r="L154" s="2"/>
      <c r="M154" s="2"/>
      <c r="N154" s="2"/>
      <c r="O154" s="2"/>
      <c r="P154" s="2"/>
      <c r="Q154" s="2"/>
      <c r="R154" s="2"/>
    </row>
    <row r="155" spans="10:18" ht="15" customHeight="1" x14ac:dyDescent="0.2">
      <c r="J155" s="2"/>
      <c r="K155" s="2"/>
      <c r="L155" s="2"/>
      <c r="M155" s="2"/>
      <c r="N155" s="2"/>
      <c r="O155" s="2"/>
      <c r="P155" s="2"/>
      <c r="Q155" s="2"/>
      <c r="R155" s="2"/>
    </row>
    <row r="156" spans="10:18" ht="15" customHeight="1" x14ac:dyDescent="0.2">
      <c r="J156" s="2"/>
      <c r="K156" s="2"/>
      <c r="L156" s="2"/>
      <c r="M156" s="2"/>
      <c r="N156" s="2"/>
      <c r="O156" s="2"/>
      <c r="P156" s="2"/>
      <c r="Q156" s="2"/>
      <c r="R156" s="2"/>
    </row>
    <row r="157" spans="10:18" ht="15" customHeight="1" x14ac:dyDescent="0.2">
      <c r="J157" s="2"/>
      <c r="K157" s="2"/>
      <c r="L157" s="2"/>
      <c r="M157" s="2"/>
      <c r="N157" s="2"/>
      <c r="O157" s="2"/>
      <c r="P157" s="2"/>
      <c r="Q157" s="2"/>
      <c r="R157" s="2"/>
    </row>
    <row r="158" spans="10:18" ht="15" customHeight="1" x14ac:dyDescent="0.2">
      <c r="J158" s="2"/>
      <c r="K158" s="2"/>
      <c r="L158" s="2"/>
      <c r="M158" s="2"/>
      <c r="N158" s="2"/>
      <c r="O158" s="2"/>
      <c r="P158" s="2"/>
      <c r="Q158" s="2"/>
      <c r="R158" s="2"/>
    </row>
    <row r="159" spans="10:18" ht="15" customHeight="1" x14ac:dyDescent="0.2">
      <c r="J159" s="2"/>
      <c r="K159" s="2"/>
      <c r="L159" s="2"/>
      <c r="M159" s="2"/>
      <c r="N159" s="2"/>
      <c r="O159" s="2"/>
      <c r="P159" s="2"/>
      <c r="Q159" s="2"/>
      <c r="R159" s="2"/>
    </row>
    <row r="160" spans="10:18" ht="15" customHeight="1" x14ac:dyDescent="0.2">
      <c r="J160" s="2"/>
      <c r="K160" s="2"/>
      <c r="L160" s="2"/>
      <c r="M160" s="2"/>
      <c r="N160" s="2"/>
      <c r="O160" s="2"/>
      <c r="P160" s="2"/>
      <c r="Q160" s="2"/>
      <c r="R160" s="2"/>
    </row>
    <row r="161" spans="10:18" ht="15" customHeight="1" x14ac:dyDescent="0.2">
      <c r="J161" s="2"/>
      <c r="K161" s="2"/>
      <c r="L161" s="2"/>
      <c r="M161" s="2"/>
      <c r="N161" s="2"/>
      <c r="O161" s="2"/>
      <c r="P161" s="2"/>
      <c r="Q161" s="2"/>
      <c r="R161" s="2"/>
    </row>
    <row r="162" spans="10:18" ht="15" customHeight="1" x14ac:dyDescent="0.2">
      <c r="J162" s="2"/>
      <c r="K162" s="2"/>
      <c r="L162" s="2"/>
      <c r="M162" s="2"/>
      <c r="N162" s="2"/>
      <c r="O162" s="2"/>
      <c r="P162" s="2"/>
      <c r="Q162" s="2"/>
      <c r="R162" s="2"/>
    </row>
    <row r="163" spans="10:18" ht="15" customHeight="1" x14ac:dyDescent="0.2">
      <c r="J163" s="2"/>
      <c r="K163" s="2"/>
      <c r="L163" s="2"/>
      <c r="M163" s="2"/>
      <c r="N163" s="2"/>
      <c r="O163" s="2"/>
      <c r="P163" s="2"/>
      <c r="Q163" s="2"/>
      <c r="R163" s="2"/>
    </row>
    <row r="164" spans="10:18" ht="15" customHeight="1" x14ac:dyDescent="0.2">
      <c r="J164" s="2"/>
      <c r="K164" s="2"/>
      <c r="L164" s="2"/>
      <c r="M164" s="2"/>
      <c r="N164" s="2"/>
      <c r="O164" s="2"/>
      <c r="P164" s="2"/>
      <c r="Q164" s="2"/>
      <c r="R164" s="2"/>
    </row>
    <row r="165" spans="10:18" ht="15" customHeight="1" x14ac:dyDescent="0.2">
      <c r="J165" s="2"/>
      <c r="K165" s="2"/>
      <c r="L165" s="2"/>
      <c r="M165" s="2"/>
      <c r="N165" s="2"/>
      <c r="O165" s="2"/>
      <c r="P165" s="2"/>
      <c r="Q165" s="2"/>
      <c r="R165" s="2"/>
    </row>
    <row r="166" spans="10:18" ht="15" customHeight="1" x14ac:dyDescent="0.2">
      <c r="J166" s="2"/>
      <c r="K166" s="2"/>
      <c r="L166" s="2"/>
      <c r="M166" s="2"/>
      <c r="N166" s="2"/>
      <c r="O166" s="2"/>
      <c r="P166" s="2"/>
      <c r="Q166" s="2"/>
      <c r="R166" s="2"/>
    </row>
    <row r="167" spans="10:18" ht="15" customHeight="1" x14ac:dyDescent="0.2">
      <c r="J167" s="2"/>
      <c r="K167" s="2"/>
      <c r="L167" s="2"/>
      <c r="M167" s="2"/>
      <c r="N167" s="2"/>
      <c r="O167" s="2"/>
      <c r="P167" s="2"/>
      <c r="Q167" s="2"/>
      <c r="R167" s="2"/>
    </row>
    <row r="168" spans="10:18" ht="15" customHeight="1" x14ac:dyDescent="0.2">
      <c r="J168" s="2"/>
      <c r="K168" s="2"/>
      <c r="L168" s="2"/>
      <c r="M168" s="2"/>
      <c r="N168" s="2"/>
      <c r="O168" s="2"/>
      <c r="P168" s="2"/>
      <c r="Q168" s="2"/>
      <c r="R168" s="2"/>
    </row>
    <row r="169" spans="10:18" ht="15" customHeight="1" x14ac:dyDescent="0.2">
      <c r="J169" s="2"/>
      <c r="K169" s="2"/>
      <c r="L169" s="2"/>
      <c r="M169" s="2"/>
      <c r="N169" s="2"/>
      <c r="O169" s="2"/>
      <c r="P169" s="2"/>
      <c r="Q169" s="2"/>
      <c r="R169" s="2"/>
    </row>
    <row r="170" spans="10:18" ht="15" customHeight="1" x14ac:dyDescent="0.2">
      <c r="J170" s="2"/>
      <c r="K170" s="2"/>
      <c r="L170" s="2"/>
      <c r="M170" s="2"/>
      <c r="N170" s="2"/>
      <c r="O170" s="2"/>
      <c r="P170" s="2"/>
      <c r="Q170" s="2"/>
      <c r="R170" s="2"/>
    </row>
    <row r="171" spans="10:18" ht="15" customHeight="1" x14ac:dyDescent="0.2">
      <c r="J171" s="2"/>
      <c r="K171" s="2"/>
      <c r="L171" s="2"/>
      <c r="M171" s="2"/>
      <c r="N171" s="2"/>
      <c r="O171" s="2"/>
      <c r="P171" s="2"/>
      <c r="Q171" s="2"/>
      <c r="R171" s="2"/>
    </row>
    <row r="172" spans="10:18" ht="15" customHeight="1" x14ac:dyDescent="0.2">
      <c r="J172" s="2"/>
      <c r="K172" s="2"/>
      <c r="L172" s="2"/>
      <c r="M172" s="2"/>
      <c r="N172" s="2"/>
      <c r="O172" s="2"/>
      <c r="P172" s="2"/>
      <c r="Q172" s="2"/>
      <c r="R172" s="2"/>
    </row>
    <row r="173" spans="10:18" ht="15" customHeight="1" x14ac:dyDescent="0.2">
      <c r="J173" s="2"/>
      <c r="K173" s="2"/>
      <c r="L173" s="2"/>
      <c r="M173" s="2"/>
      <c r="N173" s="2"/>
      <c r="O173" s="2"/>
      <c r="P173" s="2"/>
      <c r="Q173" s="2"/>
      <c r="R173" s="2"/>
    </row>
    <row r="174" spans="10:18" ht="15" customHeight="1" x14ac:dyDescent="0.2">
      <c r="J174" s="2"/>
      <c r="K174" s="2"/>
      <c r="L174" s="2"/>
      <c r="M174" s="2"/>
      <c r="N174" s="2"/>
      <c r="O174" s="2"/>
      <c r="P174" s="2"/>
      <c r="Q174" s="2"/>
      <c r="R174" s="2"/>
    </row>
  </sheetData>
  <mergeCells count="17">
    <mergeCell ref="C17:N17"/>
    <mergeCell ref="C18:N18"/>
    <mergeCell ref="C19:N19"/>
    <mergeCell ref="B48:E48"/>
    <mergeCell ref="B46:E46"/>
    <mergeCell ref="F48:G48"/>
    <mergeCell ref="F46:G46"/>
    <mergeCell ref="B12:N12"/>
    <mergeCell ref="C13:N13"/>
    <mergeCell ref="C14:N14"/>
    <mergeCell ref="C15:N15"/>
    <mergeCell ref="C16:N16"/>
    <mergeCell ref="B2:F2"/>
    <mergeCell ref="B4:D4"/>
    <mergeCell ref="C6:D6"/>
    <mergeCell ref="C7:D7"/>
    <mergeCell ref="C9:D9"/>
  </mergeCells>
  <conditionalFormatting sqref="C7">
    <cfRule type="containsText" dxfId="181" priority="10" operator="containsText" text="Calcul brouillon, odg">
      <formula>NOT(ISERROR(SEARCH("Calcul brouillon, odg",C7)))</formula>
    </cfRule>
    <cfRule type="containsText" dxfId="180" priority="11" operator="containsText" text="Pas ok">
      <formula>NOT(ISERROR(SEARCH("Pas ok",C7)))</formula>
    </cfRule>
    <cfRule type="containsText" dxfId="179" priority="12" operator="containsText" text="Calcul brouillon, ordre de grandeur">
      <formula>NOT(ISERROR(SEARCH("Calcul brouillon, ordre de grandeur",C7)))</formula>
    </cfRule>
    <cfRule type="containsText" dxfId="178" priority="13" operator="containsText" text="Bon ordre de grandeur">
      <formula>NOT(ISERROR(SEARCH("Bon ordre de grandeur",C7)))</formula>
    </cfRule>
    <cfRule type="containsText" dxfId="177" priority="14" operator="containsText" text="Calcul validé">
      <formula>NOT(ISERROR(SEARCH("Calcul validé",C7)))</formula>
    </cfRule>
    <cfRule type="containsText" dxfId="176" priority="15" operator="containsText" text="Pas ok">
      <formula>NOT(ISERROR(SEARCH("Pas ok",C7)))</formula>
    </cfRule>
    <cfRule type="containsText" dxfId="175" priority="16" operator="containsText" text="Calcul brouillon, ordre de grandeur">
      <formula>NOT(ISERROR(SEARCH("Calcul brouillon, ordre de grandeur",C7)))</formula>
    </cfRule>
    <cfRule type="containsText" dxfId="174" priority="17" operator="containsText" text="Bon ordre de grandeur">
      <formula>NOT(ISERROR(SEARCH("Bon ordre de grandeur",C7)))</formula>
    </cfRule>
    <cfRule type="containsText" dxfId="173" priority="18" operator="containsText" text="Calcul validé">
      <formula>NOT(ISERROR(SEARCH("Calcul validé",C7)))</formula>
    </cfRule>
  </conditionalFormatting>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B1:AO283"/>
  <sheetViews>
    <sheetView zoomScale="50" workbookViewId="0">
      <selection activeCell="M6" sqref="M6"/>
    </sheetView>
  </sheetViews>
  <sheetFormatPr baseColWidth="10" defaultColWidth="9.85546875" defaultRowHeight="16" outlineLevelRow="1" x14ac:dyDescent="0.2"/>
  <cols>
    <col min="1" max="1" width="9.85546875" style="126"/>
    <col min="2" max="2" width="44.42578125" style="126" customWidth="1"/>
    <col min="3" max="3" width="37.28515625" style="126" customWidth="1"/>
    <col min="4" max="4" width="25.28515625" style="126" customWidth="1"/>
    <col min="5" max="6" width="25.28515625" style="55" customWidth="1"/>
    <col min="7" max="7" width="43.5703125" style="2" customWidth="1"/>
    <col min="8" max="10" width="25.28515625" style="2" customWidth="1"/>
    <col min="11" max="16384" width="9.85546875" style="126"/>
  </cols>
  <sheetData>
    <row r="1" spans="2:11" ht="26" customHeight="1" thickBot="1" x14ac:dyDescent="0.25"/>
    <row r="2" spans="2:11" ht="26" customHeight="1" thickBot="1" x14ac:dyDescent="0.25">
      <c r="B2" s="2612" t="s">
        <v>214</v>
      </c>
      <c r="C2" s="2613"/>
      <c r="D2" s="2614"/>
    </row>
    <row r="3" spans="2:11" ht="26" customHeight="1" x14ac:dyDescent="0.2"/>
    <row r="4" spans="2:11" ht="26" customHeight="1" thickBot="1" x14ac:dyDescent="0.25"/>
    <row r="5" spans="2:11" ht="26" customHeight="1" x14ac:dyDescent="0.2">
      <c r="B5" s="2615" t="s">
        <v>215</v>
      </c>
      <c r="C5" s="2616"/>
      <c r="D5" s="2617"/>
    </row>
    <row r="6" spans="2:11" ht="26" customHeight="1" x14ac:dyDescent="0.2">
      <c r="B6" s="127" t="s">
        <v>216</v>
      </c>
      <c r="C6" s="128">
        <f>ROUND(D30,-1)</f>
        <v>8780</v>
      </c>
      <c r="D6" s="129" t="s">
        <v>19</v>
      </c>
    </row>
    <row r="7" spans="2:11" ht="26" customHeight="1" x14ac:dyDescent="0.2">
      <c r="B7" s="127" t="s">
        <v>217</v>
      </c>
      <c r="C7" s="128">
        <f>ROUND(E30,-1)</f>
        <v>460</v>
      </c>
      <c r="D7" s="129" t="s">
        <v>19</v>
      </c>
    </row>
    <row r="8" spans="2:11" ht="26" customHeight="1" thickBot="1" x14ac:dyDescent="0.25">
      <c r="B8" s="130" t="s">
        <v>218</v>
      </c>
      <c r="C8" s="131">
        <f>(C7-C6)/C6</f>
        <v>-0.94760820045558092</v>
      </c>
      <c r="D8" s="132"/>
    </row>
    <row r="9" spans="2:11" ht="26" customHeight="1" x14ac:dyDescent="0.2"/>
    <row r="10" spans="2:11" ht="26" customHeight="1" x14ac:dyDescent="0.2">
      <c r="B10" s="2"/>
      <c r="C10" s="2"/>
      <c r="D10" s="2"/>
    </row>
    <row r="11" spans="2:11" ht="28" customHeight="1" x14ac:dyDescent="0.2">
      <c r="B11" s="133" t="s">
        <v>219</v>
      </c>
      <c r="C11" s="134"/>
      <c r="D11" s="134"/>
      <c r="E11" s="134"/>
      <c r="F11" s="134"/>
      <c r="G11" s="134"/>
      <c r="H11" s="134"/>
      <c r="I11" s="134"/>
      <c r="J11" s="134"/>
    </row>
    <row r="12" spans="2:11" ht="28" customHeight="1" thickBot="1" x14ac:dyDescent="0.25">
      <c r="B12" s="135"/>
      <c r="C12" s="136"/>
      <c r="D12" s="136"/>
      <c r="E12" s="137"/>
      <c r="F12" s="136"/>
      <c r="G12" s="136"/>
      <c r="H12" s="136"/>
      <c r="I12" s="136"/>
      <c r="J12" s="136"/>
    </row>
    <row r="13" spans="2:11" ht="36" customHeight="1" thickBot="1" x14ac:dyDescent="0.25">
      <c r="B13" s="661" t="s">
        <v>149</v>
      </c>
      <c r="C13" s="935" t="s">
        <v>220</v>
      </c>
      <c r="D13" s="936" t="s">
        <v>221</v>
      </c>
      <c r="E13" s="937" t="s">
        <v>222</v>
      </c>
      <c r="F13" s="938" t="s">
        <v>223</v>
      </c>
      <c r="G13" s="937" t="s">
        <v>222</v>
      </c>
      <c r="H13" s="665" t="s">
        <v>224</v>
      </c>
      <c r="J13" s="138"/>
      <c r="K13" s="139"/>
    </row>
    <row r="14" spans="2:11" s="2" customFormat="1" ht="28" customHeight="1" x14ac:dyDescent="0.2">
      <c r="F14" s="539"/>
    </row>
    <row r="15" spans="2:11" ht="26" customHeight="1" x14ac:dyDescent="0.2">
      <c r="B15" s="133" t="s">
        <v>225</v>
      </c>
    </row>
    <row r="16" spans="2:11" ht="26" customHeight="1" x14ac:dyDescent="0.2">
      <c r="B16" s="133"/>
    </row>
    <row r="17" spans="2:39" ht="23" customHeight="1" x14ac:dyDescent="0.2">
      <c r="B17" s="145" t="s">
        <v>1596</v>
      </c>
      <c r="G17" s="145" t="s">
        <v>1597</v>
      </c>
    </row>
    <row r="18" spans="2:39" ht="23" customHeight="1" outlineLevel="1" thickBot="1" x14ac:dyDescent="0.25">
      <c r="B18" s="145"/>
    </row>
    <row r="19" spans="2:39" ht="34" customHeight="1" outlineLevel="1" thickBot="1" x14ac:dyDescent="0.25">
      <c r="C19" s="140"/>
      <c r="D19" s="141">
        <v>2022</v>
      </c>
      <c r="E19" s="141">
        <v>2050</v>
      </c>
      <c r="G19" s="2627" t="s">
        <v>226</v>
      </c>
      <c r="H19" s="2628"/>
      <c r="I19" s="2628"/>
      <c r="J19" s="2629"/>
    </row>
    <row r="20" spans="2:39" ht="34" customHeight="1" outlineLevel="1" thickBot="1" x14ac:dyDescent="0.25">
      <c r="B20" s="2618" t="s">
        <v>227</v>
      </c>
      <c r="C20" s="657" t="s">
        <v>228</v>
      </c>
      <c r="D20" s="1781">
        <f>'6'!$C$104</f>
        <v>5.1999999999999998E-2</v>
      </c>
      <c r="E20" s="1781">
        <f>C73</f>
        <v>1.2157792712505094E-2</v>
      </c>
      <c r="G20" s="631"/>
      <c r="H20" s="632"/>
      <c r="I20" s="540">
        <v>2050</v>
      </c>
      <c r="J20" s="624" t="s">
        <v>1320</v>
      </c>
    </row>
    <row r="21" spans="2:39" s="2" customFormat="1" ht="34" customHeight="1" outlineLevel="1" x14ac:dyDescent="0.2">
      <c r="B21" s="2619"/>
      <c r="C21" s="658" t="s">
        <v>229</v>
      </c>
      <c r="D21" s="1782">
        <f>'1'!C138</f>
        <v>0.32400000000000001</v>
      </c>
      <c r="E21" s="1782">
        <f t="shared" ref="E21" si="0">C74</f>
        <v>0.32400000000000001</v>
      </c>
      <c r="G21" s="930" t="s">
        <v>230</v>
      </c>
      <c r="H21" s="633">
        <v>0</v>
      </c>
      <c r="I21" s="633">
        <f>D30</f>
        <v>8777.1747453238986</v>
      </c>
      <c r="J21" s="927"/>
    </row>
    <row r="22" spans="2:39" s="2" customFormat="1" ht="34" customHeight="1" outlineLevel="1" x14ac:dyDescent="0.2">
      <c r="B22" s="2619"/>
      <c r="C22" s="658" t="s">
        <v>2029</v>
      </c>
      <c r="D22" s="1782">
        <f>'1'!C139</f>
        <v>0.22700000000000001</v>
      </c>
      <c r="E22" s="1782">
        <f t="shared" ref="E22:E23" si="1">C76</f>
        <v>2.2871536523929481E-2</v>
      </c>
      <c r="G22" s="934" t="s">
        <v>1334</v>
      </c>
      <c r="H22" s="633">
        <f>I21-I22</f>
        <v>5236.569641115344</v>
      </c>
      <c r="I22" s="634">
        <f>-(D29*(E24*D20+(E25+E26)*D21+E27*D22+D23*E28)-I21)</f>
        <v>3540.6051042085546</v>
      </c>
      <c r="J22" s="928">
        <f>I22/$I$21</f>
        <v>0.40338778786361029</v>
      </c>
    </row>
    <row r="23" spans="2:39" s="2" customFormat="1" ht="34" customHeight="1" outlineLevel="1" thickBot="1" x14ac:dyDescent="0.25">
      <c r="B23" s="2620"/>
      <c r="C23" s="659" t="s">
        <v>231</v>
      </c>
      <c r="D23" s="1783">
        <f>'7'!C132</f>
        <v>0.112</v>
      </c>
      <c r="E23" s="1784">
        <f t="shared" si="1"/>
        <v>1.6760563380281687E-2</v>
      </c>
      <c r="G23" s="933" t="s">
        <v>1335</v>
      </c>
      <c r="H23" s="633">
        <f>H22-I23</f>
        <v>2094.6278564461372</v>
      </c>
      <c r="I23" s="633">
        <f>-(E29*(E24*D20+(E25+E26)*D21+E27*D22+D23*E28)-D29*(E24*D20+(E25+E26)*D21+E27*D22+D23*E28))</f>
        <v>3141.9417846692068</v>
      </c>
      <c r="J23" s="928">
        <f>I23/$I$21</f>
        <v>0.35796732728183384</v>
      </c>
    </row>
    <row r="24" spans="2:39" s="2" customFormat="1" ht="34" customHeight="1" outlineLevel="1" x14ac:dyDescent="0.2">
      <c r="B24" s="2621" t="s">
        <v>223</v>
      </c>
      <c r="C24" s="657" t="s">
        <v>232</v>
      </c>
      <c r="D24" s="1785">
        <f>'6'!F113</f>
        <v>0.75098746637983971</v>
      </c>
      <c r="E24" s="1786">
        <f>C139</f>
        <v>0.91354430512399298</v>
      </c>
      <c r="G24" s="932" t="s">
        <v>1336</v>
      </c>
      <c r="H24" s="633">
        <f>H23-I24</f>
        <v>459.88461412518882</v>
      </c>
      <c r="I24" s="633">
        <f>-(E29*(E24*E20+(E25+E26)*E21+E27*E22+E23*E28)-E29*(E24*D20+(E25+E26)*D21+E27*D22+D23*E28))</f>
        <v>1634.7432423209484</v>
      </c>
      <c r="J24" s="928">
        <f>I24/$I$21</f>
        <v>0.18624936722284915</v>
      </c>
    </row>
    <row r="25" spans="2:39" s="2" customFormat="1" ht="34" customHeight="1" outlineLevel="1" thickBot="1" x14ac:dyDescent="0.25">
      <c r="B25" s="2622"/>
      <c r="C25" s="658" t="s">
        <v>43</v>
      </c>
      <c r="D25" s="1787">
        <f>'6'!F114</f>
        <v>2.2240554845756141E-2</v>
      </c>
      <c r="E25" s="1788">
        <f t="shared" ref="E25:E28" si="2">C140</f>
        <v>0</v>
      </c>
      <c r="G25" s="931" t="s">
        <v>234</v>
      </c>
      <c r="H25" s="635">
        <v>0</v>
      </c>
      <c r="I25" s="635">
        <f>E30</f>
        <v>459.88461412518876</v>
      </c>
      <c r="J25" s="929"/>
    </row>
    <row r="26" spans="2:39" s="2" customFormat="1" ht="34" customHeight="1" outlineLevel="1" x14ac:dyDescent="0.2">
      <c r="B26" s="2622"/>
      <c r="C26" s="658" t="s">
        <v>1464</v>
      </c>
      <c r="D26" s="1787">
        <f>'6'!F115</f>
        <v>2.3526920341800643E-2</v>
      </c>
      <c r="E26" s="1788">
        <f t="shared" si="2"/>
        <v>0</v>
      </c>
      <c r="J26" s="220"/>
    </row>
    <row r="27" spans="2:39" s="2" customFormat="1" ht="34" customHeight="1" outlineLevel="1" x14ac:dyDescent="0.2">
      <c r="B27" s="2622"/>
      <c r="C27" s="658" t="s">
        <v>236</v>
      </c>
      <c r="D27" s="1787">
        <f>'6'!F116</f>
        <v>0.16704346100202652</v>
      </c>
      <c r="E27" s="1789">
        <f t="shared" si="2"/>
        <v>0</v>
      </c>
      <c r="J27" s="220"/>
    </row>
    <row r="28" spans="2:39" s="2" customFormat="1" ht="34" customHeight="1" outlineLevel="1" thickBot="1" x14ac:dyDescent="0.25">
      <c r="B28" s="2623"/>
      <c r="C28" s="659" t="s">
        <v>46</v>
      </c>
      <c r="D28" s="1790">
        <f>'6'!F117</f>
        <v>3.6201597430577097E-2</v>
      </c>
      <c r="E28" s="1791">
        <f t="shared" si="2"/>
        <v>8.6455694876007058E-2</v>
      </c>
      <c r="AM28" s="220"/>
    </row>
    <row r="29" spans="2:39" s="2" customFormat="1" ht="41" customHeight="1" outlineLevel="1" thickBot="1" x14ac:dyDescent="0.25">
      <c r="B29" s="665" t="s">
        <v>224</v>
      </c>
      <c r="C29" s="660" t="s">
        <v>1467</v>
      </c>
      <c r="D29" s="1792">
        <f>'6'!E118/1000</f>
        <v>91568.684364927831</v>
      </c>
      <c r="E29" s="1793">
        <f>C166</f>
        <v>36627.473745971132</v>
      </c>
      <c r="AM29" s="539"/>
    </row>
    <row r="30" spans="2:39" ht="36" customHeight="1" outlineLevel="1" thickBot="1" x14ac:dyDescent="0.25">
      <c r="B30" s="661" t="s">
        <v>149</v>
      </c>
      <c r="C30" s="662" t="s">
        <v>237</v>
      </c>
      <c r="D30" s="663">
        <f>D29*(D24*D20+(D25+D26)*D21+D27*D22+D23*D28)</f>
        <v>8777.1747453238986</v>
      </c>
      <c r="E30" s="664">
        <f>E29*(E24*E20+(E25+E26)*E21+E27*E22+E23*E28)</f>
        <v>459.88461412518876</v>
      </c>
      <c r="AM30" s="2003"/>
    </row>
    <row r="31" spans="2:39" ht="28" customHeight="1" outlineLevel="1" x14ac:dyDescent="0.2">
      <c r="E31" s="126"/>
    </row>
    <row r="32" spans="2:39" ht="28" customHeight="1" x14ac:dyDescent="0.2">
      <c r="L32" s="143"/>
    </row>
    <row r="33" spans="2:41" ht="28" customHeight="1" x14ac:dyDescent="0.2">
      <c r="B33" s="144" t="s">
        <v>1470</v>
      </c>
      <c r="L33" s="143"/>
    </row>
    <row r="34" spans="2:41" ht="28" customHeight="1" x14ac:dyDescent="0.2">
      <c r="B34" s="144"/>
      <c r="L34" s="143"/>
    </row>
    <row r="35" spans="2:41" ht="28" customHeight="1" x14ac:dyDescent="0.2">
      <c r="B35" s="145" t="s">
        <v>238</v>
      </c>
      <c r="E35" s="126"/>
      <c r="F35" s="126"/>
      <c r="G35" s="126"/>
      <c r="H35" s="126"/>
    </row>
    <row r="36" spans="2:41" ht="28" hidden="1" customHeight="1" outlineLevel="1" thickBot="1" x14ac:dyDescent="0.25">
      <c r="E36" s="126"/>
      <c r="F36" s="126"/>
      <c r="G36" s="126"/>
      <c r="H36" s="126"/>
    </row>
    <row r="37" spans="2:41" ht="40" hidden="1" customHeight="1" outlineLevel="1" x14ac:dyDescent="0.2">
      <c r="B37" s="146" t="s">
        <v>26</v>
      </c>
      <c r="C37" s="2624" t="s">
        <v>239</v>
      </c>
      <c r="D37" s="2625"/>
      <c r="E37" s="2625"/>
      <c r="F37" s="2625"/>
      <c r="G37" s="2625"/>
      <c r="H37" s="2625"/>
      <c r="I37" s="2625"/>
      <c r="J37" s="2625"/>
      <c r="K37" s="2626"/>
    </row>
    <row r="38" spans="2:41" ht="37" hidden="1" customHeight="1" outlineLevel="1" x14ac:dyDescent="0.2">
      <c r="B38" s="147" t="s">
        <v>27</v>
      </c>
      <c r="C38" s="2630" t="s">
        <v>240</v>
      </c>
      <c r="D38" s="2631"/>
      <c r="E38" s="2631"/>
      <c r="F38" s="2631"/>
      <c r="G38" s="2631"/>
      <c r="H38" s="2631"/>
      <c r="I38" s="2631"/>
      <c r="J38" s="2631"/>
      <c r="K38" s="2632"/>
    </row>
    <row r="39" spans="2:41" ht="104" hidden="1" customHeight="1" outlineLevel="1" thickBot="1" x14ac:dyDescent="0.25">
      <c r="B39" s="148" t="s">
        <v>28</v>
      </c>
      <c r="C39" s="2633" t="s">
        <v>241</v>
      </c>
      <c r="D39" s="2634"/>
      <c r="E39" s="2634"/>
      <c r="F39" s="2634"/>
      <c r="G39" s="2634"/>
      <c r="H39" s="2634"/>
      <c r="I39" s="2634"/>
      <c r="J39" s="2634"/>
      <c r="K39" s="2635"/>
    </row>
    <row r="40" spans="2:41" ht="28" hidden="1" customHeight="1" outlineLevel="1" x14ac:dyDescent="0.2">
      <c r="E40" s="126"/>
      <c r="F40" s="126"/>
      <c r="G40" s="126"/>
      <c r="H40" s="126"/>
    </row>
    <row r="41" spans="2:41" s="142" customFormat="1" ht="14" hidden="1" outlineLevel="1" x14ac:dyDescent="0.15">
      <c r="B41" s="149" t="s">
        <v>242</v>
      </c>
    </row>
    <row r="42" spans="2:41" s="142" customFormat="1" ht="14" hidden="1" outlineLevel="1" x14ac:dyDescent="0.15">
      <c r="B42" s="150"/>
    </row>
    <row r="43" spans="2:41" s="142" customFormat="1" ht="14" hidden="1" outlineLevel="1" x14ac:dyDescent="0.15">
      <c r="B43" s="142" t="s">
        <v>243</v>
      </c>
    </row>
    <row r="44" spans="2:41" s="142" customFormat="1" ht="14" hidden="1" outlineLevel="1" x14ac:dyDescent="0.15">
      <c r="B44" s="151"/>
      <c r="C44" s="152"/>
      <c r="D44" s="152"/>
      <c r="E44" s="152"/>
      <c r="F44" s="153"/>
      <c r="G44" s="154"/>
      <c r="H44" s="152"/>
      <c r="I44" s="152"/>
    </row>
    <row r="45" spans="2:41" s="142" customFormat="1" ht="15" hidden="1" outlineLevel="1" thickBot="1" x14ac:dyDescent="0.2">
      <c r="B45" s="155" t="s">
        <v>244</v>
      </c>
      <c r="AO45" s="155"/>
    </row>
    <row r="46" spans="2:41" s="142" customFormat="1" ht="17" hidden="1" outlineLevel="1" thickBot="1" x14ac:dyDescent="0.2">
      <c r="C46" s="156">
        <v>2018</v>
      </c>
      <c r="D46" s="157">
        <v>2019</v>
      </c>
      <c r="E46" s="157">
        <v>2020</v>
      </c>
      <c r="F46" s="157">
        <v>2021</v>
      </c>
      <c r="G46" s="157">
        <v>2022</v>
      </c>
      <c r="H46" s="158">
        <v>2050</v>
      </c>
    </row>
    <row r="47" spans="2:41" s="142" customFormat="1" ht="15" hidden="1" outlineLevel="1" x14ac:dyDescent="0.15">
      <c r="B47" s="159" t="s">
        <v>245</v>
      </c>
      <c r="C47" s="160">
        <v>47.8</v>
      </c>
      <c r="D47" s="160">
        <v>46.621038592564396</v>
      </c>
      <c r="E47" s="160">
        <v>45.442077185128795</v>
      </c>
      <c r="F47" s="160">
        <v>44.263115777693201</v>
      </c>
      <c r="G47" s="160">
        <v>43.0841543702576</v>
      </c>
      <c r="H47" s="161">
        <v>10.07323496206082</v>
      </c>
    </row>
    <row r="48" spans="2:41" s="142" customFormat="1" ht="15" hidden="1" outlineLevel="1" x14ac:dyDescent="0.15">
      <c r="B48" s="162" t="s">
        <v>46</v>
      </c>
      <c r="C48" s="163">
        <v>116</v>
      </c>
      <c r="D48" s="163">
        <v>116.2</v>
      </c>
      <c r="E48" s="163">
        <v>116.4</v>
      </c>
      <c r="F48" s="163">
        <v>115</v>
      </c>
      <c r="G48" s="163">
        <v>113.60000000000001</v>
      </c>
      <c r="H48" s="164">
        <v>17</v>
      </c>
    </row>
    <row r="49" spans="2:29" s="142" customFormat="1" ht="15" hidden="1" outlineLevel="1" x14ac:dyDescent="0.15">
      <c r="B49" s="162" t="s">
        <v>126</v>
      </c>
      <c r="C49" s="163">
        <v>300</v>
      </c>
      <c r="D49" s="163">
        <v>300</v>
      </c>
      <c r="E49" s="163">
        <v>300</v>
      </c>
      <c r="F49" s="163">
        <v>300</v>
      </c>
      <c r="G49" s="163">
        <v>300</v>
      </c>
      <c r="H49" s="164">
        <v>300</v>
      </c>
    </row>
    <row r="50" spans="2:29" s="142" customFormat="1" hidden="1" outlineLevel="1" thickBot="1" x14ac:dyDescent="0.2">
      <c r="B50" s="165" t="s">
        <v>246</v>
      </c>
      <c r="C50" s="166">
        <v>224</v>
      </c>
      <c r="D50" s="166">
        <v>217.625</v>
      </c>
      <c r="E50" s="166">
        <v>211.25</v>
      </c>
      <c r="F50" s="166">
        <v>204.875</v>
      </c>
      <c r="G50" s="166">
        <v>198.5</v>
      </c>
      <c r="H50" s="167">
        <v>20</v>
      </c>
    </row>
    <row r="51" spans="2:29" s="142" customFormat="1" ht="14" hidden="1" outlineLevel="1" x14ac:dyDescent="0.15">
      <c r="B51" s="1923"/>
      <c r="C51" s="1924"/>
      <c r="D51" s="1924"/>
      <c r="E51" s="1924"/>
      <c r="F51" s="1924"/>
      <c r="G51" s="1924"/>
      <c r="H51" s="1924"/>
      <c r="I51" s="1924"/>
      <c r="J51" s="1924"/>
      <c r="K51" s="1924"/>
      <c r="L51" s="1924"/>
      <c r="M51" s="1924"/>
      <c r="N51" s="1924"/>
      <c r="O51" s="1924"/>
      <c r="P51" s="1924"/>
      <c r="Q51" s="1924"/>
      <c r="R51" s="1924"/>
      <c r="S51" s="1924"/>
      <c r="T51" s="1924"/>
      <c r="U51" s="1924"/>
      <c r="V51" s="1924"/>
      <c r="W51" s="1924"/>
      <c r="X51" s="1924"/>
      <c r="Y51" s="1924"/>
      <c r="Z51" s="1924"/>
      <c r="AA51" s="1924"/>
      <c r="AB51" s="1924"/>
      <c r="AC51" s="1924"/>
    </row>
    <row r="52" spans="2:29" s="142" customFormat="1" ht="14" hidden="1" outlineLevel="1" x14ac:dyDescent="0.15">
      <c r="B52" s="149" t="s">
        <v>247</v>
      </c>
    </row>
    <row r="53" spans="2:29" s="142" customFormat="1" ht="22" hidden="1" customHeight="1" outlineLevel="1" x14ac:dyDescent="0.15">
      <c r="B53" s="168" t="s">
        <v>248</v>
      </c>
    </row>
    <row r="54" spans="2:29" s="142" customFormat="1" ht="19" hidden="1" customHeight="1" outlineLevel="1" thickBot="1" x14ac:dyDescent="0.2">
      <c r="B54" s="169" t="s">
        <v>249</v>
      </c>
      <c r="C54" s="152"/>
      <c r="D54" s="152"/>
      <c r="E54" s="152"/>
      <c r="F54" s="153"/>
      <c r="G54" s="154"/>
      <c r="H54" s="152"/>
      <c r="I54" s="152"/>
    </row>
    <row r="55" spans="2:29" s="142" customFormat="1" ht="17" hidden="1" outlineLevel="1" thickBot="1" x14ac:dyDescent="0.2">
      <c r="C55" s="156">
        <v>2022</v>
      </c>
      <c r="D55" s="158">
        <v>2050</v>
      </c>
    </row>
    <row r="56" spans="2:29" s="142" customFormat="1" ht="15" hidden="1" outlineLevel="1" x14ac:dyDescent="0.15">
      <c r="B56" s="170" t="s">
        <v>245</v>
      </c>
      <c r="C56" s="171" t="s">
        <v>250</v>
      </c>
      <c r="D56" s="172">
        <f t="shared" ref="D56:D59" si="3">(H47-G47)/G47</f>
        <v>-0.76619629399028666</v>
      </c>
    </row>
    <row r="57" spans="2:29" s="142" customFormat="1" ht="15" hidden="1" outlineLevel="1" x14ac:dyDescent="0.15">
      <c r="B57" s="173" t="s">
        <v>46</v>
      </c>
      <c r="C57" s="174" t="s">
        <v>250</v>
      </c>
      <c r="D57" s="175">
        <f>(H48-G48)/G48</f>
        <v>-0.85035211267605637</v>
      </c>
    </row>
    <row r="58" spans="2:29" s="142" customFormat="1" ht="15" hidden="1" outlineLevel="1" x14ac:dyDescent="0.15">
      <c r="B58" s="173" t="s">
        <v>126</v>
      </c>
      <c r="C58" s="174" t="s">
        <v>250</v>
      </c>
      <c r="D58" s="175">
        <f t="shared" si="3"/>
        <v>0</v>
      </c>
    </row>
    <row r="59" spans="2:29" s="142" customFormat="1" hidden="1" outlineLevel="1" thickBot="1" x14ac:dyDescent="0.2">
      <c r="B59" s="176" t="s">
        <v>246</v>
      </c>
      <c r="C59" s="177" t="s">
        <v>250</v>
      </c>
      <c r="D59" s="178">
        <f t="shared" si="3"/>
        <v>-0.89924433249370272</v>
      </c>
    </row>
    <row r="60" spans="2:29" ht="28" hidden="1" customHeight="1" outlineLevel="1" x14ac:dyDescent="0.2">
      <c r="E60" s="126"/>
      <c r="F60" s="126"/>
      <c r="G60" s="126"/>
      <c r="H60" s="126"/>
    </row>
    <row r="61" spans="2:29" s="142" customFormat="1" ht="14" hidden="1" outlineLevel="1" x14ac:dyDescent="0.15">
      <c r="B61" s="149" t="s">
        <v>251</v>
      </c>
    </row>
    <row r="62" spans="2:29" s="142" customFormat="1" ht="15" hidden="1" outlineLevel="1" thickBot="1" x14ac:dyDescent="0.2">
      <c r="B62" s="168" t="s">
        <v>252</v>
      </c>
    </row>
    <row r="63" spans="2:29" s="142" customFormat="1" ht="17" hidden="1" outlineLevel="1" thickBot="1" x14ac:dyDescent="0.2">
      <c r="B63" s="168"/>
      <c r="C63" s="158">
        <v>2050</v>
      </c>
    </row>
    <row r="64" spans="2:29" hidden="1" outlineLevel="1" x14ac:dyDescent="0.2">
      <c r="B64" s="179" t="s">
        <v>232</v>
      </c>
      <c r="C64" s="180">
        <f>D56</f>
        <v>-0.76619629399028666</v>
      </c>
      <c r="E64" s="126"/>
      <c r="F64" s="126"/>
      <c r="G64" s="126"/>
      <c r="J64" s="126"/>
    </row>
    <row r="65" spans="2:10" hidden="1" outlineLevel="1" x14ac:dyDescent="0.2">
      <c r="B65" s="181" t="s">
        <v>233</v>
      </c>
      <c r="C65" s="182">
        <f>D58</f>
        <v>0</v>
      </c>
      <c r="E65" s="126"/>
      <c r="F65" s="126"/>
      <c r="G65" s="126"/>
      <c r="J65" s="126"/>
    </row>
    <row r="66" spans="2:10" hidden="1" outlineLevel="1" x14ac:dyDescent="0.2">
      <c r="B66" s="181" t="s">
        <v>235</v>
      </c>
      <c r="C66" s="182">
        <f t="shared" ref="C66:C67" si="4">D58</f>
        <v>0</v>
      </c>
      <c r="E66" s="126"/>
      <c r="F66" s="126"/>
      <c r="G66" s="126"/>
      <c r="J66" s="126"/>
    </row>
    <row r="67" spans="2:10" hidden="1" outlineLevel="1" x14ac:dyDescent="0.2">
      <c r="B67" s="181" t="s">
        <v>236</v>
      </c>
      <c r="C67" s="182">
        <f t="shared" si="4"/>
        <v>-0.89924433249370272</v>
      </c>
      <c r="E67" s="126"/>
      <c r="F67" s="126"/>
      <c r="G67" s="126"/>
      <c r="J67" s="126"/>
    </row>
    <row r="68" spans="2:10" ht="17" hidden="1" outlineLevel="1" thickBot="1" x14ac:dyDescent="0.25">
      <c r="B68" s="183" t="s">
        <v>46</v>
      </c>
      <c r="C68" s="184">
        <f>D57</f>
        <v>-0.85035211267605637</v>
      </c>
      <c r="E68" s="126"/>
      <c r="F68" s="126"/>
      <c r="G68" s="126"/>
      <c r="J68" s="126"/>
    </row>
    <row r="69" spans="2:10" ht="28" hidden="1" customHeight="1" outlineLevel="1" x14ac:dyDescent="0.2">
      <c r="E69" s="126"/>
      <c r="F69" s="126"/>
      <c r="G69" s="126"/>
      <c r="H69" s="126"/>
    </row>
    <row r="70" spans="2:10" s="142" customFormat="1" ht="14" hidden="1" outlineLevel="1" x14ac:dyDescent="0.15">
      <c r="B70" s="149" t="s">
        <v>253</v>
      </c>
    </row>
    <row r="71" spans="2:10" s="142" customFormat="1" ht="15" hidden="1" outlineLevel="1" thickBot="1" x14ac:dyDescent="0.2">
      <c r="B71" s="168" t="s">
        <v>252</v>
      </c>
    </row>
    <row r="72" spans="2:10" s="142" customFormat="1" ht="17" hidden="1" outlineLevel="1" thickBot="1" x14ac:dyDescent="0.2">
      <c r="B72" s="168"/>
      <c r="C72" s="158">
        <v>2050</v>
      </c>
    </row>
    <row r="73" spans="2:10" hidden="1" outlineLevel="1" x14ac:dyDescent="0.2">
      <c r="B73" s="179" t="s">
        <v>232</v>
      </c>
      <c r="C73" s="185">
        <f t="shared" ref="C73:C74" si="5">D20*(1+C64)</f>
        <v>1.2157792712505094E-2</v>
      </c>
      <c r="E73" s="126"/>
      <c r="F73" s="126"/>
      <c r="G73" s="126"/>
      <c r="J73" s="126"/>
    </row>
    <row r="74" spans="2:10" hidden="1" outlineLevel="1" x14ac:dyDescent="0.2">
      <c r="B74" s="181" t="s">
        <v>233</v>
      </c>
      <c r="C74" s="186">
        <f t="shared" si="5"/>
        <v>0.32400000000000001</v>
      </c>
      <c r="E74" s="126"/>
      <c r="F74" s="126"/>
      <c r="G74" s="126"/>
      <c r="J74" s="126"/>
    </row>
    <row r="75" spans="2:10" hidden="1" outlineLevel="1" x14ac:dyDescent="0.2">
      <c r="B75" s="181" t="s">
        <v>235</v>
      </c>
      <c r="C75" s="186">
        <f t="shared" ref="C75:C77" si="6">D21*(1+C66)</f>
        <v>0.32400000000000001</v>
      </c>
      <c r="E75" s="126"/>
      <c r="F75" s="126"/>
      <c r="G75" s="126"/>
      <c r="J75" s="126"/>
    </row>
    <row r="76" spans="2:10" hidden="1" outlineLevel="1" x14ac:dyDescent="0.2">
      <c r="B76" s="181" t="s">
        <v>236</v>
      </c>
      <c r="C76" s="186">
        <f t="shared" si="6"/>
        <v>2.2871536523929481E-2</v>
      </c>
      <c r="E76" s="126"/>
      <c r="F76" s="126"/>
      <c r="G76" s="126"/>
      <c r="J76" s="126"/>
    </row>
    <row r="77" spans="2:10" ht="17" hidden="1" outlineLevel="1" thickBot="1" x14ac:dyDescent="0.25">
      <c r="B77" s="183" t="s">
        <v>46</v>
      </c>
      <c r="C77" s="187">
        <f t="shared" si="6"/>
        <v>1.6760563380281687E-2</v>
      </c>
      <c r="E77" s="126"/>
      <c r="F77" s="126"/>
      <c r="G77" s="126"/>
      <c r="J77" s="126"/>
    </row>
    <row r="78" spans="2:10" ht="28" hidden="1" customHeight="1" outlineLevel="1" x14ac:dyDescent="0.2">
      <c r="E78" s="126"/>
      <c r="F78" s="126"/>
      <c r="G78" s="126"/>
      <c r="H78" s="126"/>
    </row>
    <row r="79" spans="2:10" ht="28" hidden="1" customHeight="1" outlineLevel="1" x14ac:dyDescent="0.2">
      <c r="E79" s="126"/>
      <c r="F79" s="126"/>
      <c r="G79" s="126"/>
      <c r="H79" s="126"/>
    </row>
    <row r="80" spans="2:10" ht="28" customHeight="1" collapsed="1" x14ac:dyDescent="0.2">
      <c r="E80" s="126"/>
      <c r="F80" s="126"/>
      <c r="G80" s="126"/>
      <c r="H80" s="126"/>
    </row>
    <row r="81" spans="2:11" ht="28" customHeight="1" x14ac:dyDescent="0.2">
      <c r="B81" s="145" t="s">
        <v>254</v>
      </c>
      <c r="E81" s="126"/>
      <c r="F81" s="126"/>
      <c r="G81" s="126"/>
      <c r="H81" s="126"/>
    </row>
    <row r="82" spans="2:11" ht="28" hidden="1" customHeight="1" outlineLevel="1" thickBot="1" x14ac:dyDescent="0.25">
      <c r="E82" s="126"/>
      <c r="F82" s="126"/>
      <c r="G82" s="126"/>
      <c r="H82" s="126"/>
    </row>
    <row r="83" spans="2:11" ht="40" hidden="1" customHeight="1" outlineLevel="1" x14ac:dyDescent="0.2">
      <c r="B83" s="146" t="s">
        <v>26</v>
      </c>
      <c r="C83" s="2624" t="s">
        <v>255</v>
      </c>
      <c r="D83" s="2625"/>
      <c r="E83" s="2625"/>
      <c r="F83" s="2625"/>
      <c r="G83" s="2625"/>
      <c r="H83" s="2625"/>
      <c r="I83" s="2625"/>
      <c r="J83" s="2625"/>
      <c r="K83" s="2626"/>
    </row>
    <row r="84" spans="2:11" ht="37" hidden="1" customHeight="1" outlineLevel="1" x14ac:dyDescent="0.2">
      <c r="B84" s="147" t="s">
        <v>27</v>
      </c>
      <c r="C84" s="2630" t="s">
        <v>240</v>
      </c>
      <c r="D84" s="2631"/>
      <c r="E84" s="2631"/>
      <c r="F84" s="2631"/>
      <c r="G84" s="2631"/>
      <c r="H84" s="2631"/>
      <c r="I84" s="2631"/>
      <c r="J84" s="2631"/>
      <c r="K84" s="2632"/>
    </row>
    <row r="85" spans="2:11" ht="104" hidden="1" customHeight="1" outlineLevel="1" thickBot="1" x14ac:dyDescent="0.25">
      <c r="B85" s="148" t="s">
        <v>28</v>
      </c>
      <c r="C85" s="2633" t="s">
        <v>256</v>
      </c>
      <c r="D85" s="2634"/>
      <c r="E85" s="2634"/>
      <c r="F85" s="2634"/>
      <c r="G85" s="2634"/>
      <c r="H85" s="2634"/>
      <c r="I85" s="2634"/>
      <c r="J85" s="2634"/>
      <c r="K85" s="2635"/>
    </row>
    <row r="86" spans="2:11" ht="28" hidden="1" customHeight="1" outlineLevel="1" x14ac:dyDescent="0.2">
      <c r="E86" s="126"/>
      <c r="F86" s="126"/>
      <c r="G86" s="126"/>
      <c r="H86" s="126"/>
    </row>
    <row r="87" spans="2:11" hidden="1" outlineLevel="1" x14ac:dyDescent="0.2">
      <c r="B87" s="149" t="s">
        <v>257</v>
      </c>
      <c r="E87" s="126"/>
      <c r="F87" s="126"/>
      <c r="G87" s="126"/>
      <c r="H87" s="126"/>
    </row>
    <row r="88" spans="2:11" ht="28" hidden="1" customHeight="1" outlineLevel="1" thickBot="1" x14ac:dyDescent="0.25">
      <c r="E88" s="126"/>
      <c r="F88" s="126"/>
      <c r="G88" s="126"/>
      <c r="H88" s="126"/>
    </row>
    <row r="89" spans="2:11" ht="17" hidden="1" outlineLevel="1" thickBot="1" x14ac:dyDescent="0.25">
      <c r="B89" s="168"/>
      <c r="C89" s="188">
        <v>2022</v>
      </c>
      <c r="E89" s="126"/>
      <c r="F89" s="126"/>
      <c r="G89" s="126"/>
      <c r="H89" s="126"/>
    </row>
    <row r="90" spans="2:11" hidden="1" outlineLevel="1" x14ac:dyDescent="0.2">
      <c r="B90" s="179" t="s">
        <v>232</v>
      </c>
      <c r="C90" s="189">
        <f>D24</f>
        <v>0.75098746637983971</v>
      </c>
      <c r="E90" s="126"/>
      <c r="F90" s="126"/>
      <c r="G90" s="126"/>
      <c r="H90" s="126"/>
    </row>
    <row r="91" spans="2:11" hidden="1" outlineLevel="1" x14ac:dyDescent="0.2">
      <c r="B91" s="181" t="s">
        <v>233</v>
      </c>
      <c r="C91" s="182">
        <f>D25</f>
        <v>2.2240554845756141E-2</v>
      </c>
      <c r="E91" s="126"/>
      <c r="F91" s="126"/>
      <c r="G91" s="126"/>
      <c r="H91" s="126"/>
    </row>
    <row r="92" spans="2:11" hidden="1" outlineLevel="1" x14ac:dyDescent="0.2">
      <c r="B92" s="181" t="s">
        <v>235</v>
      </c>
      <c r="C92" s="182">
        <f>D26</f>
        <v>2.3526920341800643E-2</v>
      </c>
      <c r="E92" s="126"/>
      <c r="F92" s="126"/>
      <c r="G92" s="126"/>
      <c r="H92" s="126"/>
    </row>
    <row r="93" spans="2:11" hidden="1" outlineLevel="1" x14ac:dyDescent="0.2">
      <c r="B93" s="181" t="s">
        <v>236</v>
      </c>
      <c r="C93" s="182">
        <f>D27</f>
        <v>0.16704346100202652</v>
      </c>
      <c r="E93" s="126"/>
      <c r="F93" s="126"/>
      <c r="G93" s="126"/>
      <c r="H93" s="126"/>
    </row>
    <row r="94" spans="2:11" ht="17" hidden="1" outlineLevel="1" thickBot="1" x14ac:dyDescent="0.25">
      <c r="B94" s="183" t="s">
        <v>46</v>
      </c>
      <c r="C94" s="190">
        <f>D28</f>
        <v>3.6201597430577097E-2</v>
      </c>
      <c r="E94" s="126"/>
      <c r="F94" s="126"/>
      <c r="G94" s="126"/>
      <c r="H94" s="126"/>
    </row>
    <row r="95" spans="2:11" ht="28" hidden="1" customHeight="1" outlineLevel="1" x14ac:dyDescent="0.2">
      <c r="E95" s="126"/>
      <c r="F95" s="126"/>
      <c r="G95" s="126"/>
      <c r="H95" s="126"/>
    </row>
    <row r="96" spans="2:11" hidden="1" outlineLevel="1" x14ac:dyDescent="0.2">
      <c r="B96" s="149" t="s">
        <v>258</v>
      </c>
      <c r="E96" s="126"/>
      <c r="F96" s="126"/>
      <c r="G96" s="126"/>
      <c r="H96" s="126"/>
    </row>
    <row r="97" spans="2:8" ht="28" hidden="1" customHeight="1" outlineLevel="1" thickBot="1" x14ac:dyDescent="0.25">
      <c r="E97" s="126"/>
      <c r="F97" s="126"/>
      <c r="G97" s="126"/>
      <c r="H97" s="126"/>
    </row>
    <row r="98" spans="2:8" ht="17" hidden="1" outlineLevel="1" thickBot="1" x14ac:dyDescent="0.25">
      <c r="C98" s="188">
        <v>2022</v>
      </c>
      <c r="E98" s="126"/>
      <c r="F98" s="126"/>
      <c r="G98" s="126"/>
      <c r="H98" s="126"/>
    </row>
    <row r="99" spans="2:8" ht="17" hidden="1" outlineLevel="1" thickBot="1" x14ac:dyDescent="0.25">
      <c r="B99" s="191" t="s">
        <v>259</v>
      </c>
      <c r="C99" s="192">
        <f>D29</f>
        <v>91568.684364927831</v>
      </c>
      <c r="E99" s="126"/>
      <c r="F99" s="126"/>
      <c r="G99" s="126"/>
      <c r="H99" s="126"/>
    </row>
    <row r="100" spans="2:8" ht="28" hidden="1" customHeight="1" outlineLevel="1" x14ac:dyDescent="0.2">
      <c r="E100" s="126"/>
      <c r="F100" s="126"/>
      <c r="G100" s="126"/>
      <c r="H100" s="126"/>
    </row>
    <row r="101" spans="2:8" ht="28" hidden="1" customHeight="1" outlineLevel="1" thickBot="1" x14ac:dyDescent="0.25">
      <c r="B101" s="193" t="s">
        <v>260</v>
      </c>
      <c r="E101" s="126"/>
      <c r="F101" s="126"/>
      <c r="G101" s="126"/>
      <c r="H101" s="126"/>
    </row>
    <row r="102" spans="2:8" ht="17" hidden="1" outlineLevel="1" thickBot="1" x14ac:dyDescent="0.25">
      <c r="B102" s="194"/>
      <c r="C102" s="188">
        <v>2022</v>
      </c>
      <c r="E102" s="126"/>
      <c r="F102" s="126"/>
      <c r="G102" s="126"/>
      <c r="H102" s="126"/>
    </row>
    <row r="103" spans="2:8" hidden="1" outlineLevel="1" x14ac:dyDescent="0.2">
      <c r="B103" s="179" t="s">
        <v>232</v>
      </c>
      <c r="C103" s="195">
        <f>C90*$C$99</f>
        <v>68766.934270952392</v>
      </c>
      <c r="E103" s="126"/>
      <c r="F103" s="126"/>
      <c r="G103" s="126"/>
      <c r="H103" s="126"/>
    </row>
    <row r="104" spans="2:8" hidden="1" outlineLevel="1" x14ac:dyDescent="0.2">
      <c r="B104" s="181" t="s">
        <v>233</v>
      </c>
      <c r="C104" s="196">
        <f t="shared" ref="C104:C107" si="7">C91*$C$99</f>
        <v>2036.5383467719103</v>
      </c>
      <c r="E104" s="126"/>
      <c r="F104" s="126"/>
      <c r="G104" s="126"/>
      <c r="H104" s="126"/>
    </row>
    <row r="105" spans="2:8" hidden="1" outlineLevel="1" x14ac:dyDescent="0.2">
      <c r="B105" s="181" t="s">
        <v>235</v>
      </c>
      <c r="C105" s="196">
        <f t="shared" si="7"/>
        <v>2154.3291428571429</v>
      </c>
      <c r="E105" s="126"/>
      <c r="F105" s="126"/>
      <c r="G105" s="126"/>
      <c r="H105" s="126"/>
    </row>
    <row r="106" spans="2:8" hidden="1" outlineLevel="1" x14ac:dyDescent="0.2">
      <c r="B106" s="181" t="s">
        <v>236</v>
      </c>
      <c r="C106" s="196">
        <f t="shared" si="7"/>
        <v>15295.949955719698</v>
      </c>
      <c r="E106" s="126"/>
      <c r="F106" s="126"/>
      <c r="G106" s="126"/>
      <c r="H106" s="126"/>
    </row>
    <row r="107" spans="2:8" ht="17" hidden="1" outlineLevel="1" thickBot="1" x14ac:dyDescent="0.25">
      <c r="B107" s="183" t="s">
        <v>46</v>
      </c>
      <c r="C107" s="197">
        <f t="shared" si="7"/>
        <v>3314.9326486266964</v>
      </c>
      <c r="E107" s="126"/>
      <c r="F107" s="126"/>
      <c r="G107" s="126"/>
      <c r="H107" s="126"/>
    </row>
    <row r="108" spans="2:8" ht="28" hidden="1" customHeight="1" outlineLevel="1" x14ac:dyDescent="0.2">
      <c r="E108" s="126"/>
      <c r="F108" s="126"/>
      <c r="G108" s="126"/>
      <c r="H108" s="126"/>
    </row>
    <row r="109" spans="2:8" ht="28" hidden="1" customHeight="1" outlineLevel="1" x14ac:dyDescent="0.2">
      <c r="B109" s="198" t="s">
        <v>261</v>
      </c>
      <c r="E109" s="126"/>
      <c r="F109" s="126"/>
      <c r="G109" s="126"/>
      <c r="H109" s="126"/>
    </row>
    <row r="110" spans="2:8" ht="25" hidden="1" customHeight="1" outlineLevel="1" x14ac:dyDescent="0.2">
      <c r="B110" s="126" t="s">
        <v>262</v>
      </c>
      <c r="E110" s="126"/>
      <c r="F110" s="126"/>
      <c r="G110" s="126"/>
      <c r="H110" s="126"/>
    </row>
    <row r="111" spans="2:8" ht="25" hidden="1" customHeight="1" outlineLevel="1" x14ac:dyDescent="0.2">
      <c r="B111" s="126" t="s">
        <v>263</v>
      </c>
      <c r="E111" s="126"/>
      <c r="F111" s="126"/>
      <c r="G111" s="126"/>
      <c r="H111" s="126"/>
    </row>
    <row r="112" spans="2:8" ht="25" hidden="1" customHeight="1" outlineLevel="1" thickBot="1" x14ac:dyDescent="0.25">
      <c r="B112" s="126" t="s">
        <v>1468</v>
      </c>
      <c r="E112" s="126"/>
      <c r="F112" s="126"/>
      <c r="G112" s="126"/>
      <c r="H112" s="126"/>
    </row>
    <row r="113" spans="2:10" ht="28" hidden="1" customHeight="1" outlineLevel="1" thickBot="1" x14ac:dyDescent="0.25">
      <c r="B113" s="199" t="s">
        <v>264</v>
      </c>
      <c r="C113" s="2637" t="s">
        <v>265</v>
      </c>
      <c r="D113" s="2638"/>
      <c r="E113" s="2639"/>
      <c r="F113" s="538" t="s">
        <v>266</v>
      </c>
      <c r="G113" s="126"/>
      <c r="J113" s="126"/>
    </row>
    <row r="114" spans="2:10" ht="90" hidden="1" customHeight="1" outlineLevel="1" x14ac:dyDescent="0.2">
      <c r="B114" s="200" t="s">
        <v>232</v>
      </c>
      <c r="C114" s="2640" t="s">
        <v>267</v>
      </c>
      <c r="D114" s="2640"/>
      <c r="E114" s="2640"/>
      <c r="F114" s="201" t="s">
        <v>268</v>
      </c>
      <c r="G114" s="126"/>
      <c r="J114" s="126"/>
    </row>
    <row r="115" spans="2:10" ht="53" hidden="1" customHeight="1" outlineLevel="1" x14ac:dyDescent="0.2">
      <c r="B115" s="202" t="s">
        <v>43</v>
      </c>
      <c r="C115" s="2641" t="s">
        <v>269</v>
      </c>
      <c r="D115" s="2641"/>
      <c r="E115" s="2641"/>
      <c r="F115" s="1925" t="s">
        <v>270</v>
      </c>
      <c r="G115" s="126"/>
      <c r="J115" s="126"/>
    </row>
    <row r="116" spans="2:10" ht="74" hidden="1" customHeight="1" outlineLevel="1" x14ac:dyDescent="0.2">
      <c r="B116" s="202" t="s">
        <v>235</v>
      </c>
      <c r="C116" s="2641" t="s">
        <v>271</v>
      </c>
      <c r="D116" s="2641"/>
      <c r="E116" s="2641"/>
      <c r="F116" s="203" t="s">
        <v>272</v>
      </c>
      <c r="G116" s="126"/>
      <c r="J116" s="126"/>
    </row>
    <row r="117" spans="2:10" ht="53" hidden="1" customHeight="1" outlineLevel="1" x14ac:dyDescent="0.2">
      <c r="B117" s="202" t="s">
        <v>236</v>
      </c>
      <c r="C117" s="2641" t="s">
        <v>273</v>
      </c>
      <c r="D117" s="2641"/>
      <c r="E117" s="2641"/>
      <c r="F117" s="203" t="s">
        <v>274</v>
      </c>
      <c r="G117" s="126"/>
      <c r="J117" s="126"/>
    </row>
    <row r="118" spans="2:10" ht="28" hidden="1" customHeight="1" outlineLevel="1" thickBot="1" x14ac:dyDescent="0.25">
      <c r="B118" s="204" t="s">
        <v>46</v>
      </c>
      <c r="C118" s="2636" t="s">
        <v>275</v>
      </c>
      <c r="D118" s="2636"/>
      <c r="E118" s="2636"/>
      <c r="F118" s="205"/>
      <c r="G118" s="126"/>
      <c r="J118" s="126"/>
    </row>
    <row r="119" spans="2:10" ht="28" hidden="1" customHeight="1" outlineLevel="1" x14ac:dyDescent="0.2">
      <c r="E119" s="126"/>
      <c r="F119" s="126"/>
      <c r="G119" s="126"/>
      <c r="H119" s="126"/>
    </row>
    <row r="120" spans="2:10" ht="28" hidden="1" customHeight="1" outlineLevel="1" x14ac:dyDescent="0.2">
      <c r="B120" s="149" t="s">
        <v>276</v>
      </c>
      <c r="E120" s="126"/>
      <c r="F120" s="126"/>
      <c r="G120" s="126"/>
      <c r="H120" s="126"/>
    </row>
    <row r="121" spans="2:10" ht="28" hidden="1" customHeight="1" outlineLevel="1" x14ac:dyDescent="0.2">
      <c r="E121" s="126"/>
      <c r="F121" s="126"/>
      <c r="G121" s="126"/>
      <c r="H121" s="126"/>
    </row>
    <row r="122" spans="2:10" ht="28" hidden="1" customHeight="1" outlineLevel="1" x14ac:dyDescent="0.2">
      <c r="B122" s="126" t="s">
        <v>277</v>
      </c>
      <c r="E122" s="126"/>
      <c r="F122" s="126"/>
      <c r="G122" s="126"/>
      <c r="H122" s="126"/>
    </row>
    <row r="123" spans="2:10" ht="28" hidden="1" customHeight="1" outlineLevel="1" x14ac:dyDescent="0.2">
      <c r="E123" s="126"/>
      <c r="F123" s="126"/>
      <c r="G123" s="126"/>
      <c r="H123" s="126"/>
    </row>
    <row r="124" spans="2:10" ht="28" hidden="1" customHeight="1" outlineLevel="1" thickBot="1" x14ac:dyDescent="0.25">
      <c r="B124" s="193" t="s">
        <v>260</v>
      </c>
      <c r="E124" s="126"/>
      <c r="F124" s="126"/>
      <c r="G124" s="126"/>
      <c r="H124" s="126"/>
    </row>
    <row r="125" spans="2:10" ht="17" hidden="1" outlineLevel="1" thickBot="1" x14ac:dyDescent="0.25">
      <c r="B125" s="194"/>
      <c r="C125" s="191">
        <v>2050</v>
      </c>
      <c r="E125" s="126"/>
      <c r="F125" s="126"/>
      <c r="G125" s="126"/>
      <c r="H125" s="126"/>
    </row>
    <row r="126" spans="2:10" hidden="1" outlineLevel="1" x14ac:dyDescent="0.2">
      <c r="B126" s="179" t="s">
        <v>232</v>
      </c>
      <c r="C126" s="206">
        <f>C103+C104*0.7/4+0.5*C106*0.95/4+0.25*C106*0.95+C105*0.4</f>
        <v>75434.242310505477</v>
      </c>
      <c r="E126" s="126"/>
      <c r="F126" s="126"/>
      <c r="G126" s="126"/>
      <c r="H126" s="126"/>
    </row>
    <row r="127" spans="2:10" hidden="1" outlineLevel="1" x14ac:dyDescent="0.2">
      <c r="B127" s="181" t="s">
        <v>233</v>
      </c>
      <c r="C127" s="196">
        <v>0</v>
      </c>
      <c r="E127" s="126"/>
      <c r="F127" s="126"/>
      <c r="G127" s="126"/>
      <c r="H127" s="126"/>
    </row>
    <row r="128" spans="2:10" hidden="1" outlineLevel="1" x14ac:dyDescent="0.2">
      <c r="B128" s="181" t="s">
        <v>235</v>
      </c>
      <c r="C128" s="196">
        <v>0</v>
      </c>
      <c r="E128" s="126"/>
      <c r="F128" s="126"/>
      <c r="G128" s="126"/>
      <c r="H128" s="126"/>
    </row>
    <row r="129" spans="2:8" hidden="1" outlineLevel="1" x14ac:dyDescent="0.2">
      <c r="B129" s="181" t="s">
        <v>236</v>
      </c>
      <c r="C129" s="196">
        <v>0</v>
      </c>
      <c r="E129" s="126"/>
      <c r="F129" s="126"/>
      <c r="G129" s="126"/>
      <c r="H129" s="126"/>
    </row>
    <row r="130" spans="2:8" ht="17" hidden="1" outlineLevel="1" thickBot="1" x14ac:dyDescent="0.25">
      <c r="B130" s="183" t="s">
        <v>46</v>
      </c>
      <c r="C130" s="197">
        <f>C107+0.25*C106</f>
        <v>7138.9201375566208</v>
      </c>
      <c r="E130" s="126"/>
      <c r="F130" s="126"/>
      <c r="G130" s="126"/>
      <c r="H130" s="126"/>
    </row>
    <row r="131" spans="2:8" hidden="1" outlineLevel="1" x14ac:dyDescent="0.2">
      <c r="E131" s="126"/>
      <c r="F131" s="126"/>
      <c r="G131" s="126"/>
      <c r="H131" s="126"/>
    </row>
    <row r="132" spans="2:8" ht="17" hidden="1" outlineLevel="1" thickBot="1" x14ac:dyDescent="0.25">
      <c r="B132" s="193" t="s">
        <v>278</v>
      </c>
      <c r="E132" s="126"/>
      <c r="F132" s="126"/>
      <c r="G132" s="126"/>
      <c r="H132" s="126"/>
    </row>
    <row r="133" spans="2:8" ht="17" hidden="1" outlineLevel="1" thickBot="1" x14ac:dyDescent="0.25">
      <c r="C133" s="191">
        <v>2050</v>
      </c>
      <c r="E133" s="126"/>
      <c r="F133" s="126"/>
      <c r="G133" s="126"/>
      <c r="H133" s="126"/>
    </row>
    <row r="134" spans="2:8" ht="17" hidden="1" outlineLevel="1" thickBot="1" x14ac:dyDescent="0.25">
      <c r="B134" s="191" t="s">
        <v>278</v>
      </c>
      <c r="C134" s="213">
        <f>SUM(C126:C130)</f>
        <v>82573.162448062096</v>
      </c>
      <c r="E134" s="126"/>
      <c r="F134" s="126"/>
      <c r="G134" s="126"/>
      <c r="H134" s="126"/>
    </row>
    <row r="135" spans="2:8" ht="28" hidden="1" customHeight="1" outlineLevel="1" x14ac:dyDescent="0.2">
      <c r="E135" s="126"/>
      <c r="F135" s="126"/>
      <c r="G135" s="126"/>
      <c r="H135" s="126"/>
    </row>
    <row r="136" spans="2:8" ht="28" hidden="1" customHeight="1" outlineLevel="1" x14ac:dyDescent="0.2">
      <c r="B136" s="149" t="s">
        <v>279</v>
      </c>
      <c r="E136" s="126"/>
      <c r="F136" s="126"/>
      <c r="G136" s="126"/>
      <c r="H136" s="126"/>
    </row>
    <row r="137" spans="2:8" ht="28" hidden="1" customHeight="1" outlineLevel="1" thickBot="1" x14ac:dyDescent="0.25">
      <c r="E137" s="126"/>
      <c r="F137" s="126"/>
      <c r="G137" s="126"/>
      <c r="H137" s="126"/>
    </row>
    <row r="138" spans="2:8" ht="17" hidden="1" outlineLevel="1" thickBot="1" x14ac:dyDescent="0.25">
      <c r="B138" s="168"/>
      <c r="C138" s="158">
        <v>2022</v>
      </c>
      <c r="E138" s="126"/>
      <c r="F138" s="126"/>
      <c r="G138" s="126"/>
      <c r="H138" s="126"/>
    </row>
    <row r="139" spans="2:8" hidden="1" outlineLevel="1" x14ac:dyDescent="0.2">
      <c r="B139" s="207" t="s">
        <v>232</v>
      </c>
      <c r="C139" s="208">
        <f t="shared" ref="C139:C143" si="8">C126/$C$134</f>
        <v>0.91354430512399298</v>
      </c>
      <c r="E139" s="126"/>
      <c r="F139" s="126"/>
      <c r="G139" s="126"/>
      <c r="H139" s="126"/>
    </row>
    <row r="140" spans="2:8" hidden="1" outlineLevel="1" x14ac:dyDescent="0.2">
      <c r="B140" s="209" t="s">
        <v>233</v>
      </c>
      <c r="C140" s="210">
        <f t="shared" si="8"/>
        <v>0</v>
      </c>
      <c r="E140" s="126"/>
      <c r="F140" s="126"/>
      <c r="G140" s="126"/>
      <c r="H140" s="126"/>
    </row>
    <row r="141" spans="2:8" hidden="1" outlineLevel="1" x14ac:dyDescent="0.2">
      <c r="B141" s="209" t="s">
        <v>235</v>
      </c>
      <c r="C141" s="210">
        <f t="shared" si="8"/>
        <v>0</v>
      </c>
      <c r="E141" s="126"/>
      <c r="F141" s="126"/>
      <c r="G141" s="126"/>
      <c r="H141" s="126"/>
    </row>
    <row r="142" spans="2:8" hidden="1" outlineLevel="1" x14ac:dyDescent="0.2">
      <c r="B142" s="209" t="s">
        <v>236</v>
      </c>
      <c r="C142" s="210">
        <f t="shared" si="8"/>
        <v>0</v>
      </c>
      <c r="E142" s="126"/>
      <c r="F142" s="126"/>
      <c r="G142" s="126"/>
      <c r="H142" s="126"/>
    </row>
    <row r="143" spans="2:8" ht="17" hidden="1" outlineLevel="1" thickBot="1" x14ac:dyDescent="0.25">
      <c r="B143" s="211" t="s">
        <v>46</v>
      </c>
      <c r="C143" s="212">
        <f t="shared" si="8"/>
        <v>8.6455694876007058E-2</v>
      </c>
      <c r="E143" s="126"/>
      <c r="F143" s="126"/>
      <c r="G143" s="126"/>
      <c r="H143" s="126"/>
    </row>
    <row r="144" spans="2:8" ht="28" hidden="1" customHeight="1" outlineLevel="1" x14ac:dyDescent="0.2">
      <c r="E144" s="126"/>
      <c r="F144" s="126"/>
      <c r="G144" s="126"/>
      <c r="H144" s="126"/>
    </row>
    <row r="145" spans="2:16" ht="28" customHeight="1" collapsed="1" x14ac:dyDescent="0.2">
      <c r="E145" s="126"/>
      <c r="F145" s="126"/>
      <c r="G145" s="126"/>
      <c r="H145" s="126"/>
    </row>
    <row r="146" spans="2:16" ht="28" customHeight="1" x14ac:dyDescent="0.2">
      <c r="B146" s="145" t="s">
        <v>280</v>
      </c>
      <c r="E146" s="126"/>
      <c r="F146" s="126"/>
      <c r="G146" s="126"/>
      <c r="H146" s="126"/>
    </row>
    <row r="147" spans="2:16" ht="28" hidden="1" customHeight="1" outlineLevel="1" thickBot="1" x14ac:dyDescent="0.25">
      <c r="E147" s="126"/>
      <c r="F147" s="126"/>
      <c r="G147" s="126"/>
      <c r="H147" s="126"/>
    </row>
    <row r="148" spans="2:16" ht="40" hidden="1" customHeight="1" outlineLevel="1" x14ac:dyDescent="0.2">
      <c r="B148" s="146" t="s">
        <v>26</v>
      </c>
      <c r="C148" s="2624" t="s">
        <v>1911</v>
      </c>
      <c r="D148" s="2625"/>
      <c r="E148" s="2625"/>
      <c r="F148" s="2625"/>
      <c r="G148" s="2625"/>
      <c r="H148" s="2625"/>
      <c r="I148" s="2625"/>
      <c r="J148" s="2625"/>
      <c r="K148" s="2626"/>
    </row>
    <row r="149" spans="2:16" ht="37" hidden="1" customHeight="1" outlineLevel="1" x14ac:dyDescent="0.2">
      <c r="B149" s="147" t="s">
        <v>27</v>
      </c>
      <c r="C149" s="2630" t="s">
        <v>1972</v>
      </c>
      <c r="D149" s="2631"/>
      <c r="E149" s="2631"/>
      <c r="F149" s="2631"/>
      <c r="G149" s="2631"/>
      <c r="H149" s="2631"/>
      <c r="I149" s="2631"/>
      <c r="J149" s="2631"/>
      <c r="K149" s="2632"/>
    </row>
    <row r="150" spans="2:16" ht="136" hidden="1" customHeight="1" outlineLevel="1" thickBot="1" x14ac:dyDescent="0.25">
      <c r="B150" s="148" t="s">
        <v>28</v>
      </c>
      <c r="C150" s="2633" t="s">
        <v>281</v>
      </c>
      <c r="D150" s="2634"/>
      <c r="E150" s="2634"/>
      <c r="F150" s="2634"/>
      <c r="G150" s="2634"/>
      <c r="H150" s="2634"/>
      <c r="I150" s="2634"/>
      <c r="J150" s="2634"/>
      <c r="K150" s="2635"/>
      <c r="L150" s="1960" t="s">
        <v>2040</v>
      </c>
      <c r="M150" s="1959"/>
      <c r="N150" s="1959"/>
      <c r="O150" s="1959"/>
      <c r="P150" s="1959"/>
    </row>
    <row r="151" spans="2:16" ht="28" hidden="1" customHeight="1" outlineLevel="1" x14ac:dyDescent="0.2">
      <c r="E151" s="126"/>
      <c r="F151" s="126"/>
      <c r="G151" s="126"/>
      <c r="H151" s="126"/>
    </row>
    <row r="152" spans="2:16" ht="28" hidden="1" customHeight="1" outlineLevel="1" x14ac:dyDescent="0.2">
      <c r="B152" s="149" t="s">
        <v>282</v>
      </c>
      <c r="E152" s="126"/>
      <c r="F152" s="126"/>
      <c r="G152" s="126"/>
      <c r="H152" s="126"/>
    </row>
    <row r="153" spans="2:16" ht="28" hidden="1" customHeight="1" outlineLevel="1" thickBot="1" x14ac:dyDescent="0.25">
      <c r="E153" s="126"/>
      <c r="F153" s="126"/>
      <c r="G153" s="126"/>
      <c r="H153" s="126"/>
    </row>
    <row r="154" spans="2:16" ht="17" hidden="1" outlineLevel="1" thickBot="1" x14ac:dyDescent="0.25">
      <c r="C154" s="191">
        <v>2022</v>
      </c>
      <c r="E154" s="126"/>
      <c r="F154" s="126"/>
      <c r="G154" s="126"/>
      <c r="H154" s="126"/>
    </row>
    <row r="155" spans="2:16" ht="17" hidden="1" outlineLevel="1" thickBot="1" x14ac:dyDescent="0.25">
      <c r="B155" s="191" t="s">
        <v>259</v>
      </c>
      <c r="C155" s="213">
        <f>D29</f>
        <v>91568.684364927831</v>
      </c>
      <c r="E155" s="126"/>
      <c r="F155" s="126"/>
      <c r="G155" s="126"/>
      <c r="H155" s="126"/>
    </row>
    <row r="156" spans="2:16" ht="28" hidden="1" customHeight="1" outlineLevel="1" x14ac:dyDescent="0.2">
      <c r="E156" s="126"/>
      <c r="F156" s="126"/>
      <c r="G156" s="126"/>
      <c r="H156" s="126"/>
    </row>
    <row r="157" spans="2:16" ht="28" hidden="1" customHeight="1" outlineLevel="1" x14ac:dyDescent="0.2">
      <c r="B157" s="149" t="s">
        <v>283</v>
      </c>
      <c r="E157" s="126"/>
      <c r="F157" s="126"/>
      <c r="G157" s="126"/>
      <c r="H157" s="126"/>
    </row>
    <row r="158" spans="2:16" ht="28" hidden="1" customHeight="1" outlineLevel="1" x14ac:dyDescent="0.2">
      <c r="E158" s="126"/>
      <c r="F158" s="126"/>
      <c r="G158" s="126"/>
      <c r="H158" s="126"/>
    </row>
    <row r="159" spans="2:16" ht="28" hidden="1" customHeight="1" outlineLevel="1" x14ac:dyDescent="0.2">
      <c r="B159" s="126" t="s">
        <v>1912</v>
      </c>
      <c r="E159" s="126"/>
      <c r="F159" s="126"/>
      <c r="G159" s="126"/>
      <c r="H159" s="126"/>
    </row>
    <row r="160" spans="2:16" ht="28" hidden="1" customHeight="1" outlineLevel="1" thickBot="1" x14ac:dyDescent="0.25">
      <c r="E160" s="126"/>
      <c r="F160" s="126"/>
      <c r="G160" s="126"/>
      <c r="H160" s="126"/>
    </row>
    <row r="161" spans="2:8" ht="17" hidden="1" outlineLevel="1" thickBot="1" x14ac:dyDescent="0.25">
      <c r="C161" s="191" t="s">
        <v>284</v>
      </c>
      <c r="E161" s="126"/>
      <c r="F161" s="126"/>
      <c r="G161" s="126"/>
      <c r="H161" s="126"/>
    </row>
    <row r="162" spans="2:8" ht="17" hidden="1" outlineLevel="1" thickBot="1" x14ac:dyDescent="0.25">
      <c r="B162" s="191" t="s">
        <v>285</v>
      </c>
      <c r="C162" s="214">
        <v>-0.6</v>
      </c>
      <c r="E162" s="126"/>
      <c r="F162" s="126"/>
      <c r="G162" s="126"/>
      <c r="H162" s="126"/>
    </row>
    <row r="163" spans="2:8" ht="28" hidden="1" customHeight="1" outlineLevel="1" x14ac:dyDescent="0.2">
      <c r="E163" s="126"/>
      <c r="F163" s="126"/>
      <c r="G163" s="126"/>
      <c r="H163" s="126"/>
    </row>
    <row r="164" spans="2:8" ht="28" hidden="1" customHeight="1" outlineLevel="1" thickBot="1" x14ac:dyDescent="0.25">
      <c r="B164" s="126" t="s">
        <v>286</v>
      </c>
      <c r="E164" s="126"/>
      <c r="F164" s="126"/>
      <c r="G164" s="126"/>
      <c r="H164" s="126"/>
    </row>
    <row r="165" spans="2:8" ht="17" hidden="1" outlineLevel="1" thickBot="1" x14ac:dyDescent="0.25">
      <c r="C165" s="191">
        <v>2050</v>
      </c>
      <c r="E165" s="126"/>
      <c r="F165" s="126"/>
      <c r="G165" s="126"/>
      <c r="H165" s="126"/>
    </row>
    <row r="166" spans="2:8" ht="17" hidden="1" outlineLevel="1" thickBot="1" x14ac:dyDescent="0.25">
      <c r="B166" s="191" t="s">
        <v>259</v>
      </c>
      <c r="C166" s="213">
        <f>C155*(1+C162)</f>
        <v>36627.473745971132</v>
      </c>
      <c r="E166" s="126"/>
      <c r="F166" s="126"/>
      <c r="G166" s="126"/>
      <c r="H166" s="126"/>
    </row>
    <row r="167" spans="2:8" ht="28" customHeight="1" collapsed="1" x14ac:dyDescent="0.2">
      <c r="E167" s="126"/>
      <c r="F167" s="126"/>
      <c r="G167" s="126"/>
      <c r="H167" s="126"/>
    </row>
    <row r="168" spans="2:8" ht="28" customHeight="1" x14ac:dyDescent="0.2">
      <c r="E168" s="126"/>
      <c r="F168" s="126"/>
      <c r="G168" s="126"/>
      <c r="H168" s="126"/>
    </row>
    <row r="169" spans="2:8" ht="26" customHeight="1" x14ac:dyDescent="0.2"/>
    <row r="170" spans="2:8" ht="26" customHeight="1" x14ac:dyDescent="0.2"/>
    <row r="171" spans="2:8" ht="26" customHeight="1" x14ac:dyDescent="0.2"/>
    <row r="172" spans="2:8" ht="26" customHeight="1" x14ac:dyDescent="0.2"/>
    <row r="173" spans="2:8" ht="26" customHeight="1" x14ac:dyDescent="0.2"/>
    <row r="174" spans="2:8" ht="26" customHeight="1" x14ac:dyDescent="0.2"/>
    <row r="175" spans="2:8" ht="26" customHeight="1" x14ac:dyDescent="0.2"/>
    <row r="176" spans="2:8" ht="26" customHeight="1" x14ac:dyDescent="0.2"/>
    <row r="177" ht="26" customHeight="1" x14ac:dyDescent="0.2"/>
    <row r="178" ht="26" customHeight="1" x14ac:dyDescent="0.2"/>
    <row r="179" ht="26" customHeight="1" x14ac:dyDescent="0.2"/>
    <row r="180" ht="26" customHeight="1" x14ac:dyDescent="0.2"/>
    <row r="181" ht="26" customHeight="1" x14ac:dyDescent="0.2"/>
    <row r="182" ht="26" customHeight="1" x14ac:dyDescent="0.2"/>
    <row r="183" ht="26" customHeight="1" x14ac:dyDescent="0.2"/>
    <row r="184" ht="26" customHeight="1" x14ac:dyDescent="0.2"/>
    <row r="185" ht="26" customHeight="1" x14ac:dyDescent="0.2"/>
    <row r="186" ht="26" customHeight="1" x14ac:dyDescent="0.2"/>
    <row r="187" ht="26" customHeight="1" x14ac:dyDescent="0.2"/>
    <row r="188" ht="26" customHeight="1" x14ac:dyDescent="0.2"/>
    <row r="189" ht="26" customHeight="1" x14ac:dyDescent="0.2"/>
    <row r="190" ht="26" customHeight="1" x14ac:dyDescent="0.2"/>
    <row r="191" ht="26" customHeight="1" x14ac:dyDescent="0.2"/>
    <row r="192" ht="26" customHeight="1" x14ac:dyDescent="0.2"/>
    <row r="193" ht="26" customHeight="1" x14ac:dyDescent="0.2"/>
    <row r="194" ht="26" customHeight="1" x14ac:dyDescent="0.2"/>
    <row r="195" ht="26" customHeight="1" x14ac:dyDescent="0.2"/>
    <row r="196" ht="26" customHeight="1" x14ac:dyDescent="0.2"/>
    <row r="197" ht="26" customHeight="1" x14ac:dyDescent="0.2"/>
    <row r="198" ht="26" customHeight="1" x14ac:dyDescent="0.2"/>
    <row r="199" ht="26" customHeight="1" x14ac:dyDescent="0.2"/>
    <row r="200" ht="26" customHeight="1" x14ac:dyDescent="0.2"/>
    <row r="201" ht="26" customHeight="1" x14ac:dyDescent="0.2"/>
    <row r="202" ht="26" customHeight="1" x14ac:dyDescent="0.2"/>
    <row r="203" ht="26" customHeight="1" x14ac:dyDescent="0.2"/>
    <row r="204" ht="26" customHeight="1" x14ac:dyDescent="0.2"/>
    <row r="205" ht="26" customHeight="1" x14ac:dyDescent="0.2"/>
    <row r="206" ht="26" customHeight="1" x14ac:dyDescent="0.2"/>
    <row r="207" ht="26" customHeight="1" x14ac:dyDescent="0.2"/>
    <row r="208" ht="26" customHeight="1" x14ac:dyDescent="0.2"/>
    <row r="209" ht="26" customHeight="1" x14ac:dyDescent="0.2"/>
    <row r="210" ht="26" customHeight="1" x14ac:dyDescent="0.2"/>
    <row r="211" ht="26" customHeight="1" x14ac:dyDescent="0.2"/>
    <row r="212" ht="26" customHeight="1" x14ac:dyDescent="0.2"/>
    <row r="213" ht="26" customHeight="1" x14ac:dyDescent="0.2"/>
    <row r="214" ht="26" customHeight="1" x14ac:dyDescent="0.2"/>
    <row r="215" ht="26" customHeight="1" x14ac:dyDescent="0.2"/>
    <row r="216" ht="26" customHeight="1" x14ac:dyDescent="0.2"/>
    <row r="217" ht="26" customHeight="1" x14ac:dyDescent="0.2"/>
    <row r="218" ht="26" customHeight="1" x14ac:dyDescent="0.2"/>
    <row r="219" ht="26" customHeight="1" x14ac:dyDescent="0.2"/>
    <row r="220" ht="26" customHeight="1" x14ac:dyDescent="0.2"/>
    <row r="221" ht="26" customHeight="1" x14ac:dyDescent="0.2"/>
    <row r="222" ht="26" customHeight="1" x14ac:dyDescent="0.2"/>
    <row r="223" ht="26" customHeight="1" x14ac:dyDescent="0.2"/>
    <row r="224" ht="26" customHeight="1" x14ac:dyDescent="0.2"/>
    <row r="225" ht="26" customHeight="1" x14ac:dyDescent="0.2"/>
    <row r="226" ht="26" customHeight="1" x14ac:dyDescent="0.2"/>
    <row r="227" ht="26" customHeight="1" x14ac:dyDescent="0.2"/>
    <row r="228" ht="26" customHeight="1" x14ac:dyDescent="0.2"/>
    <row r="229" ht="26" customHeight="1" x14ac:dyDescent="0.2"/>
    <row r="230" ht="26" customHeight="1" x14ac:dyDescent="0.2"/>
    <row r="231" ht="26" customHeight="1" x14ac:dyDescent="0.2"/>
    <row r="232" ht="26" customHeight="1" x14ac:dyDescent="0.2"/>
    <row r="233" ht="26" customHeight="1" x14ac:dyDescent="0.2"/>
    <row r="234" ht="26" customHeight="1" x14ac:dyDescent="0.2"/>
    <row r="235" ht="26" customHeight="1" x14ac:dyDescent="0.2"/>
    <row r="236" ht="26" customHeight="1" x14ac:dyDescent="0.2"/>
    <row r="237" ht="26" customHeight="1" x14ac:dyDescent="0.2"/>
    <row r="238" ht="26" customHeight="1" x14ac:dyDescent="0.2"/>
    <row r="239" ht="26" customHeight="1" x14ac:dyDescent="0.2"/>
    <row r="240" ht="26" customHeight="1" x14ac:dyDescent="0.2"/>
    <row r="241" ht="26" customHeight="1" x14ac:dyDescent="0.2"/>
    <row r="242" ht="26" customHeight="1" x14ac:dyDescent="0.2"/>
    <row r="243" ht="26" customHeight="1" x14ac:dyDescent="0.2"/>
    <row r="244" ht="26" customHeight="1" x14ac:dyDescent="0.2"/>
    <row r="245" ht="26" customHeight="1" x14ac:dyDescent="0.2"/>
    <row r="246" ht="26" customHeight="1" x14ac:dyDescent="0.2"/>
    <row r="247" ht="26" customHeight="1" x14ac:dyDescent="0.2"/>
    <row r="248" ht="26" customHeight="1" x14ac:dyDescent="0.2"/>
    <row r="249" ht="26" customHeight="1" x14ac:dyDescent="0.2"/>
    <row r="250" ht="26" customHeight="1" x14ac:dyDescent="0.2"/>
    <row r="251" ht="26" customHeight="1" x14ac:dyDescent="0.2"/>
    <row r="252" ht="26" customHeight="1" x14ac:dyDescent="0.2"/>
    <row r="253" ht="26" customHeight="1" x14ac:dyDescent="0.2"/>
    <row r="254" ht="26" customHeight="1" x14ac:dyDescent="0.2"/>
    <row r="255" ht="26" customHeight="1" x14ac:dyDescent="0.2"/>
    <row r="256" ht="26" customHeight="1" x14ac:dyDescent="0.2"/>
    <row r="257" ht="26" customHeight="1" x14ac:dyDescent="0.2"/>
    <row r="258" ht="26" customHeight="1" x14ac:dyDescent="0.2"/>
    <row r="259" ht="26" customHeight="1" x14ac:dyDescent="0.2"/>
    <row r="260" ht="26" customHeight="1" x14ac:dyDescent="0.2"/>
    <row r="261" ht="26" customHeight="1" x14ac:dyDescent="0.2"/>
    <row r="262" ht="26" customHeight="1" x14ac:dyDescent="0.2"/>
    <row r="263" ht="26" customHeight="1" x14ac:dyDescent="0.2"/>
    <row r="264" ht="26" customHeight="1" x14ac:dyDescent="0.2"/>
    <row r="265" ht="26" customHeight="1" x14ac:dyDescent="0.2"/>
    <row r="266" ht="26" customHeight="1" x14ac:dyDescent="0.2"/>
    <row r="267" ht="26" customHeight="1" x14ac:dyDescent="0.2"/>
    <row r="268" ht="26" customHeight="1" x14ac:dyDescent="0.2"/>
    <row r="269" ht="26" customHeight="1" x14ac:dyDescent="0.2"/>
    <row r="270" ht="26" customHeight="1" x14ac:dyDescent="0.2"/>
    <row r="271" ht="26" customHeight="1" x14ac:dyDescent="0.2"/>
    <row r="272" ht="26" customHeight="1" x14ac:dyDescent="0.2"/>
    <row r="273" ht="26" customHeight="1" x14ac:dyDescent="0.2"/>
    <row r="274" ht="26" customHeight="1" x14ac:dyDescent="0.2"/>
    <row r="275" ht="26" customHeight="1" x14ac:dyDescent="0.2"/>
    <row r="276" ht="26" customHeight="1" x14ac:dyDescent="0.2"/>
    <row r="277" ht="26" customHeight="1" x14ac:dyDescent="0.2"/>
    <row r="278" ht="26" customHeight="1" x14ac:dyDescent="0.2"/>
    <row r="279" ht="26" customHeight="1" x14ac:dyDescent="0.2"/>
    <row r="280" ht="26" customHeight="1" x14ac:dyDescent="0.2"/>
    <row r="281" ht="26" customHeight="1" x14ac:dyDescent="0.2"/>
    <row r="282" ht="26" customHeight="1" x14ac:dyDescent="0.2"/>
    <row r="283" ht="26" customHeight="1" x14ac:dyDescent="0.2"/>
  </sheetData>
  <mergeCells count="20">
    <mergeCell ref="C118:E118"/>
    <mergeCell ref="C148:K148"/>
    <mergeCell ref="C149:K149"/>
    <mergeCell ref="C150:K150"/>
    <mergeCell ref="C113:E113"/>
    <mergeCell ref="C114:E114"/>
    <mergeCell ref="C115:E115"/>
    <mergeCell ref="C116:E116"/>
    <mergeCell ref="C117:E117"/>
    <mergeCell ref="C38:K38"/>
    <mergeCell ref="C39:K39"/>
    <mergeCell ref="C83:K83"/>
    <mergeCell ref="C84:K84"/>
    <mergeCell ref="C85:K85"/>
    <mergeCell ref="B2:D2"/>
    <mergeCell ref="B5:D5"/>
    <mergeCell ref="B20:B23"/>
    <mergeCell ref="B24:B28"/>
    <mergeCell ref="C37:K37"/>
    <mergeCell ref="G19:J1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W352"/>
  <sheetViews>
    <sheetView topLeftCell="A22" zoomScale="50" zoomScaleNormal="218" workbookViewId="0">
      <selection activeCell="C347" sqref="C347"/>
    </sheetView>
  </sheetViews>
  <sheetFormatPr baseColWidth="10" defaultColWidth="9.28515625" defaultRowHeight="16" outlineLevelRow="2" x14ac:dyDescent="0.2"/>
  <cols>
    <col min="1" max="1" width="9.28515625" style="55"/>
    <col min="2" max="2" width="39.28515625" style="55" customWidth="1"/>
    <col min="3" max="3" width="32.5703125" style="55" customWidth="1"/>
    <col min="4" max="4" width="22.5703125" style="55" customWidth="1"/>
    <col min="5" max="5" width="55.140625" style="55" customWidth="1"/>
    <col min="6" max="6" width="29.85546875" style="55" customWidth="1"/>
    <col min="7" max="7" width="25.7109375" style="55" customWidth="1"/>
    <col min="8" max="8" width="24.7109375" style="55" customWidth="1"/>
    <col min="9" max="9" width="28.7109375" style="55" customWidth="1"/>
    <col min="10" max="10" width="18.85546875" style="55" customWidth="1"/>
    <col min="11" max="11" width="28.28515625" style="55" customWidth="1"/>
    <col min="12" max="12" width="30.28515625" style="55" customWidth="1"/>
    <col min="13" max="16" width="20.42578125" style="55" customWidth="1"/>
    <col min="17" max="17" width="21.85546875" style="55" customWidth="1"/>
    <col min="18" max="18" width="19" style="55" customWidth="1"/>
    <col min="19" max="19" width="14.42578125" style="55" customWidth="1"/>
    <col min="20" max="20" width="16.7109375" style="55" customWidth="1"/>
    <col min="21" max="29" width="14.42578125" style="55" customWidth="1"/>
    <col min="30" max="16384" width="9.28515625" style="55"/>
  </cols>
  <sheetData>
    <row r="1" spans="2:12" ht="17" thickBot="1" x14ac:dyDescent="0.25"/>
    <row r="2" spans="2:12" ht="21" thickBot="1" x14ac:dyDescent="0.25">
      <c r="B2" s="2559" t="s">
        <v>287</v>
      </c>
      <c r="C2" s="2561"/>
    </row>
    <row r="3" spans="2:12" ht="17" thickBot="1" x14ac:dyDescent="0.25"/>
    <row r="4" spans="2:12" ht="20" customHeight="1" thickBot="1" x14ac:dyDescent="0.25">
      <c r="B4" s="2607" t="s">
        <v>17</v>
      </c>
      <c r="C4" s="2608"/>
      <c r="D4" s="2609"/>
      <c r="E4"/>
      <c r="F4"/>
      <c r="G4"/>
      <c r="H4"/>
      <c r="I4"/>
      <c r="J4"/>
      <c r="K4"/>
      <c r="L4"/>
    </row>
    <row r="5" spans="2:12" ht="20" customHeight="1" x14ac:dyDescent="0.2">
      <c r="B5" s="320" t="s">
        <v>18</v>
      </c>
      <c r="C5" s="1015">
        <f>C135</f>
        <v>25831.762471604598</v>
      </c>
      <c r="D5" s="57" t="s">
        <v>19</v>
      </c>
      <c r="E5"/>
      <c r="F5"/>
      <c r="G5"/>
      <c r="H5"/>
      <c r="I5"/>
      <c r="J5"/>
      <c r="K5"/>
      <c r="L5"/>
    </row>
    <row r="6" spans="2:12" ht="20" customHeight="1" x14ac:dyDescent="0.2">
      <c r="B6" s="320" t="s">
        <v>20</v>
      </c>
      <c r="C6" s="2658" t="str">
        <f>C9</f>
        <v>vFinale</v>
      </c>
      <c r="D6" s="2566"/>
      <c r="E6"/>
      <c r="F6"/>
      <c r="G6"/>
      <c r="H6"/>
      <c r="I6"/>
      <c r="J6"/>
      <c r="K6"/>
      <c r="L6"/>
    </row>
    <row r="7" spans="2:12" ht="20" customHeight="1" thickBot="1" x14ac:dyDescent="0.25">
      <c r="B7" s="321" t="s">
        <v>21</v>
      </c>
      <c r="C7" s="2659"/>
      <c r="D7" s="2660"/>
      <c r="E7"/>
      <c r="F7"/>
      <c r="G7"/>
      <c r="H7"/>
      <c r="I7"/>
      <c r="J7"/>
      <c r="K7"/>
      <c r="L7"/>
    </row>
    <row r="8" spans="2:12" ht="20" customHeight="1" thickBot="1" x14ac:dyDescent="0.25">
      <c r="D8" s="322"/>
      <c r="E8" s="322"/>
      <c r="H8" s="323"/>
      <c r="I8" s="323"/>
      <c r="J8" s="323"/>
      <c r="K8" s="323"/>
      <c r="L8" s="323"/>
    </row>
    <row r="9" spans="2:12" ht="20" customHeight="1" x14ac:dyDescent="0.2">
      <c r="B9" s="979" t="s">
        <v>22</v>
      </c>
      <c r="C9" s="2661" t="s">
        <v>1602</v>
      </c>
      <c r="D9" s="2662"/>
      <c r="E9" s="62"/>
      <c r="F9" s="62"/>
      <c r="G9" s="62"/>
      <c r="H9" s="62"/>
      <c r="I9" s="62"/>
      <c r="J9" s="62"/>
      <c r="K9" s="62"/>
      <c r="L9" s="63"/>
    </row>
    <row r="10" spans="2:12" ht="20" customHeight="1" thickBot="1" x14ac:dyDescent="0.25">
      <c r="B10" s="980" t="s">
        <v>1905</v>
      </c>
      <c r="C10" s="976">
        <f>C5/'ANNEXE A'!$C$248</f>
        <v>17.741595104124038</v>
      </c>
      <c r="D10" s="977" t="s">
        <v>24</v>
      </c>
      <c r="E10" s="64"/>
      <c r="F10" s="64"/>
      <c r="G10" s="64"/>
      <c r="H10" s="64"/>
      <c r="I10" s="64"/>
      <c r="J10" s="64"/>
      <c r="K10" s="64"/>
      <c r="L10" s="65"/>
    </row>
    <row r="11" spans="2:12" ht="20" customHeight="1" thickBot="1" x14ac:dyDescent="0.25">
      <c r="B11" s="66"/>
      <c r="C11" s="67"/>
      <c r="D11" s="67"/>
      <c r="E11" s="67"/>
      <c r="F11" s="67"/>
      <c r="G11" s="67"/>
      <c r="H11" s="67"/>
      <c r="I11" s="67"/>
      <c r="J11" s="67"/>
      <c r="K11" s="67"/>
      <c r="L11" s="68"/>
    </row>
    <row r="12" spans="2:12" ht="20" customHeight="1" thickBot="1" x14ac:dyDescent="0.25">
      <c r="B12" s="2642" t="s">
        <v>25</v>
      </c>
      <c r="C12" s="2643"/>
      <c r="D12" s="2643"/>
      <c r="E12" s="2643"/>
      <c r="F12" s="2643"/>
      <c r="G12" s="2643"/>
      <c r="H12" s="2643"/>
      <c r="I12" s="2643"/>
      <c r="J12" s="2643"/>
      <c r="K12" s="2643"/>
      <c r="L12" s="2644"/>
    </row>
    <row r="13" spans="2:12" ht="152" customHeight="1" x14ac:dyDescent="0.2">
      <c r="B13" s="69" t="s">
        <v>26</v>
      </c>
      <c r="C13" s="2574" t="s">
        <v>2310</v>
      </c>
      <c r="D13" s="2575"/>
      <c r="E13" s="2575"/>
      <c r="F13" s="2575"/>
      <c r="G13" s="2575"/>
      <c r="H13" s="2575"/>
      <c r="I13" s="2575"/>
      <c r="J13" s="2575"/>
      <c r="K13" s="2575"/>
      <c r="L13" s="2576"/>
    </row>
    <row r="14" spans="2:12" ht="52" customHeight="1" x14ac:dyDescent="0.2">
      <c r="B14" s="70" t="s">
        <v>27</v>
      </c>
      <c r="C14" s="2577" t="s">
        <v>2312</v>
      </c>
      <c r="D14" s="2578"/>
      <c r="E14" s="2578"/>
      <c r="F14" s="2578"/>
      <c r="G14" s="2578"/>
      <c r="H14" s="2578"/>
      <c r="I14" s="2578"/>
      <c r="J14" s="2578"/>
      <c r="K14" s="2578"/>
      <c r="L14" s="2579"/>
    </row>
    <row r="15" spans="2:12" ht="46" customHeight="1" x14ac:dyDescent="0.2">
      <c r="B15" s="70" t="s">
        <v>28</v>
      </c>
      <c r="C15" s="2600" t="s">
        <v>2368</v>
      </c>
      <c r="D15" s="2578"/>
      <c r="E15" s="2578"/>
      <c r="F15" s="2578"/>
      <c r="G15" s="2578"/>
      <c r="H15" s="2578"/>
      <c r="I15" s="2578"/>
      <c r="J15" s="2578"/>
      <c r="K15" s="2578"/>
      <c r="L15" s="2579"/>
    </row>
    <row r="16" spans="2:12" ht="28" customHeight="1" x14ac:dyDescent="0.2">
      <c r="B16" s="70" t="s">
        <v>29</v>
      </c>
      <c r="C16" s="2600"/>
      <c r="D16" s="2578"/>
      <c r="E16" s="2578"/>
      <c r="F16" s="2578"/>
      <c r="G16" s="2578"/>
      <c r="H16" s="2578"/>
      <c r="I16" s="2578"/>
      <c r="J16" s="2578"/>
      <c r="K16" s="2578"/>
      <c r="L16" s="2579"/>
    </row>
    <row r="17" spans="2:14" ht="26" customHeight="1" x14ac:dyDescent="0.2">
      <c r="B17" s="70" t="s">
        <v>30</v>
      </c>
      <c r="C17" s="2577" t="s">
        <v>288</v>
      </c>
      <c r="D17" s="2578"/>
      <c r="E17" s="2578"/>
      <c r="F17" s="2578"/>
      <c r="G17" s="2578"/>
      <c r="H17" s="2578"/>
      <c r="I17" s="2578"/>
      <c r="J17" s="2578"/>
      <c r="K17" s="2578"/>
      <c r="L17" s="2579"/>
    </row>
    <row r="18" spans="2:14" ht="20" customHeight="1" x14ac:dyDescent="0.2">
      <c r="B18" s="70" t="s">
        <v>31</v>
      </c>
      <c r="C18" s="2600" t="s">
        <v>289</v>
      </c>
      <c r="D18" s="2578"/>
      <c r="E18" s="2578"/>
      <c r="F18" s="2578"/>
      <c r="G18" s="2578"/>
      <c r="H18" s="2578"/>
      <c r="I18" s="2578"/>
      <c r="J18" s="2578"/>
      <c r="K18" s="2578"/>
      <c r="L18" s="2579"/>
      <c r="N18" s="324"/>
    </row>
    <row r="19" spans="2:14" ht="27" customHeight="1" thickBot="1" x14ac:dyDescent="0.25">
      <c r="B19" s="71" t="s">
        <v>33</v>
      </c>
      <c r="C19" s="2580"/>
      <c r="D19" s="2581"/>
      <c r="E19" s="2581"/>
      <c r="F19" s="2581"/>
      <c r="G19" s="2581"/>
      <c r="H19" s="2581"/>
      <c r="I19" s="2581"/>
      <c r="J19" s="2581"/>
      <c r="K19" s="2581"/>
      <c r="L19" s="2582"/>
    </row>
    <row r="20" spans="2:14" ht="27" customHeight="1" x14ac:dyDescent="0.2">
      <c r="B20" s="112"/>
      <c r="C20" s="323"/>
      <c r="D20" s="323"/>
      <c r="E20" s="323"/>
      <c r="F20" s="323"/>
      <c r="G20" s="323"/>
      <c r="H20" s="323"/>
      <c r="I20" s="323"/>
      <c r="J20" s="323"/>
      <c r="K20" s="323"/>
      <c r="L20" s="323"/>
    </row>
    <row r="21" spans="2:14" ht="29" customHeight="1" x14ac:dyDescent="0.2">
      <c r="B21" s="433" t="s">
        <v>1353</v>
      </c>
      <c r="C21" s="323"/>
      <c r="D21" s="323"/>
      <c r="E21" s="323"/>
      <c r="F21" s="323"/>
      <c r="G21" s="323"/>
      <c r="H21" s="323"/>
      <c r="I21" s="323"/>
      <c r="J21" s="323"/>
      <c r="K21" s="323"/>
      <c r="L21" s="323"/>
    </row>
    <row r="22" spans="2:14" ht="25" customHeight="1" x14ac:dyDescent="0.2">
      <c r="C22" s="323"/>
      <c r="D22" s="323"/>
      <c r="E22" s="323"/>
      <c r="F22" s="323"/>
      <c r="G22" s="323"/>
      <c r="H22" s="323"/>
      <c r="I22" s="323"/>
      <c r="J22" s="323"/>
      <c r="K22" s="323"/>
      <c r="L22" s="323"/>
    </row>
    <row r="23" spans="2:14" ht="25" customHeight="1" x14ac:dyDescent="0.2">
      <c r="B23" s="325" t="s">
        <v>1914</v>
      </c>
      <c r="D23" s="326"/>
      <c r="E23" s="326"/>
      <c r="F23" s="323"/>
      <c r="G23" s="323"/>
      <c r="H23" s="323"/>
      <c r="I23" s="323"/>
      <c r="J23" s="323"/>
      <c r="K23" s="323"/>
      <c r="L23" s="323"/>
    </row>
    <row r="24" spans="2:14" ht="21" hidden="1" customHeight="1" outlineLevel="1" x14ac:dyDescent="0.2">
      <c r="B24" s="430" t="s">
        <v>1895</v>
      </c>
      <c r="C24" s="327"/>
      <c r="D24" s="327"/>
      <c r="E24" s="327"/>
      <c r="F24" s="323"/>
      <c r="G24" s="323"/>
      <c r="H24" s="323"/>
      <c r="I24" s="323"/>
      <c r="J24" s="323"/>
      <c r="K24" s="323"/>
      <c r="L24" s="323"/>
    </row>
    <row r="25" spans="2:14" ht="108" hidden="1" customHeight="1" outlineLevel="1" x14ac:dyDescent="0.2">
      <c r="B25" s="2675" t="s">
        <v>1913</v>
      </c>
      <c r="C25" s="2675"/>
      <c r="D25" s="2675"/>
      <c r="E25" s="2675"/>
      <c r="F25" s="323"/>
      <c r="G25" s="323"/>
      <c r="H25" s="323"/>
      <c r="I25" s="323"/>
      <c r="J25" s="323"/>
      <c r="K25" s="323"/>
      <c r="L25" s="323"/>
    </row>
    <row r="26" spans="2:14" ht="16" hidden="1" customHeight="1" outlineLevel="1" x14ac:dyDescent="0.2">
      <c r="B26" s="112"/>
      <c r="C26" s="323"/>
      <c r="D26" s="323"/>
      <c r="E26" s="323"/>
      <c r="F26" s="323"/>
      <c r="G26" s="323"/>
      <c r="H26" s="323"/>
      <c r="I26" s="323"/>
      <c r="J26" s="323"/>
      <c r="K26" s="323"/>
      <c r="L26" s="323"/>
    </row>
    <row r="27" spans="2:14" ht="23" hidden="1" customHeight="1" outlineLevel="1" x14ac:dyDescent="0.2">
      <c r="B27" s="74" t="s">
        <v>1604</v>
      </c>
      <c r="C27" s="74" t="s">
        <v>36</v>
      </c>
      <c r="D27" s="2676" t="s">
        <v>37</v>
      </c>
      <c r="E27" s="2676"/>
      <c r="F27" s="323"/>
      <c r="G27" s="323"/>
    </row>
    <row r="28" spans="2:14" ht="23" hidden="1" customHeight="1" outlineLevel="1" x14ac:dyDescent="0.2">
      <c r="B28" s="76" t="s">
        <v>290</v>
      </c>
      <c r="C28" s="329">
        <f>'ANNEXE A'!$C$240</f>
        <v>21000</v>
      </c>
      <c r="D28" s="2650"/>
      <c r="E28" s="2651"/>
      <c r="F28" s="323"/>
      <c r="G28" s="323"/>
    </row>
    <row r="29" spans="2:14" ht="23" hidden="1" customHeight="1" outlineLevel="1" x14ac:dyDescent="0.2">
      <c r="B29" s="81" t="s">
        <v>291</v>
      </c>
      <c r="C29" s="330">
        <f>'ANNEXE A'!$C$242</f>
        <v>13000</v>
      </c>
      <c r="D29" s="2677"/>
      <c r="E29" s="2677"/>
      <c r="F29" s="323"/>
      <c r="G29" s="323"/>
    </row>
    <row r="30" spans="2:14" ht="23" hidden="1" customHeight="1" outlineLevel="1" x14ac:dyDescent="0.2">
      <c r="B30" s="331" t="s">
        <v>292</v>
      </c>
      <c r="C30" s="332">
        <f>C28*10%</f>
        <v>2100</v>
      </c>
      <c r="D30" s="2678" t="s">
        <v>2305</v>
      </c>
      <c r="E30" s="2678"/>
      <c r="F30" s="323"/>
      <c r="G30" s="323"/>
    </row>
    <row r="31" spans="2:14" ht="23" hidden="1" customHeight="1" outlineLevel="1" x14ac:dyDescent="0.2">
      <c r="B31" s="333" t="s">
        <v>293</v>
      </c>
      <c r="C31" s="332">
        <f>$C$29*F228*F229</f>
        <v>53.380098993002221</v>
      </c>
      <c r="D31" s="2648"/>
      <c r="E31" s="2649"/>
      <c r="F31" s="323"/>
      <c r="G31" s="323"/>
    </row>
    <row r="32" spans="2:14" ht="23" hidden="1" customHeight="1" outlineLevel="1" x14ac:dyDescent="0.2">
      <c r="B32" s="333" t="s">
        <v>294</v>
      </c>
      <c r="C32" s="332">
        <f>$C$29*F228*I229</f>
        <v>450.24953063662747</v>
      </c>
      <c r="D32" s="2648"/>
      <c r="E32" s="2649"/>
      <c r="F32" s="323"/>
      <c r="G32" s="323"/>
    </row>
    <row r="33" spans="2:7" ht="23" hidden="1" customHeight="1" outlineLevel="1" x14ac:dyDescent="0.2">
      <c r="B33" s="81" t="s">
        <v>295</v>
      </c>
      <c r="C33" s="329">
        <f>'13'!$C$326*2</f>
        <v>44</v>
      </c>
      <c r="D33" s="2650"/>
      <c r="E33" s="2651"/>
      <c r="F33" s="323"/>
      <c r="G33" s="323"/>
    </row>
    <row r="34" spans="2:7" ht="23" hidden="1" customHeight="1" outlineLevel="1" x14ac:dyDescent="0.2">
      <c r="B34" s="81" t="s">
        <v>296</v>
      </c>
      <c r="C34" s="329">
        <f>'13'!$C$327*2</f>
        <v>40</v>
      </c>
      <c r="D34" s="2650"/>
      <c r="E34" s="2651"/>
      <c r="F34" s="323"/>
      <c r="G34" s="323"/>
    </row>
    <row r="35" spans="2:7" ht="23" hidden="1" customHeight="1" outlineLevel="1" x14ac:dyDescent="0.2">
      <c r="B35" s="81" t="s">
        <v>297</v>
      </c>
      <c r="C35" s="330">
        <f>'ANNEXE A'!$C$238</f>
        <v>18</v>
      </c>
      <c r="D35" s="2652"/>
      <c r="E35" s="2652"/>
      <c r="F35" s="323"/>
      <c r="G35" s="323"/>
    </row>
    <row r="36" spans="2:7" hidden="1" outlineLevel="1" x14ac:dyDescent="0.2">
      <c r="B36" s="337"/>
      <c r="C36" s="338"/>
      <c r="D36" s="328"/>
      <c r="E36" s="11"/>
    </row>
    <row r="37" spans="2:7" ht="20" hidden="1" outlineLevel="1" x14ac:dyDescent="0.2">
      <c r="B37" s="325"/>
      <c r="E37" s="322"/>
    </row>
    <row r="38" spans="2:7" ht="20" collapsed="1" x14ac:dyDescent="0.2">
      <c r="B38" s="325"/>
      <c r="E38" s="322"/>
    </row>
    <row r="39" spans="2:7" ht="25" customHeight="1" x14ac:dyDescent="0.2">
      <c r="B39" s="325" t="s">
        <v>1485</v>
      </c>
      <c r="C39" s="326"/>
      <c r="D39" s="326"/>
      <c r="E39" s="326"/>
    </row>
    <row r="40" spans="2:7" ht="23" x14ac:dyDescent="0.2">
      <c r="B40" s="430" t="s">
        <v>1895</v>
      </c>
      <c r="C40" s="339"/>
      <c r="D40" s="339"/>
      <c r="E40" s="339"/>
    </row>
    <row r="41" spans="2:7" ht="23" x14ac:dyDescent="0.2">
      <c r="B41" s="86" t="s">
        <v>299</v>
      </c>
      <c r="C41" s="339"/>
      <c r="D41" s="339"/>
      <c r="E41" s="339"/>
    </row>
    <row r="42" spans="2:7" ht="23" x14ac:dyDescent="0.2">
      <c r="B42" s="86" t="s">
        <v>300</v>
      </c>
      <c r="C42" s="339"/>
      <c r="D42" s="339"/>
      <c r="E42" s="339"/>
    </row>
    <row r="43" spans="2:7" ht="18" x14ac:dyDescent="0.2">
      <c r="B43" s="340"/>
      <c r="D43" s="11"/>
    </row>
    <row r="44" spans="2:7" ht="18" x14ac:dyDescent="0.2">
      <c r="B44" s="2653" t="s">
        <v>1348</v>
      </c>
      <c r="C44" s="2653"/>
      <c r="D44" s="2653"/>
      <c r="E44" s="2653"/>
    </row>
    <row r="45" spans="2:7" ht="22" hidden="1" customHeight="1" outlineLevel="1" x14ac:dyDescent="0.2">
      <c r="B45" s="341"/>
      <c r="D45" s="11"/>
    </row>
    <row r="46" spans="2:7" ht="22" hidden="1" customHeight="1" outlineLevel="1" x14ac:dyDescent="0.2">
      <c r="B46" s="342" t="s">
        <v>301</v>
      </c>
      <c r="E46" s="343"/>
    </row>
    <row r="47" spans="2:7" ht="22" hidden="1" customHeight="1" outlineLevel="1" x14ac:dyDescent="0.2">
      <c r="B47" s="334" t="s">
        <v>124</v>
      </c>
      <c r="C47" s="334" t="s">
        <v>36</v>
      </c>
      <c r="D47" s="334" t="s">
        <v>59</v>
      </c>
      <c r="E47" s="319" t="s">
        <v>150</v>
      </c>
    </row>
    <row r="48" spans="2:7" ht="19" hidden="1" customHeight="1" outlineLevel="1" x14ac:dyDescent="0.2">
      <c r="B48" s="81" t="s">
        <v>302</v>
      </c>
      <c r="C48" s="344">
        <f>(C29-C30)*D215</f>
        <v>3749.4977895757916</v>
      </c>
      <c r="D48" s="81"/>
      <c r="E48" s="345"/>
      <c r="F48" s="86"/>
      <c r="G48" s="346"/>
    </row>
    <row r="49" spans="2:7" ht="19" hidden="1" customHeight="1" outlineLevel="1" x14ac:dyDescent="0.2">
      <c r="B49" s="347" t="s">
        <v>303</v>
      </c>
      <c r="C49" s="113">
        <f>$C$48*E193</f>
        <v>2315.740964357321</v>
      </c>
      <c r="D49" s="81"/>
      <c r="E49" s="2654" t="s">
        <v>2306</v>
      </c>
      <c r="F49" s="86"/>
      <c r="G49" s="348"/>
    </row>
    <row r="50" spans="2:7" ht="19" hidden="1" customHeight="1" outlineLevel="1" x14ac:dyDescent="0.2">
      <c r="B50" s="347" t="s">
        <v>304</v>
      </c>
      <c r="C50" s="113">
        <f>$C$48*E194</f>
        <v>274.82114480413469</v>
      </c>
      <c r="D50" s="81"/>
      <c r="E50" s="2655"/>
      <c r="F50" s="86"/>
      <c r="G50" s="348"/>
    </row>
    <row r="51" spans="2:7" ht="19" hidden="1" customHeight="1" outlineLevel="1" x14ac:dyDescent="0.2">
      <c r="B51" s="347" t="s">
        <v>305</v>
      </c>
      <c r="C51" s="113">
        <f>$C$48*E195</f>
        <v>306.77709187438296</v>
      </c>
      <c r="D51" s="81"/>
      <c r="E51" s="2655"/>
    </row>
    <row r="52" spans="2:7" ht="19" hidden="1" customHeight="1" outlineLevel="1" x14ac:dyDescent="0.2">
      <c r="B52" s="347" t="s">
        <v>306</v>
      </c>
      <c r="C52" s="113">
        <f>$C$48*E196</f>
        <v>852.15858853995258</v>
      </c>
      <c r="D52" s="81"/>
      <c r="E52" s="2656"/>
      <c r="G52" s="348"/>
    </row>
    <row r="53" spans="2:7" ht="27" hidden="1" customHeight="1" outlineLevel="1" x14ac:dyDescent="0.2">
      <c r="B53" s="337"/>
      <c r="C53" s="350"/>
      <c r="D53" s="328"/>
    </row>
    <row r="54" spans="2:7" ht="24" hidden="1" customHeight="1" outlineLevel="1" x14ac:dyDescent="0.2">
      <c r="B54" s="351" t="s">
        <v>307</v>
      </c>
      <c r="E54" s="343"/>
    </row>
    <row r="55" spans="2:7" ht="27" hidden="1" customHeight="1" outlineLevel="1" x14ac:dyDescent="0.2">
      <c r="B55" s="334" t="s">
        <v>124</v>
      </c>
      <c r="C55" s="334" t="s">
        <v>36</v>
      </c>
      <c r="D55" s="334" t="s">
        <v>59</v>
      </c>
      <c r="E55" s="319" t="s">
        <v>150</v>
      </c>
    </row>
    <row r="56" spans="2:7" ht="27" hidden="1" customHeight="1" outlineLevel="1" x14ac:dyDescent="0.2">
      <c r="B56" s="89" t="s">
        <v>1516</v>
      </c>
      <c r="C56" s="620">
        <f>SUM(C57:C58)</f>
        <v>7680.5673965004835</v>
      </c>
      <c r="D56" s="89"/>
      <c r="E56" s="619"/>
    </row>
    <row r="57" spans="2:7" ht="23" hidden="1" customHeight="1" outlineLevel="1" x14ac:dyDescent="0.2">
      <c r="B57" s="81" t="s">
        <v>308</v>
      </c>
      <c r="C57" s="314">
        <f>($C$29-$C$30)*F182</f>
        <v>2875.0150929134034</v>
      </c>
      <c r="D57" s="81"/>
      <c r="E57" s="2646"/>
      <c r="F57" s="86"/>
    </row>
    <row r="58" spans="2:7" ht="25" hidden="1" customHeight="1" outlineLevel="1" x14ac:dyDescent="0.2">
      <c r="B58" s="81" t="s">
        <v>309</v>
      </c>
      <c r="C58" s="314">
        <f>($C$29-$C$30)*F183</f>
        <v>4805.5523035870801</v>
      </c>
      <c r="D58" s="81"/>
      <c r="E58" s="2647"/>
      <c r="G58" s="346"/>
    </row>
    <row r="59" spans="2:7" ht="25" hidden="1" customHeight="1" outlineLevel="1" x14ac:dyDescent="0.2"/>
    <row r="60" spans="2:7" ht="18" collapsed="1" x14ac:dyDescent="0.2">
      <c r="B60" s="2653" t="s">
        <v>1349</v>
      </c>
      <c r="C60" s="2653"/>
      <c r="D60" s="2653"/>
      <c r="E60" s="2653"/>
      <c r="F60" s="86"/>
    </row>
    <row r="61" spans="2:7" hidden="1" outlineLevel="1" x14ac:dyDescent="0.2">
      <c r="B61" s="341"/>
      <c r="F61" s="86"/>
    </row>
    <row r="62" spans="2:7" ht="25" hidden="1" customHeight="1" outlineLevel="1" x14ac:dyDescent="0.2">
      <c r="B62" s="342" t="s">
        <v>301</v>
      </c>
      <c r="E62" s="343"/>
    </row>
    <row r="63" spans="2:7" ht="27" hidden="1" customHeight="1" outlineLevel="1" x14ac:dyDescent="0.2">
      <c r="B63" s="334" t="s">
        <v>124</v>
      </c>
      <c r="C63" s="334" t="s">
        <v>36</v>
      </c>
      <c r="D63" s="334" t="s">
        <v>59</v>
      </c>
      <c r="E63" s="319" t="s">
        <v>150</v>
      </c>
    </row>
    <row r="64" spans="2:7" ht="21" hidden="1" customHeight="1" outlineLevel="1" x14ac:dyDescent="0.2">
      <c r="B64" s="81" t="s">
        <v>311</v>
      </c>
      <c r="C64" s="344">
        <f>$C$30</f>
        <v>2100</v>
      </c>
      <c r="D64" s="81"/>
      <c r="E64" s="2654" t="s">
        <v>2307</v>
      </c>
    </row>
    <row r="65" spans="2:7" ht="21" hidden="1" customHeight="1" outlineLevel="1" x14ac:dyDescent="0.2">
      <c r="B65" s="331" t="s">
        <v>312</v>
      </c>
      <c r="C65" s="429">
        <v>0.1</v>
      </c>
      <c r="D65" s="9"/>
      <c r="E65" s="2655"/>
      <c r="G65" s="353"/>
    </row>
    <row r="66" spans="2:7" ht="21" hidden="1" customHeight="1" outlineLevel="1" x14ac:dyDescent="0.2">
      <c r="B66" s="331" t="s">
        <v>313</v>
      </c>
      <c r="C66" s="429">
        <v>0.5</v>
      </c>
      <c r="D66" s="9"/>
      <c r="E66" s="2655"/>
    </row>
    <row r="67" spans="2:7" ht="21" hidden="1" customHeight="1" outlineLevel="1" x14ac:dyDescent="0.2">
      <c r="B67" s="331" t="s">
        <v>314</v>
      </c>
      <c r="C67" s="429">
        <v>0.4</v>
      </c>
      <c r="D67" s="9"/>
      <c r="E67" s="2656"/>
    </row>
    <row r="68" spans="2:7" ht="28" hidden="1" customHeight="1" outlineLevel="1" x14ac:dyDescent="0.2">
      <c r="B68" s="337"/>
      <c r="C68" s="354"/>
      <c r="D68" s="328"/>
    </row>
    <row r="69" spans="2:7" ht="24" hidden="1" customHeight="1" outlineLevel="1" x14ac:dyDescent="0.2">
      <c r="B69" s="351" t="s">
        <v>307</v>
      </c>
      <c r="E69" s="343"/>
    </row>
    <row r="70" spans="2:7" ht="25" hidden="1" customHeight="1" outlineLevel="1" x14ac:dyDescent="0.2">
      <c r="B70" s="334" t="s">
        <v>124</v>
      </c>
      <c r="C70" s="334" t="s">
        <v>36</v>
      </c>
      <c r="D70" s="334" t="s">
        <v>59</v>
      </c>
      <c r="E70" s="319" t="s">
        <v>150</v>
      </c>
    </row>
    <row r="71" spans="2:7" ht="22" hidden="1" customHeight="1" outlineLevel="1" x14ac:dyDescent="0.2">
      <c r="B71" s="81" t="s">
        <v>311</v>
      </c>
      <c r="C71" s="344">
        <f>$C$30</f>
        <v>2100</v>
      </c>
      <c r="D71" s="81"/>
      <c r="E71" s="617"/>
    </row>
    <row r="72" spans="2:7" ht="22" hidden="1" customHeight="1" outlineLevel="1" x14ac:dyDescent="0.2">
      <c r="B72" s="331" t="s">
        <v>309</v>
      </c>
      <c r="C72" s="10">
        <f>$C$30*50%</f>
        <v>1050</v>
      </c>
      <c r="D72" s="81"/>
      <c r="E72" s="2654" t="s">
        <v>2308</v>
      </c>
    </row>
    <row r="73" spans="2:7" ht="22" hidden="1" customHeight="1" outlineLevel="1" x14ac:dyDescent="0.2">
      <c r="B73" s="331" t="s">
        <v>315</v>
      </c>
      <c r="C73" s="10">
        <f>$C$30*25%</f>
        <v>525</v>
      </c>
      <c r="D73" s="81"/>
      <c r="E73" s="2655"/>
    </row>
    <row r="74" spans="2:7" ht="22" hidden="1" customHeight="1" outlineLevel="1" x14ac:dyDescent="0.2">
      <c r="B74" s="331" t="s">
        <v>308</v>
      </c>
      <c r="C74" s="10">
        <f>$C$30*25%</f>
        <v>525</v>
      </c>
      <c r="D74" s="81"/>
      <c r="E74" s="2656"/>
    </row>
    <row r="75" spans="2:7" hidden="1" outlineLevel="1" x14ac:dyDescent="0.2"/>
    <row r="76" spans="2:7" hidden="1" outlineLevel="1" x14ac:dyDescent="0.2"/>
    <row r="77" spans="2:7" ht="18" collapsed="1" x14ac:dyDescent="0.2">
      <c r="B77" s="531" t="s">
        <v>1513</v>
      </c>
      <c r="C77" s="531"/>
      <c r="D77" s="531"/>
      <c r="E77" s="531"/>
    </row>
    <row r="78" spans="2:7" hidden="1" outlineLevel="1" x14ac:dyDescent="0.2">
      <c r="B78" s="86" t="s">
        <v>1484</v>
      </c>
    </row>
    <row r="79" spans="2:7" hidden="1" outlineLevel="1" x14ac:dyDescent="0.2">
      <c r="B79" s="86"/>
    </row>
    <row r="80" spans="2:7" ht="28" hidden="1" customHeight="1" outlineLevel="1" x14ac:dyDescent="0.2">
      <c r="B80" s="334" t="s">
        <v>124</v>
      </c>
      <c r="C80" s="334" t="s">
        <v>36</v>
      </c>
      <c r="D80" s="334" t="s">
        <v>59</v>
      </c>
      <c r="E80" s="319" t="s">
        <v>150</v>
      </c>
    </row>
    <row r="81" spans="2:13" ht="22" hidden="1" customHeight="1" outlineLevel="1" x14ac:dyDescent="0.2">
      <c r="B81" s="81" t="s">
        <v>1129</v>
      </c>
      <c r="C81" s="428">
        <f>C33+C34+C31+C32</f>
        <v>587.62962962962968</v>
      </c>
      <c r="D81" s="81"/>
      <c r="E81" s="298"/>
    </row>
    <row r="82" spans="2:13" ht="22" hidden="1" customHeight="1" outlineLevel="1" x14ac:dyDescent="0.2">
      <c r="B82" s="331" t="s">
        <v>312</v>
      </c>
      <c r="C82" s="429">
        <v>0.1</v>
      </c>
      <c r="D82" s="9"/>
      <c r="E82" s="2657" t="s">
        <v>2309</v>
      </c>
    </row>
    <row r="83" spans="2:13" ht="22" hidden="1" customHeight="1" outlineLevel="1" x14ac:dyDescent="0.2">
      <c r="B83" s="331" t="s">
        <v>313</v>
      </c>
      <c r="C83" s="429">
        <v>0.5</v>
      </c>
      <c r="D83" s="9"/>
      <c r="E83" s="2657"/>
    </row>
    <row r="84" spans="2:13" ht="22" hidden="1" customHeight="1" outlineLevel="1" x14ac:dyDescent="0.2">
      <c r="B84" s="331" t="s">
        <v>314</v>
      </c>
      <c r="C84" s="429">
        <v>0.4</v>
      </c>
      <c r="D84" s="9"/>
      <c r="E84" s="2657"/>
    </row>
    <row r="85" spans="2:13" ht="17" hidden="1" customHeight="1" outlineLevel="1" x14ac:dyDescent="0.2">
      <c r="C85" s="354"/>
    </row>
    <row r="86" spans="2:13" ht="17" customHeight="1" collapsed="1" x14ac:dyDescent="0.2">
      <c r="B86" s="325"/>
      <c r="C86" s="354"/>
    </row>
    <row r="87" spans="2:13" ht="25" customHeight="1" x14ac:dyDescent="0.2">
      <c r="B87" s="325" t="s">
        <v>1916</v>
      </c>
      <c r="C87" s="326"/>
      <c r="D87" s="326"/>
      <c r="E87" s="326"/>
    </row>
    <row r="88" spans="2:13" ht="25" hidden="1" customHeight="1" outlineLevel="1" x14ac:dyDescent="0.2">
      <c r="B88" s="430" t="s">
        <v>1895</v>
      </c>
      <c r="C88" s="326"/>
      <c r="D88" s="326"/>
      <c r="E88" s="326"/>
      <c r="I88" s="430"/>
    </row>
    <row r="89" spans="2:13" ht="25" hidden="1" customHeight="1" outlineLevel="1" x14ac:dyDescent="0.2">
      <c r="B89" s="55" t="s">
        <v>1915</v>
      </c>
      <c r="C89" s="326"/>
      <c r="D89" s="326"/>
      <c r="E89" s="326"/>
    </row>
    <row r="90" spans="2:13" ht="85" hidden="1" customHeight="1" outlineLevel="1" x14ac:dyDescent="0.2">
      <c r="B90" s="2645" t="s">
        <v>2257</v>
      </c>
      <c r="C90" s="2645"/>
      <c r="D90" s="2645"/>
      <c r="E90" s="2645"/>
      <c r="H90"/>
      <c r="I90"/>
      <c r="M90"/>
    </row>
    <row r="91" spans="2:13" ht="25" hidden="1" customHeight="1" outlineLevel="1" x14ac:dyDescent="0.2">
      <c r="B91" s="55" t="s">
        <v>1472</v>
      </c>
      <c r="C91" s="326"/>
      <c r="D91" s="326"/>
      <c r="E91" s="326"/>
      <c r="H91"/>
      <c r="I91"/>
      <c r="M91"/>
    </row>
    <row r="92" spans="2:13" ht="35" hidden="1" customHeight="1" outlineLevel="1" x14ac:dyDescent="0.2">
      <c r="B92" s="60" t="s">
        <v>481</v>
      </c>
      <c r="C92" s="74" t="s">
        <v>1598</v>
      </c>
      <c r="D92" s="530" t="s">
        <v>1497</v>
      </c>
      <c r="H92"/>
      <c r="I92"/>
      <c r="M92"/>
    </row>
    <row r="93" spans="2:13" ht="25" hidden="1" customHeight="1" outlineLevel="1" x14ac:dyDescent="0.2">
      <c r="B93" s="81" t="s">
        <v>1503</v>
      </c>
      <c r="C93" s="502">
        <f>(C83*C81+C66*C64)+C52</f>
        <v>2195.9734033547675</v>
      </c>
      <c r="D93" s="561">
        <f>C93/$C$29</f>
        <v>0.16892103102728981</v>
      </c>
      <c r="H93"/>
      <c r="I93"/>
      <c r="M93"/>
    </row>
    <row r="94" spans="2:13" ht="25" hidden="1" customHeight="1" outlineLevel="1" x14ac:dyDescent="0.2">
      <c r="B94" s="81" t="s">
        <v>1504</v>
      </c>
      <c r="C94" s="502">
        <f>(C84*C81+C67*C64)+C50+C51</f>
        <v>1656.6500885303697</v>
      </c>
      <c r="D94" s="561">
        <f>C94/$C$29</f>
        <v>0.12743462219464383</v>
      </c>
      <c r="H94"/>
      <c r="I94"/>
      <c r="M94"/>
    </row>
    <row r="95" spans="2:13" ht="25" hidden="1" customHeight="1" outlineLevel="1" x14ac:dyDescent="0.2">
      <c r="B95" s="81" t="s">
        <v>1505</v>
      </c>
      <c r="C95" s="502">
        <f>C65*C64+C49+C81*C82</f>
        <v>2584.5039273202838</v>
      </c>
      <c r="D95" s="561">
        <f t="shared" ref="D95" si="0">C95/$C$29</f>
        <v>0.19880799440925259</v>
      </c>
      <c r="H95"/>
      <c r="I95"/>
      <c r="M95"/>
    </row>
    <row r="96" spans="2:13" ht="25" hidden="1" customHeight="1" outlineLevel="1" x14ac:dyDescent="0.2">
      <c r="B96" s="7" t="s">
        <v>483</v>
      </c>
      <c r="C96" s="562">
        <f>SUM(C93:C95)</f>
        <v>6437.1274192054207</v>
      </c>
      <c r="D96" s="563">
        <f>SUM(D93:D95)</f>
        <v>0.49516364763118625</v>
      </c>
      <c r="H96"/>
      <c r="I96"/>
      <c r="M96"/>
    </row>
    <row r="97" spans="1:13" ht="25" hidden="1" customHeight="1" outlineLevel="1" x14ac:dyDescent="0.2">
      <c r="B97" s="558"/>
      <c r="C97" s="559"/>
      <c r="D97" s="560"/>
      <c r="E97" s="559"/>
      <c r="F97" s="559"/>
      <c r="M97"/>
    </row>
    <row r="98" spans="1:13" ht="25" hidden="1" customHeight="1" outlineLevel="1" x14ac:dyDescent="0.2">
      <c r="B98" s="1598" t="s">
        <v>1357</v>
      </c>
      <c r="C98" s="559"/>
      <c r="D98" s="560"/>
      <c r="E98" s="559"/>
      <c r="F98" s="559"/>
      <c r="M98"/>
    </row>
    <row r="99" spans="1:13" ht="25" hidden="1" customHeight="1" outlineLevel="1" x14ac:dyDescent="0.2">
      <c r="B99" s="55" t="s">
        <v>1481</v>
      </c>
      <c r="C99" s="326"/>
      <c r="D99" s="326"/>
      <c r="E99" s="326"/>
      <c r="M99"/>
    </row>
    <row r="100" spans="1:13" ht="40" hidden="1" customHeight="1" outlineLevel="1" x14ac:dyDescent="0.2">
      <c r="B100" s="1026" t="str">
        <f>B92</f>
        <v>Plat</v>
      </c>
      <c r="C100" s="1026" t="str">
        <f>C92</f>
        <v>Quantités consommées sur un match pour un stade type</v>
      </c>
      <c r="D100" s="1599" t="str">
        <f>D92</f>
        <v>Quantité/personne sur un match pour un stade type</v>
      </c>
      <c r="E100" s="1026" t="s">
        <v>1474</v>
      </c>
      <c r="F100" s="1026" t="s">
        <v>1476</v>
      </c>
      <c r="G100" s="1026" t="s">
        <v>1498</v>
      </c>
      <c r="H100" s="1026" t="s">
        <v>1475</v>
      </c>
      <c r="M100"/>
    </row>
    <row r="101" spans="1:13" ht="25" hidden="1" customHeight="1" outlineLevel="1" x14ac:dyDescent="0.2">
      <c r="B101" s="81" t="s">
        <v>1509</v>
      </c>
      <c r="C101" s="91">
        <f t="shared" ref="C101:D103" si="1">C93</f>
        <v>2195.9734033547675</v>
      </c>
      <c r="D101" s="572">
        <f t="shared" si="1"/>
        <v>0.16892103102728981</v>
      </c>
      <c r="E101" s="91">
        <f>D101*'ANNEXE A'!$C$247</f>
        <v>3182095.9457344636</v>
      </c>
      <c r="F101" s="90">
        <f>D300</f>
        <v>5.4833104105062294</v>
      </c>
      <c r="G101" s="90">
        <f>F101*C101/1000</f>
        <v>12.041203823809992</v>
      </c>
      <c r="H101" s="91">
        <f>E101*F101/1000</f>
        <v>17448.419826475449</v>
      </c>
      <c r="M101"/>
    </row>
    <row r="102" spans="1:13" ht="25" hidden="1" customHeight="1" outlineLevel="1" x14ac:dyDescent="0.2">
      <c r="B102" s="81" t="s">
        <v>1510</v>
      </c>
      <c r="C102" s="91">
        <f t="shared" si="1"/>
        <v>1656.6500885303697</v>
      </c>
      <c r="D102" s="572">
        <f t="shared" si="1"/>
        <v>0.12743462219464383</v>
      </c>
      <c r="E102" s="91">
        <f>D102*'ANNEXE A'!$C$247</f>
        <v>2400584.4160770467</v>
      </c>
      <c r="F102" s="90">
        <f>D313</f>
        <v>0.79</v>
      </c>
      <c r="G102" s="90">
        <f>F102*C102/1000</f>
        <v>1.3087535699389921</v>
      </c>
      <c r="H102" s="91">
        <f>E102*F102/1000</f>
        <v>1896.4616887008669</v>
      </c>
      <c r="M102"/>
    </row>
    <row r="103" spans="1:13" ht="25" hidden="1" customHeight="1" outlineLevel="1" x14ac:dyDescent="0.2">
      <c r="B103" s="81" t="s">
        <v>1511</v>
      </c>
      <c r="C103" s="91">
        <f t="shared" si="1"/>
        <v>2584.5039273202838</v>
      </c>
      <c r="D103" s="572">
        <f t="shared" si="1"/>
        <v>0.19880799440925259</v>
      </c>
      <c r="E103" s="91">
        <f>D103*'ANNEXE A'!$C$247</f>
        <v>3745099.7613617424</v>
      </c>
      <c r="F103" s="569">
        <f>D306</f>
        <v>0.3646504471936623</v>
      </c>
      <c r="G103" s="90">
        <f>F103*C103/1000</f>
        <v>0.94244051287111785</v>
      </c>
      <c r="H103" s="91">
        <f t="shared" ref="H103" si="2">E103*F103/1000</f>
        <v>1365.6523027654373</v>
      </c>
      <c r="M103"/>
    </row>
    <row r="104" spans="1:13" ht="25" hidden="1" customHeight="1" outlineLevel="1" x14ac:dyDescent="0.2">
      <c r="A104"/>
      <c r="B104" s="7" t="s">
        <v>13</v>
      </c>
      <c r="C104" s="8">
        <f>SUM(C101:C103)</f>
        <v>6437.1274192054207</v>
      </c>
      <c r="D104" s="573">
        <f>SUM(D101:D103)</f>
        <v>0.49516364763118625</v>
      </c>
      <c r="E104" s="8">
        <f>SUM(E101:E103)</f>
        <v>9327780.1231732517</v>
      </c>
      <c r="F104" s="8"/>
      <c r="G104" s="8">
        <f>SUM(G101:G103)</f>
        <v>14.292397906620101</v>
      </c>
      <c r="H104" s="8">
        <f>SUM(H101:H103)</f>
        <v>20710.533817941752</v>
      </c>
      <c r="M104"/>
    </row>
    <row r="105" spans="1:13" ht="25" hidden="1" customHeight="1" outlineLevel="1" x14ac:dyDescent="0.2">
      <c r="A105"/>
      <c r="B105" s="328"/>
      <c r="C105" s="1442"/>
      <c r="D105" s="1601"/>
      <c r="E105" s="1442"/>
      <c r="F105" s="1442"/>
      <c r="G105" s="1442"/>
      <c r="H105" s="1442"/>
      <c r="M105"/>
    </row>
    <row r="106" spans="1:13" ht="25" hidden="1" customHeight="1" outlineLevel="1" x14ac:dyDescent="0.2">
      <c r="B106" s="1598" t="s">
        <v>1357</v>
      </c>
      <c r="D106" s="11"/>
      <c r="M106"/>
    </row>
    <row r="107" spans="1:13" ht="25" hidden="1" customHeight="1" outlineLevel="1" x14ac:dyDescent="0.2">
      <c r="B107" s="55" t="s">
        <v>1599</v>
      </c>
      <c r="C107" s="556"/>
      <c r="D107" s="11"/>
      <c r="M107"/>
    </row>
    <row r="108" spans="1:13" ht="37" hidden="1" customHeight="1" outlineLevel="1" x14ac:dyDescent="0.2">
      <c r="B108" s="1600" t="s">
        <v>307</v>
      </c>
      <c r="C108" s="1026" t="str">
        <f>C100</f>
        <v>Quantités consommées sur un match pour un stade type</v>
      </c>
      <c r="D108" s="1599" t="str">
        <f>D100</f>
        <v>Quantité/personne sur un match pour un stade type</v>
      </c>
      <c r="E108" s="1026" t="str">
        <f>E100</f>
        <v>Quantités consommées sur une saison (périmètre France)</v>
      </c>
      <c r="F108" s="1026" t="s">
        <v>1479</v>
      </c>
      <c r="G108" s="1026" t="str">
        <f>G100</f>
        <v>Émissions par match (tCO2e) pour un stade type</v>
      </c>
      <c r="H108" s="1026" t="s">
        <v>1475</v>
      </c>
      <c r="J108"/>
      <c r="K108"/>
      <c r="L108"/>
      <c r="M108"/>
    </row>
    <row r="109" spans="1:13" ht="24" hidden="1" customHeight="1" outlineLevel="1" x14ac:dyDescent="0.2">
      <c r="B109" s="81" t="s">
        <v>353</v>
      </c>
      <c r="C109" s="502">
        <f>C58+C72</f>
        <v>5855.5523035870801</v>
      </c>
      <c r="D109" s="574">
        <f>C109/$C$29</f>
        <v>0.45042710027592925</v>
      </c>
      <c r="E109" s="502">
        <f>D109*'ANNEXE A'!$C$247</f>
        <v>8485043.223572379</v>
      </c>
      <c r="F109" s="569">
        <f>C152+$E$168</f>
        <v>0.34589999999999999</v>
      </c>
      <c r="G109" s="569">
        <f>F109*C109/1000</f>
        <v>2.0254355418107708</v>
      </c>
      <c r="H109" s="502">
        <f>E109*F109/1000</f>
        <v>2934.9764510336859</v>
      </c>
      <c r="J109"/>
      <c r="M109"/>
    </row>
    <row r="110" spans="1:13" ht="24" hidden="1" customHeight="1" outlineLevel="1" x14ac:dyDescent="0.2">
      <c r="B110" s="81" t="s">
        <v>1477</v>
      </c>
      <c r="C110" s="502">
        <f>C57+C74</f>
        <v>3400.0150929134034</v>
      </c>
      <c r="D110" s="574">
        <f t="shared" ref="D110:D111" si="3">C110/$C$29</f>
        <v>0.26153962253180024</v>
      </c>
      <c r="E110" s="502">
        <f>D110*'ANNEXE A'!$C$247</f>
        <v>4926823.8978064926</v>
      </c>
      <c r="F110" s="569">
        <f>C150+$E$168</f>
        <v>0.41889999999999999</v>
      </c>
      <c r="G110" s="569">
        <f>F110*C110/1000</f>
        <v>1.4242663224214245</v>
      </c>
      <c r="H110" s="502">
        <f>E110*F110/1000</f>
        <v>2063.8465307911397</v>
      </c>
      <c r="J110"/>
      <c r="M110"/>
    </row>
    <row r="111" spans="1:13" ht="24" hidden="1" customHeight="1" outlineLevel="1" x14ac:dyDescent="0.2">
      <c r="B111" s="81" t="s">
        <v>1478</v>
      </c>
      <c r="C111" s="502">
        <f>C73</f>
        <v>525</v>
      </c>
      <c r="D111" s="574">
        <f t="shared" si="3"/>
        <v>4.0384615384615387E-2</v>
      </c>
      <c r="E111" s="502">
        <f>D111*'ANNEXE A'!$C$247</f>
        <v>760756.19538853853</v>
      </c>
      <c r="F111" s="569">
        <f>C154+$E$168</f>
        <v>0.16090000000000002</v>
      </c>
      <c r="G111" s="569">
        <f>F111*C111/1000</f>
        <v>8.4472500000000006E-2</v>
      </c>
      <c r="H111" s="502">
        <f>E111*F111/1000</f>
        <v>122.40567183801586</v>
      </c>
      <c r="J111"/>
      <c r="M111"/>
    </row>
    <row r="112" spans="1:13" ht="24" hidden="1" customHeight="1" outlineLevel="1" x14ac:dyDescent="0.2">
      <c r="B112" s="7" t="s">
        <v>13</v>
      </c>
      <c r="C112" s="562">
        <f t="shared" ref="C112:H112" si="4">SUM(C109:C111)</f>
        <v>9780.5673965004826</v>
      </c>
      <c r="D112" s="563">
        <f t="shared" si="4"/>
        <v>0.7523513381923449</v>
      </c>
      <c r="E112" s="562">
        <f t="shared" si="4"/>
        <v>14172623.316767411</v>
      </c>
      <c r="F112" s="570">
        <f t="shared" si="4"/>
        <v>0.92569999999999997</v>
      </c>
      <c r="G112" s="570">
        <f t="shared" si="4"/>
        <v>3.5341743642321952</v>
      </c>
      <c r="H112" s="562">
        <f t="shared" si="4"/>
        <v>5121.2286536628417</v>
      </c>
      <c r="J112"/>
      <c r="K112"/>
      <c r="L112"/>
      <c r="M112"/>
    </row>
    <row r="113" spans="2:13" ht="25" customHeight="1" collapsed="1" x14ac:dyDescent="0.2">
      <c r="J113"/>
      <c r="K113"/>
      <c r="L113"/>
      <c r="M113"/>
    </row>
    <row r="114" spans="2:13" ht="25" hidden="1" customHeight="1" outlineLevel="1" x14ac:dyDescent="0.2">
      <c r="B114" s="474" t="s">
        <v>1357</v>
      </c>
      <c r="C114" s="531"/>
      <c r="D114" s="531"/>
      <c r="E114" s="531"/>
      <c r="J114"/>
      <c r="K114"/>
      <c r="L114"/>
      <c r="M114"/>
    </row>
    <row r="115" spans="2:13" ht="25" hidden="1" customHeight="1" outlineLevel="1" x14ac:dyDescent="0.2">
      <c r="B115" s="55" t="s">
        <v>1600</v>
      </c>
      <c r="E115" s="531"/>
      <c r="J115"/>
      <c r="K115"/>
      <c r="L115"/>
      <c r="M115"/>
    </row>
    <row r="116" spans="2:13" ht="29" hidden="1" customHeight="1" outlineLevel="1" thickBot="1" x14ac:dyDescent="0.25">
      <c r="E116" s="531"/>
      <c r="J116"/>
      <c r="K116"/>
      <c r="L116"/>
      <c r="M116"/>
    </row>
    <row r="117" spans="2:13" ht="29" hidden="1" customHeight="1" outlineLevel="1" thickBot="1" x14ac:dyDescent="0.25">
      <c r="C117" s="981" t="s">
        <v>124</v>
      </c>
      <c r="D117" s="982" t="s">
        <v>36</v>
      </c>
      <c r="E117" s="531"/>
      <c r="J117"/>
      <c r="K117"/>
      <c r="L117"/>
      <c r="M117"/>
    </row>
    <row r="118" spans="2:13" ht="29" hidden="1" customHeight="1" outlineLevel="1" x14ac:dyDescent="0.2">
      <c r="B118" s="2663" t="s">
        <v>1486</v>
      </c>
      <c r="C118" s="939" t="s">
        <v>1487</v>
      </c>
      <c r="D118" s="952">
        <f>E104</f>
        <v>9327780.1231732517</v>
      </c>
      <c r="E118" s="531"/>
      <c r="J118"/>
      <c r="K118"/>
      <c r="L118"/>
      <c r="M118"/>
    </row>
    <row r="119" spans="2:13" ht="29" hidden="1" customHeight="1" outlineLevel="1" thickBot="1" x14ac:dyDescent="0.25">
      <c r="B119" s="2664"/>
      <c r="C119" s="959" t="s">
        <v>1488</v>
      </c>
      <c r="D119" s="960">
        <f>E112</f>
        <v>14172623.316767411</v>
      </c>
      <c r="E119" s="531"/>
      <c r="J119"/>
      <c r="K119"/>
      <c r="L119"/>
      <c r="M119"/>
    </row>
    <row r="120" spans="2:13" ht="29" hidden="1" customHeight="1" outlineLevel="1" x14ac:dyDescent="0.2">
      <c r="B120" s="2663" t="s">
        <v>1490</v>
      </c>
      <c r="C120" s="961" t="str">
        <f>B101</f>
        <v>Plats et snacks avec une dominante bœuf</v>
      </c>
      <c r="D120" s="962">
        <f>E101/$E$104</f>
        <v>0.34114182621319494</v>
      </c>
      <c r="E120" s="531"/>
      <c r="J120"/>
      <c r="K120"/>
      <c r="L120"/>
      <c r="M120"/>
    </row>
    <row r="121" spans="2:13" ht="29" hidden="1" customHeight="1" outlineLevel="1" x14ac:dyDescent="0.2">
      <c r="B121" s="2671"/>
      <c r="C121" s="949" t="str">
        <f>B102</f>
        <v>Plats et snacks avec une dominante poulet/porc</v>
      </c>
      <c r="D121" s="953">
        <f>E102/$E$104</f>
        <v>0.25735859812059797</v>
      </c>
      <c r="E121" s="531"/>
      <c r="J121"/>
      <c r="K121"/>
      <c r="L121"/>
      <c r="M121"/>
    </row>
    <row r="122" spans="2:13" ht="29" hidden="1" customHeight="1" outlineLevel="1" thickBot="1" x14ac:dyDescent="0.25">
      <c r="B122" s="2671"/>
      <c r="C122" s="1951" t="str">
        <f>B103</f>
        <v>Plats et snacks végétariens</v>
      </c>
      <c r="D122" s="1952">
        <f>E103/$E$104</f>
        <v>0.4014995756662072</v>
      </c>
      <c r="E122" s="531"/>
      <c r="J122"/>
      <c r="K122"/>
      <c r="L122"/>
      <c r="M122"/>
    </row>
    <row r="123" spans="2:13" ht="29" hidden="1" customHeight="1" outlineLevel="1" x14ac:dyDescent="0.2">
      <c r="B123" s="2671"/>
      <c r="C123" s="1953" t="s">
        <v>1492</v>
      </c>
      <c r="D123" s="1954">
        <f>E109/$E$112</f>
        <v>0.59869249566054972</v>
      </c>
      <c r="E123" s="531"/>
      <c r="J123"/>
      <c r="K123"/>
      <c r="L123"/>
      <c r="M123"/>
    </row>
    <row r="124" spans="2:13" ht="29" hidden="1" customHeight="1" outlineLevel="1" x14ac:dyDescent="0.2">
      <c r="B124" s="2671"/>
      <c r="C124" s="1955" t="s">
        <v>1491</v>
      </c>
      <c r="D124" s="1956">
        <f>E110/$E$112</f>
        <v>0.34762963691962684</v>
      </c>
      <c r="E124" s="531"/>
      <c r="J124"/>
      <c r="K124"/>
      <c r="L124"/>
      <c r="M124"/>
    </row>
    <row r="125" spans="2:13" ht="29" hidden="1" customHeight="1" outlineLevel="1" thickBot="1" x14ac:dyDescent="0.25">
      <c r="B125" s="2664"/>
      <c r="C125" s="1957" t="s">
        <v>1493</v>
      </c>
      <c r="D125" s="1958">
        <f>E111/$E$112</f>
        <v>5.3677867419823375E-2</v>
      </c>
      <c r="E125" s="531"/>
      <c r="J125"/>
      <c r="K125"/>
      <c r="L125"/>
      <c r="M125"/>
    </row>
    <row r="126" spans="2:13" ht="29" hidden="1" customHeight="1" outlineLevel="1" x14ac:dyDescent="0.2">
      <c r="B126" s="2669" t="s">
        <v>1512</v>
      </c>
      <c r="C126" s="957" t="s">
        <v>1508</v>
      </c>
      <c r="D126" s="958">
        <f>F101</f>
        <v>5.4833104105062294</v>
      </c>
      <c r="E126" s="531"/>
      <c r="J126"/>
      <c r="K126"/>
      <c r="L126"/>
      <c r="M126"/>
    </row>
    <row r="127" spans="2:13" ht="29" hidden="1" customHeight="1" outlineLevel="1" x14ac:dyDescent="0.2">
      <c r="B127" s="2670"/>
      <c r="C127" s="950" t="s">
        <v>1507</v>
      </c>
      <c r="D127" s="954">
        <f>F102</f>
        <v>0.79</v>
      </c>
      <c r="E127" s="531"/>
      <c r="J127"/>
      <c r="K127"/>
      <c r="L127"/>
      <c r="M127"/>
    </row>
    <row r="128" spans="2:13" ht="29" hidden="1" customHeight="1" outlineLevel="1" x14ac:dyDescent="0.2">
      <c r="B128" s="2670"/>
      <c r="C128" s="950" t="s">
        <v>1493</v>
      </c>
      <c r="D128" s="954">
        <f>F103</f>
        <v>0.3646504471936623</v>
      </c>
      <c r="E128" s="531"/>
      <c r="J128"/>
      <c r="K128"/>
      <c r="L128"/>
      <c r="M128"/>
    </row>
    <row r="129" spans="1:13" ht="29" hidden="1" customHeight="1" outlineLevel="1" x14ac:dyDescent="0.2">
      <c r="B129" s="2670"/>
      <c r="C129" s="950" t="s">
        <v>1492</v>
      </c>
      <c r="D129" s="955">
        <f>F109</f>
        <v>0.34589999999999999</v>
      </c>
      <c r="E129" s="531"/>
      <c r="J129"/>
      <c r="K129"/>
      <c r="L129"/>
      <c r="M129"/>
    </row>
    <row r="130" spans="1:13" ht="29" hidden="1" customHeight="1" outlineLevel="1" x14ac:dyDescent="0.2">
      <c r="B130" s="2670"/>
      <c r="C130" s="950" t="str">
        <f>C124</f>
        <v>Soda industrielle non local</v>
      </c>
      <c r="D130" s="955">
        <f>F110</f>
        <v>0.41889999999999999</v>
      </c>
      <c r="E130" s="531"/>
      <c r="J130"/>
      <c r="K130"/>
      <c r="L130"/>
      <c r="M130"/>
    </row>
    <row r="131" spans="1:13" ht="29" hidden="1" customHeight="1" outlineLevel="1" thickBot="1" x14ac:dyDescent="0.25">
      <c r="B131" s="2670"/>
      <c r="C131" s="951" t="str">
        <f>C125</f>
        <v>Vin non local</v>
      </c>
      <c r="D131" s="956">
        <f>F111</f>
        <v>0.16090000000000002</v>
      </c>
      <c r="E131" s="531"/>
      <c r="J131"/>
      <c r="K131"/>
      <c r="L131"/>
      <c r="M131"/>
    </row>
    <row r="132" spans="1:13" ht="29" hidden="1" customHeight="1" outlineLevel="1" thickBot="1" x14ac:dyDescent="0.25">
      <c r="B132" s="2672" t="s">
        <v>485</v>
      </c>
      <c r="C132" s="2673"/>
      <c r="D132" s="948">
        <f>(D118*SUMPRODUCT(D120:D122,D126:D128)+D119*SUMPRODUCT(D123:D125,D129:D131))/1000</f>
        <v>25831.762471604598</v>
      </c>
      <c r="E132" s="531"/>
      <c r="J132"/>
      <c r="K132"/>
      <c r="L132"/>
      <c r="M132"/>
    </row>
    <row r="133" spans="1:13" ht="26" hidden="1" customHeight="1" outlineLevel="1" x14ac:dyDescent="0.2">
      <c r="J133"/>
      <c r="K133"/>
      <c r="L133"/>
      <c r="M133"/>
    </row>
    <row r="134" spans="1:13" ht="26" customHeight="1" collapsed="1" thickBot="1" x14ac:dyDescent="0.25">
      <c r="F134"/>
      <c r="G134"/>
      <c r="H134"/>
      <c r="J134"/>
      <c r="K134"/>
      <c r="L134"/>
      <c r="M134"/>
    </row>
    <row r="135" spans="1:13" ht="48" customHeight="1" thickBot="1" x14ac:dyDescent="0.25">
      <c r="B135" s="315" t="s">
        <v>765</v>
      </c>
      <c r="C135" s="316">
        <f>D132</f>
        <v>25831.762471604598</v>
      </c>
      <c r="D135" s="317" t="s">
        <v>71</v>
      </c>
      <c r="J135"/>
    </row>
    <row r="136" spans="1:13" ht="22" customHeight="1" x14ac:dyDescent="0.2">
      <c r="B136" s="436"/>
      <c r="C136" s="437"/>
      <c r="D136" s="26"/>
      <c r="J136"/>
    </row>
    <row r="137" spans="1:13" ht="22" customHeight="1" x14ac:dyDescent="0.2">
      <c r="B137" s="436"/>
      <c r="C137" s="437"/>
      <c r="D137" s="26"/>
      <c r="J137"/>
    </row>
    <row r="138" spans="1:13" ht="22" customHeight="1" x14ac:dyDescent="0.2">
      <c r="J138"/>
    </row>
    <row r="139" spans="1:13" ht="21" customHeight="1" x14ac:dyDescent="0.2">
      <c r="B139" s="433" t="s">
        <v>1352</v>
      </c>
    </row>
    <row r="140" spans="1:13" ht="21" hidden="1" customHeight="1" outlineLevel="1" x14ac:dyDescent="0.2"/>
    <row r="141" spans="1:13" ht="20" hidden="1" outlineLevel="1" x14ac:dyDescent="0.2">
      <c r="A141" s="323"/>
      <c r="B141" s="1602" t="s">
        <v>2262</v>
      </c>
      <c r="C141" s="533"/>
      <c r="D141" s="533"/>
      <c r="E141" s="533"/>
    </row>
    <row r="142" spans="1:13" ht="23" hidden="1" customHeight="1" outlineLevel="1" x14ac:dyDescent="0.2"/>
    <row r="143" spans="1:13" ht="23" hidden="1" customHeight="1" outlineLevel="1" x14ac:dyDescent="0.2">
      <c r="B143" s="357" t="s">
        <v>124</v>
      </c>
      <c r="C143" s="357" t="s">
        <v>36</v>
      </c>
      <c r="D143" s="357" t="s">
        <v>59</v>
      </c>
      <c r="E143" s="357" t="s">
        <v>125</v>
      </c>
      <c r="F143" s="567" t="s">
        <v>37</v>
      </c>
    </row>
    <row r="144" spans="1:13" hidden="1" outlineLevel="1" x14ac:dyDescent="0.2">
      <c r="B144" s="358" t="s">
        <v>317</v>
      </c>
      <c r="C144" s="2205">
        <v>1.18</v>
      </c>
      <c r="D144" s="2193" t="s">
        <v>2192</v>
      </c>
      <c r="E144" s="2192" t="s">
        <v>2191</v>
      </c>
      <c r="F144" s="358" t="s">
        <v>335</v>
      </c>
    </row>
    <row r="145" spans="2:11" hidden="1" outlineLevel="1" x14ac:dyDescent="0.2">
      <c r="B145" s="358" t="s">
        <v>318</v>
      </c>
      <c r="C145" s="2206">
        <v>1.41</v>
      </c>
      <c r="D145" s="2193" t="s">
        <v>2192</v>
      </c>
      <c r="E145" s="2192" t="s">
        <v>2191</v>
      </c>
      <c r="F145" s="2194" t="s">
        <v>335</v>
      </c>
    </row>
    <row r="146" spans="2:11" hidden="1" outlineLevel="1" x14ac:dyDescent="0.2">
      <c r="B146" s="81" t="s">
        <v>319</v>
      </c>
      <c r="C146" s="216">
        <f>7.57*0.25</f>
        <v>1.8925000000000001</v>
      </c>
      <c r="D146" s="358" t="s">
        <v>333</v>
      </c>
      <c r="E146" s="358" t="s">
        <v>2191</v>
      </c>
      <c r="F146" s="358" t="s">
        <v>335</v>
      </c>
    </row>
    <row r="147" spans="2:11" hidden="1" outlineLevel="1" x14ac:dyDescent="0.2">
      <c r="B147" s="81" t="s">
        <v>320</v>
      </c>
      <c r="C147" s="216">
        <v>5.18</v>
      </c>
      <c r="D147" s="358" t="s">
        <v>333</v>
      </c>
      <c r="E147" s="358" t="s">
        <v>2191</v>
      </c>
      <c r="F147" s="358" t="s">
        <v>334</v>
      </c>
    </row>
    <row r="148" spans="2:11" hidden="1" outlineLevel="1" x14ac:dyDescent="0.2">
      <c r="B148" s="2195" t="s">
        <v>321</v>
      </c>
      <c r="C148" s="216">
        <v>0.30599999999999999</v>
      </c>
      <c r="D148" s="358" t="s">
        <v>333</v>
      </c>
      <c r="E148" s="358" t="s">
        <v>2191</v>
      </c>
      <c r="F148" s="358" t="s">
        <v>337</v>
      </c>
    </row>
    <row r="149" spans="2:11" hidden="1" outlineLevel="1" x14ac:dyDescent="0.2">
      <c r="B149" s="81" t="s">
        <v>338</v>
      </c>
      <c r="C149" s="2206">
        <v>0.15375</v>
      </c>
      <c r="D149" s="2192" t="s">
        <v>339</v>
      </c>
      <c r="E149" s="358" t="s">
        <v>2191</v>
      </c>
      <c r="F149" s="2192" t="s">
        <v>340</v>
      </c>
    </row>
    <row r="150" spans="2:11" hidden="1" outlineLevel="1" x14ac:dyDescent="0.2">
      <c r="B150" s="358" t="s">
        <v>2193</v>
      </c>
      <c r="C150" s="2205">
        <v>0.41699999999999998</v>
      </c>
      <c r="D150" s="358" t="s">
        <v>542</v>
      </c>
      <c r="E150" s="358" t="s">
        <v>322</v>
      </c>
      <c r="F150" s="568"/>
    </row>
    <row r="151" spans="2:11" hidden="1" outlineLevel="1" x14ac:dyDescent="0.2">
      <c r="B151" s="358" t="s">
        <v>2194</v>
      </c>
      <c r="C151" s="2205">
        <v>0.20100000000000001</v>
      </c>
      <c r="D151" s="358" t="s">
        <v>542</v>
      </c>
      <c r="E151" s="358" t="s">
        <v>322</v>
      </c>
      <c r="F151" s="568"/>
    </row>
    <row r="152" spans="2:11" hidden="1" outlineLevel="1" x14ac:dyDescent="0.2">
      <c r="B152" s="358" t="s">
        <v>2195</v>
      </c>
      <c r="C152" s="2205">
        <v>0.34399999999999997</v>
      </c>
      <c r="D152" s="358" t="s">
        <v>542</v>
      </c>
      <c r="E152" s="358" t="s">
        <v>322</v>
      </c>
      <c r="F152" s="568"/>
    </row>
    <row r="153" spans="2:11" hidden="1" outlineLevel="1" x14ac:dyDescent="0.2">
      <c r="B153" s="358" t="s">
        <v>2196</v>
      </c>
      <c r="C153" s="2205">
        <v>0.25800000000000001</v>
      </c>
      <c r="D153" s="358" t="s">
        <v>542</v>
      </c>
      <c r="E153" s="358" t="s">
        <v>322</v>
      </c>
      <c r="F153" s="568"/>
    </row>
    <row r="154" spans="2:11" hidden="1" outlineLevel="1" x14ac:dyDescent="0.2">
      <c r="B154" s="358" t="s">
        <v>2197</v>
      </c>
      <c r="C154" s="2205">
        <v>0.159</v>
      </c>
      <c r="D154" s="358" t="s">
        <v>542</v>
      </c>
      <c r="E154" s="358" t="s">
        <v>322</v>
      </c>
      <c r="F154" s="568"/>
    </row>
    <row r="155" spans="2:11" hidden="1" outlineLevel="1" x14ac:dyDescent="0.2">
      <c r="B155" s="358" t="s">
        <v>2198</v>
      </c>
      <c r="C155" s="2205">
        <v>0.14699999999999999</v>
      </c>
      <c r="D155" s="358" t="s">
        <v>542</v>
      </c>
      <c r="E155" s="358" t="s">
        <v>322</v>
      </c>
      <c r="F155" s="568"/>
    </row>
    <row r="156" spans="2:11" ht="16" hidden="1" customHeight="1" outlineLevel="1" x14ac:dyDescent="0.2">
      <c r="B156" s="358" t="s">
        <v>2253</v>
      </c>
      <c r="C156" s="2205">
        <v>0.87</v>
      </c>
      <c r="D156" s="358" t="s">
        <v>323</v>
      </c>
      <c r="E156" s="358" t="s">
        <v>2191</v>
      </c>
      <c r="F156" s="361" t="s">
        <v>2199</v>
      </c>
      <c r="H156"/>
      <c r="I156"/>
      <c r="J156"/>
      <c r="K156"/>
    </row>
    <row r="157" spans="2:11" ht="16" hidden="1" customHeight="1" outlineLevel="1" x14ac:dyDescent="0.2">
      <c r="B157" s="358" t="s">
        <v>2254</v>
      </c>
      <c r="C157" s="2205">
        <v>6.41</v>
      </c>
      <c r="D157" s="358" t="s">
        <v>323</v>
      </c>
      <c r="E157" s="358" t="s">
        <v>2191</v>
      </c>
      <c r="F157" s="361" t="s">
        <v>2200</v>
      </c>
      <c r="H157"/>
      <c r="I157"/>
      <c r="J157"/>
      <c r="K157"/>
    </row>
    <row r="158" spans="2:11" ht="18" hidden="1" customHeight="1" outlineLevel="1" x14ac:dyDescent="0.2">
      <c r="B158" s="358" t="s">
        <v>2255</v>
      </c>
      <c r="C158" s="2205">
        <v>0.64</v>
      </c>
      <c r="D158" s="358" t="s">
        <v>323</v>
      </c>
      <c r="E158" s="358" t="s">
        <v>2191</v>
      </c>
      <c r="F158" s="361" t="s">
        <v>2256</v>
      </c>
      <c r="H158"/>
      <c r="I158"/>
      <c r="J158"/>
      <c r="K158"/>
    </row>
    <row r="159" spans="2:11" hidden="1" outlineLevel="1" x14ac:dyDescent="0.2">
      <c r="B159" s="358" t="s">
        <v>324</v>
      </c>
      <c r="C159" s="2205">
        <f>380/1000</f>
        <v>0.38</v>
      </c>
      <c r="D159" s="358" t="s">
        <v>325</v>
      </c>
      <c r="E159" s="358" t="s">
        <v>132</v>
      </c>
      <c r="F159" s="568"/>
      <c r="H159"/>
      <c r="I159"/>
      <c r="J159"/>
      <c r="K159"/>
    </row>
    <row r="160" spans="2:11" hidden="1" outlineLevel="1" x14ac:dyDescent="0.2">
      <c r="B160" s="358" t="s">
        <v>326</v>
      </c>
      <c r="C160" s="2205">
        <v>0.91900000000000004</v>
      </c>
      <c r="D160" s="358" t="s">
        <v>325</v>
      </c>
      <c r="E160" s="358" t="s">
        <v>132</v>
      </c>
      <c r="F160" s="568"/>
      <c r="H160"/>
      <c r="I160"/>
      <c r="J160"/>
      <c r="K160"/>
    </row>
    <row r="161" spans="2:23" hidden="1" outlineLevel="1" x14ac:dyDescent="0.2"/>
    <row r="162" spans="2:23" hidden="1" outlineLevel="1" x14ac:dyDescent="0.2"/>
    <row r="163" spans="2:23" ht="20" hidden="1" outlineLevel="1" x14ac:dyDescent="0.2">
      <c r="B163" s="1602" t="s">
        <v>327</v>
      </c>
      <c r="C163" s="533"/>
      <c r="D163" s="533"/>
      <c r="E163" s="533"/>
    </row>
    <row r="164" spans="2:23" hidden="1" outlineLevel="1" x14ac:dyDescent="0.2"/>
    <row r="165" spans="2:23" ht="26" hidden="1" customHeight="1" outlineLevel="1" x14ac:dyDescent="0.2">
      <c r="B165" s="357" t="s">
        <v>124</v>
      </c>
      <c r="C165" s="359" t="s">
        <v>1129</v>
      </c>
      <c r="D165" s="359" t="s">
        <v>1483</v>
      </c>
      <c r="E165" s="359" t="s">
        <v>328</v>
      </c>
      <c r="F165" s="357" t="s">
        <v>59</v>
      </c>
      <c r="G165"/>
    </row>
    <row r="166" spans="2:23" ht="22" hidden="1" customHeight="1" outlineLevel="1" x14ac:dyDescent="0.2">
      <c r="B166" s="358" t="s">
        <v>329</v>
      </c>
      <c r="C166" s="81">
        <v>1</v>
      </c>
      <c r="D166" s="358">
        <f>0.01*C166</f>
        <v>0.01</v>
      </c>
      <c r="E166" s="358">
        <f>D166*C159</f>
        <v>3.8E-3</v>
      </c>
      <c r="F166" s="358" t="s">
        <v>330</v>
      </c>
      <c r="G166"/>
    </row>
    <row r="167" spans="2:23" ht="22" hidden="1" customHeight="1" outlineLevel="1" x14ac:dyDescent="0.2">
      <c r="B167" s="358" t="s">
        <v>331</v>
      </c>
      <c r="C167" s="81">
        <v>3</v>
      </c>
      <c r="D167" s="358">
        <f>0.002*C167</f>
        <v>6.0000000000000001E-3</v>
      </c>
      <c r="E167" s="360">
        <f>D167*C160</f>
        <v>5.5140000000000007E-3</v>
      </c>
      <c r="F167" s="358" t="s">
        <v>330</v>
      </c>
      <c r="G167"/>
    </row>
    <row r="168" spans="2:23" ht="22" hidden="1" customHeight="1" outlineLevel="1" x14ac:dyDescent="0.2">
      <c r="B168" s="358" t="s">
        <v>332</v>
      </c>
      <c r="C168" s="81">
        <v>1</v>
      </c>
      <c r="D168" s="358">
        <f>0.005*C168</f>
        <v>5.0000000000000001E-3</v>
      </c>
      <c r="E168" s="358">
        <f>D168*C159</f>
        <v>1.9E-3</v>
      </c>
      <c r="F168" s="358" t="s">
        <v>330</v>
      </c>
      <c r="G168"/>
    </row>
    <row r="169" spans="2:23" ht="23" hidden="1" outlineLevel="1" x14ac:dyDescent="0.2">
      <c r="B169" s="364"/>
    </row>
    <row r="170" spans="2:23" ht="20" hidden="1" outlineLevel="1" x14ac:dyDescent="0.2">
      <c r="B170" s="1602" t="s">
        <v>341</v>
      </c>
      <c r="C170" s="533"/>
      <c r="D170" s="533"/>
      <c r="E170" s="533"/>
    </row>
    <row r="171" spans="2:23" hidden="1" outlineLevel="2" x14ac:dyDescent="0.2"/>
    <row r="172" spans="2:23" hidden="1" outlineLevel="2" x14ac:dyDescent="0.2"/>
    <row r="173" spans="2:23" hidden="1" outlineLevel="2" x14ac:dyDescent="0.2">
      <c r="B173" s="2" t="s">
        <v>342</v>
      </c>
    </row>
    <row r="174" spans="2:23" hidden="1" outlineLevel="2" x14ac:dyDescent="0.2">
      <c r="B174" s="2"/>
    </row>
    <row r="175" spans="2:23" ht="18" hidden="1" customHeight="1" outlineLevel="2" x14ac:dyDescent="0.2">
      <c r="B175" s="531" t="s">
        <v>343</v>
      </c>
      <c r="C175" s="531"/>
      <c r="D175" s="531"/>
      <c r="E175" s="531"/>
      <c r="G175" s="322"/>
      <c r="I175" s="55" t="s">
        <v>1338</v>
      </c>
    </row>
    <row r="176" spans="2:23" s="112" customFormat="1" ht="17" hidden="1" outlineLevel="2" x14ac:dyDescent="0.2">
      <c r="B176" s="359"/>
      <c r="C176" s="431" t="s">
        <v>344</v>
      </c>
      <c r="D176" s="431" t="s">
        <v>345</v>
      </c>
      <c r="E176" s="432" t="s">
        <v>346</v>
      </c>
      <c r="F176" s="432" t="s">
        <v>90</v>
      </c>
      <c r="M176" s="2683"/>
      <c r="N176" s="2683"/>
      <c r="O176" s="2683"/>
      <c r="P176" s="365"/>
      <c r="Q176" s="365"/>
      <c r="R176" s="365"/>
      <c r="S176" s="365"/>
      <c r="T176" s="365"/>
      <c r="U176" s="365"/>
      <c r="V176" s="365"/>
      <c r="W176" s="365"/>
    </row>
    <row r="177" spans="1:23" ht="17" hidden="1" outlineLevel="2" x14ac:dyDescent="0.2">
      <c r="B177" s="361" t="s">
        <v>347</v>
      </c>
      <c r="C177" s="366">
        <f>19*15030</f>
        <v>285570</v>
      </c>
      <c r="D177" s="330">
        <f>(19941*13)+(18784*2)+31000</f>
        <v>327801</v>
      </c>
      <c r="E177" s="329">
        <v>172500</v>
      </c>
      <c r="F177" s="330">
        <f>AVERAGE(C177:D177)</f>
        <v>306685.5</v>
      </c>
      <c r="N177" s="322"/>
      <c r="O177" s="367"/>
      <c r="P177" s="322"/>
      <c r="Q177" s="322"/>
      <c r="R177" s="322"/>
      <c r="S177" s="322"/>
      <c r="T177" s="322"/>
      <c r="U177" s="322"/>
      <c r="V177" s="322"/>
      <c r="W177" s="322"/>
    </row>
    <row r="178" spans="1:23" ht="17" hidden="1" outlineLevel="2" x14ac:dyDescent="0.2">
      <c r="B178" s="361" t="s">
        <v>348</v>
      </c>
      <c r="C178" s="366">
        <f>50130+11382</f>
        <v>61512</v>
      </c>
      <c r="D178" s="330">
        <v>199900</v>
      </c>
      <c r="E178" s="329">
        <v>117000</v>
      </c>
      <c r="F178" s="330">
        <f>AVERAGE(C178:D178)</f>
        <v>130706</v>
      </c>
      <c r="N178" s="322"/>
      <c r="O178" s="367"/>
      <c r="P178" s="322"/>
      <c r="Q178" s="322"/>
      <c r="R178" s="322"/>
      <c r="S178" s="322"/>
      <c r="T178" s="322"/>
      <c r="U178" s="322"/>
      <c r="V178" s="322"/>
      <c r="W178" s="322"/>
    </row>
    <row r="179" spans="1:23" ht="17" hidden="1" outlineLevel="2" x14ac:dyDescent="0.2">
      <c r="B179" s="361" t="s">
        <v>349</v>
      </c>
      <c r="C179" s="368">
        <v>0.81499999999999995</v>
      </c>
      <c r="D179" s="369">
        <v>0.88</v>
      </c>
      <c r="E179" s="369">
        <v>0.9</v>
      </c>
      <c r="F179" s="369">
        <f t="shared" ref="F179:F184" si="5">AVERAGE(C179:E179)</f>
        <v>0.86499999999999988</v>
      </c>
      <c r="N179" s="322"/>
      <c r="O179" s="322"/>
      <c r="P179" s="322"/>
      <c r="Q179" s="322"/>
      <c r="R179" s="322"/>
      <c r="S179" s="322"/>
      <c r="T179" s="322"/>
      <c r="U179" s="322"/>
      <c r="V179" s="322"/>
      <c r="W179" s="322"/>
    </row>
    <row r="180" spans="1:23" ht="17" hidden="1" outlineLevel="2" x14ac:dyDescent="0.2">
      <c r="B180" s="361" t="s">
        <v>350</v>
      </c>
      <c r="C180" s="368">
        <v>0.185</v>
      </c>
      <c r="D180" s="369">
        <v>0.12</v>
      </c>
      <c r="E180" s="369">
        <v>0.1</v>
      </c>
      <c r="F180" s="369">
        <f t="shared" si="5"/>
        <v>0.13500000000000001</v>
      </c>
      <c r="M180" s="322"/>
      <c r="N180" s="365"/>
      <c r="O180" s="365"/>
      <c r="P180" s="322"/>
      <c r="Q180" s="322"/>
      <c r="R180" s="322"/>
      <c r="S180" s="322"/>
      <c r="T180" s="322"/>
      <c r="U180" s="322"/>
      <c r="V180" s="322"/>
      <c r="W180" s="337"/>
    </row>
    <row r="181" spans="1:23" ht="17" hidden="1" outlineLevel="2" x14ac:dyDescent="0.2">
      <c r="B181" s="361" t="s">
        <v>351</v>
      </c>
      <c r="C181" s="370"/>
      <c r="D181" s="370"/>
      <c r="E181" s="77"/>
      <c r="F181" s="371"/>
      <c r="M181" s="2595"/>
      <c r="N181" s="2595"/>
      <c r="O181" s="2595"/>
      <c r="P181" s="372"/>
      <c r="Q181" s="372"/>
      <c r="R181" s="372"/>
      <c r="S181" s="372"/>
      <c r="T181" s="372"/>
      <c r="U181" s="372"/>
      <c r="V181" s="372"/>
      <c r="W181" s="373"/>
    </row>
    <row r="182" spans="1:23" ht="17" hidden="1" outlineLevel="2" x14ac:dyDescent="0.2">
      <c r="B182" s="361" t="s">
        <v>352</v>
      </c>
      <c r="C182" s="217">
        <f>C180*C184</f>
        <v>3.9849143817627899E-2</v>
      </c>
      <c r="D182" s="216">
        <f>D180*D184</f>
        <v>7.317854429974284E-2</v>
      </c>
      <c r="E182" s="216">
        <f>E178/E177</f>
        <v>0.67826086956521736</v>
      </c>
      <c r="F182" s="216">
        <f t="shared" si="5"/>
        <v>0.26376285256086268</v>
      </c>
      <c r="O182" s="354"/>
      <c r="P182" s="354"/>
      <c r="Q182" s="354"/>
      <c r="R182" s="354"/>
      <c r="S182" s="354"/>
      <c r="T182" s="354"/>
      <c r="U182" s="354"/>
    </row>
    <row r="183" spans="1:23" ht="17" hidden="1" outlineLevel="2" x14ac:dyDescent="0.2">
      <c r="B183" s="361" t="s">
        <v>353</v>
      </c>
      <c r="C183" s="217">
        <f>C179*C184</f>
        <v>0.17555163357495535</v>
      </c>
      <c r="D183" s="216">
        <f>D179*D184</f>
        <v>0.53664265819811419</v>
      </c>
      <c r="E183" s="216">
        <f>E179*E182</f>
        <v>0.61043478260869566</v>
      </c>
      <c r="F183" s="216">
        <f t="shared" si="5"/>
        <v>0.44087635812725506</v>
      </c>
      <c r="M183" s="86"/>
    </row>
    <row r="184" spans="1:23" ht="17" hidden="1" outlineLevel="2" x14ac:dyDescent="0.2">
      <c r="B184" s="359" t="s">
        <v>90</v>
      </c>
      <c r="C184" s="566">
        <f>C178/C177</f>
        <v>0.21540077739258326</v>
      </c>
      <c r="D184" s="335">
        <f>D178/D177</f>
        <v>0.60982120249785698</v>
      </c>
      <c r="E184" s="335">
        <f>E180*E182</f>
        <v>6.7826086956521744E-2</v>
      </c>
      <c r="F184" s="335">
        <f t="shared" si="5"/>
        <v>0.29768268894898731</v>
      </c>
    </row>
    <row r="185" spans="1:23" hidden="1" outlineLevel="2" x14ac:dyDescent="0.2"/>
    <row r="186" spans="1:23" hidden="1" outlineLevel="2" x14ac:dyDescent="0.2">
      <c r="A186" s="322"/>
      <c r="B186" s="55" t="s">
        <v>354</v>
      </c>
      <c r="M186" s="374"/>
      <c r="N186" s="375"/>
      <c r="O186" s="375"/>
    </row>
    <row r="187" spans="1:23" hidden="1" outlineLevel="2" x14ac:dyDescent="0.2">
      <c r="M187" s="376"/>
      <c r="N187" s="377"/>
      <c r="O187" s="378"/>
    </row>
    <row r="188" spans="1:23" ht="18" hidden="1" customHeight="1" outlineLevel="2" x14ac:dyDescent="0.2">
      <c r="B188" s="531" t="s">
        <v>355</v>
      </c>
      <c r="C188" s="531"/>
      <c r="D188" s="531"/>
      <c r="E188" s="531"/>
    </row>
    <row r="189" spans="1:23" ht="16" hidden="1" customHeight="1" outlineLevel="2" x14ac:dyDescent="0.2">
      <c r="B189" s="534" t="s">
        <v>356</v>
      </c>
      <c r="C189" s="534"/>
      <c r="D189" s="534"/>
      <c r="E189" s="534"/>
    </row>
    <row r="190" spans="1:23" hidden="1" outlineLevel="2" x14ac:dyDescent="0.2">
      <c r="B190" s="55" t="s">
        <v>357</v>
      </c>
      <c r="C190" s="379"/>
      <c r="D190" s="379"/>
      <c r="E190" s="379"/>
    </row>
    <row r="191" spans="1:23" hidden="1" outlineLevel="2" x14ac:dyDescent="0.2">
      <c r="B191" s="379"/>
      <c r="C191" s="379"/>
      <c r="D191" s="379"/>
      <c r="E191" s="379"/>
    </row>
    <row r="192" spans="1:23" ht="34" hidden="1" outlineLevel="2" x14ac:dyDescent="0.2">
      <c r="B192" s="380" t="s">
        <v>358</v>
      </c>
      <c r="C192" s="381" t="s">
        <v>359</v>
      </c>
      <c r="D192" s="382" t="s">
        <v>360</v>
      </c>
      <c r="E192" s="60" t="s">
        <v>7</v>
      </c>
    </row>
    <row r="193" spans="2:12" hidden="1" outlineLevel="2" x14ac:dyDescent="0.2">
      <c r="B193" s="564" t="s">
        <v>361</v>
      </c>
      <c r="C193" s="383">
        <f>1087</f>
        <v>1087</v>
      </c>
      <c r="D193" s="384">
        <f>C193/$J$205</f>
        <v>7.5006900358818657E-2</v>
      </c>
      <c r="E193" s="369">
        <f>C193/$C$197</f>
        <v>0.61761363636363631</v>
      </c>
    </row>
    <row r="194" spans="2:12" hidden="1" outlineLevel="2" x14ac:dyDescent="0.2">
      <c r="B194" s="564" t="s">
        <v>362</v>
      </c>
      <c r="C194" s="383">
        <v>129</v>
      </c>
      <c r="D194" s="384">
        <f>C194/$J$205</f>
        <v>8.9014628760695561E-3</v>
      </c>
      <c r="E194" s="369">
        <f>C194/$C$197</f>
        <v>7.3295454545454539E-2</v>
      </c>
    </row>
    <row r="195" spans="2:12" hidden="1" outlineLevel="2" x14ac:dyDescent="0.2">
      <c r="B195" s="564" t="s">
        <v>363</v>
      </c>
      <c r="C195" s="383">
        <v>144</v>
      </c>
      <c r="D195" s="384">
        <f>C195/$J$205</f>
        <v>9.9365166988683411E-3</v>
      </c>
      <c r="E195" s="369">
        <f>C195/$C$197</f>
        <v>8.1818181818181818E-2</v>
      </c>
    </row>
    <row r="196" spans="2:12" hidden="1" outlineLevel="2" x14ac:dyDescent="0.2">
      <c r="B196" s="564" t="s">
        <v>364</v>
      </c>
      <c r="C196" s="383">
        <v>400</v>
      </c>
      <c r="D196" s="384">
        <f>C196/$J$205</f>
        <v>2.7601435274634281E-2</v>
      </c>
      <c r="E196" s="369">
        <f>C196/$C$197</f>
        <v>0.22727272727272727</v>
      </c>
    </row>
    <row r="197" spans="2:12" hidden="1" outlineLevel="2" x14ac:dyDescent="0.2">
      <c r="B197" s="565" t="s">
        <v>13</v>
      </c>
      <c r="C197" s="386">
        <f>SUM(C193:C196)</f>
        <v>1760</v>
      </c>
      <c r="D197" s="387">
        <f>SUM(D193:D196)</f>
        <v>0.12144631520839083</v>
      </c>
      <c r="E197" s="385">
        <f>C197/$C$197</f>
        <v>1</v>
      </c>
    </row>
    <row r="198" spans="2:12" hidden="1" outlineLevel="2" x14ac:dyDescent="0.2"/>
    <row r="199" spans="2:12" ht="16" hidden="1" customHeight="1" outlineLevel="2" x14ac:dyDescent="0.2">
      <c r="B199" s="534" t="s">
        <v>365</v>
      </c>
      <c r="C199" s="534"/>
      <c r="D199" s="534"/>
      <c r="E199" s="534"/>
    </row>
    <row r="200" spans="2:12" hidden="1" outlineLevel="2" x14ac:dyDescent="0.2">
      <c r="B200" s="55" t="s">
        <v>366</v>
      </c>
      <c r="C200" s="379"/>
      <c r="D200" s="379"/>
      <c r="E200" s="379"/>
    </row>
    <row r="201" spans="2:12" hidden="1" outlineLevel="2" x14ac:dyDescent="0.2">
      <c r="B201" s="379"/>
      <c r="C201" s="379"/>
      <c r="D201" s="379"/>
      <c r="E201" s="379"/>
    </row>
    <row r="202" spans="2:12" s="112" customFormat="1" ht="35.25" hidden="1" customHeight="1" outlineLevel="2" x14ac:dyDescent="0.2">
      <c r="B202" s="2650"/>
      <c r="C202" s="2674"/>
      <c r="D202" s="2651"/>
      <c r="E202" s="218" t="s">
        <v>367</v>
      </c>
      <c r="F202" s="218" t="s">
        <v>368</v>
      </c>
      <c r="G202" s="218" t="s">
        <v>369</v>
      </c>
      <c r="H202" s="218" t="s">
        <v>370</v>
      </c>
      <c r="I202" s="218" t="s">
        <v>371</v>
      </c>
      <c r="J202" s="218" t="s">
        <v>372</v>
      </c>
      <c r="K202" s="218" t="s">
        <v>373</v>
      </c>
      <c r="L202" s="74" t="s">
        <v>374</v>
      </c>
    </row>
    <row r="203" spans="2:12" hidden="1" outlineLevel="2" x14ac:dyDescent="0.2">
      <c r="B203" s="2665" t="s">
        <v>375</v>
      </c>
      <c r="C203" s="77" t="s">
        <v>376</v>
      </c>
      <c r="D203" s="389" t="s">
        <v>250</v>
      </c>
      <c r="E203" s="77" t="s">
        <v>377</v>
      </c>
      <c r="F203" s="77" t="s">
        <v>377</v>
      </c>
      <c r="G203" s="77" t="s">
        <v>377</v>
      </c>
      <c r="H203" s="77" t="s">
        <v>377</v>
      </c>
      <c r="I203" s="77" t="s">
        <v>377</v>
      </c>
      <c r="J203" s="77" t="s">
        <v>378</v>
      </c>
      <c r="K203" s="77" t="s">
        <v>378</v>
      </c>
      <c r="L203" s="77"/>
    </row>
    <row r="204" spans="2:12" hidden="1" outlineLevel="2" x14ac:dyDescent="0.2">
      <c r="B204" s="2666"/>
      <c r="C204" s="77" t="s">
        <v>379</v>
      </c>
      <c r="D204" s="389" t="s">
        <v>250</v>
      </c>
      <c r="E204" s="77" t="s">
        <v>380</v>
      </c>
      <c r="F204" s="77" t="s">
        <v>380</v>
      </c>
      <c r="G204" s="77" t="s">
        <v>381</v>
      </c>
      <c r="H204" s="77" t="s">
        <v>381</v>
      </c>
      <c r="I204" s="77" t="s">
        <v>381</v>
      </c>
      <c r="J204" s="77" t="s">
        <v>382</v>
      </c>
      <c r="K204" s="77" t="s">
        <v>383</v>
      </c>
      <c r="L204" s="77"/>
    </row>
    <row r="205" spans="2:12" hidden="1" outlineLevel="2" x14ac:dyDescent="0.2">
      <c r="B205" s="2667"/>
      <c r="C205" s="77" t="s">
        <v>384</v>
      </c>
      <c r="D205" s="77" t="s">
        <v>385</v>
      </c>
      <c r="E205" s="77">
        <v>5010</v>
      </c>
      <c r="F205" s="77">
        <v>8907</v>
      </c>
      <c r="G205" s="77">
        <v>19700</v>
      </c>
      <c r="H205" s="77">
        <v>16005</v>
      </c>
      <c r="I205" s="77">
        <v>11190</v>
      </c>
      <c r="J205" s="77">
        <v>14492</v>
      </c>
      <c r="K205" s="77">
        <v>3774</v>
      </c>
      <c r="L205" s="329">
        <f>AVERAGE(E205:K205)</f>
        <v>11296.857142857143</v>
      </c>
    </row>
    <row r="206" spans="2:12" ht="17" hidden="1" outlineLevel="2" x14ac:dyDescent="0.2">
      <c r="B206" s="77" t="s">
        <v>386</v>
      </c>
      <c r="C206" s="218" t="s">
        <v>387</v>
      </c>
      <c r="D206" s="218" t="s">
        <v>388</v>
      </c>
      <c r="E206" s="77">
        <v>700</v>
      </c>
      <c r="F206" s="77">
        <v>1135</v>
      </c>
      <c r="G206" s="77">
        <v>4200</v>
      </c>
      <c r="H206" s="77">
        <v>1250</v>
      </c>
      <c r="I206" s="77">
        <v>700</v>
      </c>
      <c r="J206" s="77">
        <v>529</v>
      </c>
      <c r="K206" s="77">
        <v>250</v>
      </c>
      <c r="L206" s="329">
        <f>AVERAGE(E206:K206)</f>
        <v>1252</v>
      </c>
    </row>
    <row r="207" spans="2:12" hidden="1" outlineLevel="2" x14ac:dyDescent="0.2">
      <c r="B207" s="2596" t="s">
        <v>389</v>
      </c>
      <c r="C207" s="2668"/>
      <c r="D207" s="2658"/>
      <c r="E207" s="390">
        <f t="shared" ref="E207:K207" si="6">E206/E205</f>
        <v>0.13972055888223553</v>
      </c>
      <c r="F207" s="390">
        <f t="shared" si="6"/>
        <v>0.12742786572358819</v>
      </c>
      <c r="G207" s="390">
        <f t="shared" si="6"/>
        <v>0.21319796954314721</v>
      </c>
      <c r="H207" s="390">
        <f t="shared" si="6"/>
        <v>7.8100593564511087E-2</v>
      </c>
      <c r="I207" s="390">
        <f t="shared" si="6"/>
        <v>6.2555853440571935E-2</v>
      </c>
      <c r="J207" s="390">
        <f t="shared" si="6"/>
        <v>3.6502898150703837E-2</v>
      </c>
      <c r="K207" s="390">
        <f t="shared" si="6"/>
        <v>6.6242713301536832E-2</v>
      </c>
      <c r="L207" s="391">
        <f>AVERAGE(E207:K207)</f>
        <v>0.10339263608661352</v>
      </c>
    </row>
    <row r="208" spans="2:12" hidden="1" outlineLevel="2" x14ac:dyDescent="0.2">
      <c r="D208" s="354"/>
      <c r="E208" s="354"/>
      <c r="F208" s="354"/>
      <c r="G208" s="354"/>
      <c r="H208" s="354"/>
      <c r="I208" s="354"/>
      <c r="J208" s="354"/>
    </row>
    <row r="209" spans="2:8" ht="34" hidden="1" customHeight="1" outlineLevel="2" x14ac:dyDescent="0.2">
      <c r="B209" s="2675" t="s">
        <v>390</v>
      </c>
      <c r="C209" s="2675"/>
      <c r="D209" s="2675"/>
      <c r="E209" s="2675"/>
    </row>
    <row r="210" spans="2:8" ht="27" hidden="1" customHeight="1" outlineLevel="2" x14ac:dyDescent="0.2">
      <c r="B210" s="2685" t="s">
        <v>391</v>
      </c>
      <c r="C210" s="2685"/>
      <c r="D210" s="2685"/>
      <c r="E210" s="2685"/>
    </row>
    <row r="211" spans="2:8" hidden="1" outlineLevel="2" x14ac:dyDescent="0.2"/>
    <row r="212" spans="2:8" ht="51" hidden="1" outlineLevel="2" x14ac:dyDescent="0.2">
      <c r="B212" s="392"/>
      <c r="C212" s="74" t="s">
        <v>392</v>
      </c>
      <c r="D212" s="74" t="s">
        <v>393</v>
      </c>
    </row>
    <row r="213" spans="2:8" ht="17" hidden="1" outlineLevel="2" x14ac:dyDescent="0.2">
      <c r="B213" s="392" t="s">
        <v>394</v>
      </c>
      <c r="C213" s="393">
        <f>E196+E194</f>
        <v>0.30056818181818179</v>
      </c>
      <c r="D213" s="394">
        <f>L207</f>
        <v>0.10339263608661352</v>
      </c>
    </row>
    <row r="214" spans="2:8" ht="17" hidden="1" outlineLevel="2" x14ac:dyDescent="0.2">
      <c r="B214" s="392" t="s">
        <v>395</v>
      </c>
      <c r="C214" s="395">
        <f>E193+E195</f>
        <v>0.6994318181818181</v>
      </c>
      <c r="D214" s="396">
        <f>C214*D213/C213</f>
        <v>0.2405979868102481</v>
      </c>
    </row>
    <row r="215" spans="2:8" ht="17" hidden="1" outlineLevel="2" x14ac:dyDescent="0.2">
      <c r="B215" s="397" t="s">
        <v>396</v>
      </c>
      <c r="C215" s="398">
        <f>SUM(C213:C214)</f>
        <v>0.99999999999999989</v>
      </c>
      <c r="D215" s="399">
        <f>SUM(D213:D214)</f>
        <v>0.34399062289686161</v>
      </c>
    </row>
    <row r="216" spans="2:8" hidden="1" outlineLevel="2" x14ac:dyDescent="0.2"/>
    <row r="217" spans="2:8" hidden="1" outlineLevel="1" collapsed="1" x14ac:dyDescent="0.2"/>
    <row r="218" spans="2:8" ht="20" hidden="1" outlineLevel="1" x14ac:dyDescent="0.2">
      <c r="B218" s="1602" t="s">
        <v>397</v>
      </c>
      <c r="C218" s="533"/>
      <c r="D218" s="533"/>
      <c r="E218" s="533"/>
    </row>
    <row r="219" spans="2:8" hidden="1" outlineLevel="1" x14ac:dyDescent="0.2"/>
    <row r="220" spans="2:8" hidden="1" outlineLevel="2" x14ac:dyDescent="0.2">
      <c r="B220" s="328" t="s">
        <v>398</v>
      </c>
      <c r="E220" s="328" t="s">
        <v>399</v>
      </c>
    </row>
    <row r="221" spans="2:8" hidden="1" outlineLevel="2" x14ac:dyDescent="0.2"/>
    <row r="222" spans="2:8" ht="17" hidden="1" outlineLevel="2" x14ac:dyDescent="0.2">
      <c r="B222" s="55" t="s">
        <v>400</v>
      </c>
      <c r="C222" s="400">
        <v>18900</v>
      </c>
      <c r="E222" s="7" t="s">
        <v>401</v>
      </c>
      <c r="F222" s="7" t="s">
        <v>402</v>
      </c>
      <c r="G222" s="7" t="s">
        <v>384</v>
      </c>
      <c r="H222" s="73" t="s">
        <v>403</v>
      </c>
    </row>
    <row r="223" spans="2:8" ht="17" hidden="1" outlineLevel="2" thickBot="1" x14ac:dyDescent="0.25">
      <c r="E223" s="81" t="s">
        <v>404</v>
      </c>
      <c r="F223" s="81">
        <v>523</v>
      </c>
      <c r="G223" s="81">
        <v>13500</v>
      </c>
      <c r="H223" s="401">
        <f>F223/G223</f>
        <v>3.8740740740740742E-2</v>
      </c>
    </row>
    <row r="224" spans="2:8" ht="17" hidden="1" outlineLevel="2" thickBot="1" x14ac:dyDescent="0.25">
      <c r="B224" s="126"/>
      <c r="C224" s="402" t="s">
        <v>405</v>
      </c>
      <c r="E224" s="81" t="s">
        <v>406</v>
      </c>
      <c r="F224" s="81">
        <v>150</v>
      </c>
      <c r="G224" s="81">
        <v>4780</v>
      </c>
      <c r="H224" s="401">
        <f>F224/G224</f>
        <v>3.1380753138075312E-2</v>
      </c>
    </row>
    <row r="225" spans="2:9" hidden="1" outlineLevel="2" x14ac:dyDescent="0.2">
      <c r="B225" s="403" t="s">
        <v>407</v>
      </c>
      <c r="C225" s="404">
        <v>3</v>
      </c>
      <c r="E225" s="405"/>
      <c r="F225" s="405"/>
      <c r="G225" s="405"/>
      <c r="H225" s="405"/>
    </row>
    <row r="226" spans="2:9" hidden="1" outlineLevel="2" x14ac:dyDescent="0.2">
      <c r="B226" s="406" t="s">
        <v>408</v>
      </c>
      <c r="C226" s="407">
        <v>2</v>
      </c>
      <c r="E226" s="86" t="s">
        <v>409</v>
      </c>
    </row>
    <row r="227" spans="2:9" hidden="1" outlineLevel="2" x14ac:dyDescent="0.2">
      <c r="B227" s="406" t="s">
        <v>410</v>
      </c>
      <c r="C227" s="407">
        <v>7</v>
      </c>
    </row>
    <row r="228" spans="2:9" hidden="1" outlineLevel="2" x14ac:dyDescent="0.2">
      <c r="B228" s="406" t="s">
        <v>411</v>
      </c>
      <c r="C228" s="407">
        <v>1</v>
      </c>
      <c r="E228" s="55" t="s">
        <v>412</v>
      </c>
      <c r="F228" s="408">
        <f>H223</f>
        <v>3.8740740740740742E-2</v>
      </c>
      <c r="G228" s="55" t="s">
        <v>413</v>
      </c>
    </row>
    <row r="229" spans="2:9" hidden="1" outlineLevel="2" x14ac:dyDescent="0.2">
      <c r="B229" s="406" t="s">
        <v>414</v>
      </c>
      <c r="C229" s="407">
        <v>9</v>
      </c>
      <c r="E229" s="409" t="s">
        <v>415</v>
      </c>
      <c r="F229" s="410">
        <f>C242</f>
        <v>0.10599078341013825</v>
      </c>
      <c r="G229" s="55" t="s">
        <v>416</v>
      </c>
      <c r="I229" s="411">
        <f>C286</f>
        <v>0.89400921658986177</v>
      </c>
    </row>
    <row r="230" spans="2:9" hidden="1" outlineLevel="2" x14ac:dyDescent="0.2">
      <c r="B230" s="406" t="s">
        <v>417</v>
      </c>
      <c r="C230" s="407">
        <v>3</v>
      </c>
      <c r="I230" s="409"/>
    </row>
    <row r="231" spans="2:9" hidden="1" outlineLevel="2" x14ac:dyDescent="0.2">
      <c r="B231" s="406" t="s">
        <v>418</v>
      </c>
      <c r="C231" s="407">
        <v>1</v>
      </c>
      <c r="E231" s="55" t="s">
        <v>419</v>
      </c>
      <c r="F231" s="101"/>
      <c r="G231" s="408">
        <f>H224</f>
        <v>3.1380753138075312E-2</v>
      </c>
      <c r="H231" s="55" t="s">
        <v>420</v>
      </c>
      <c r="I231" s="409"/>
    </row>
    <row r="232" spans="2:9" hidden="1" outlineLevel="2" x14ac:dyDescent="0.2">
      <c r="B232" s="406" t="s">
        <v>421</v>
      </c>
      <c r="C232" s="407">
        <v>1</v>
      </c>
      <c r="E232" s="409" t="s">
        <v>415</v>
      </c>
      <c r="F232" s="410">
        <f>C242</f>
        <v>0.10599078341013825</v>
      </c>
      <c r="G232" s="55" t="s">
        <v>422</v>
      </c>
      <c r="I232" s="411">
        <f>C286</f>
        <v>0.89400921658986177</v>
      </c>
    </row>
    <row r="233" spans="2:9" hidden="1" outlineLevel="2" x14ac:dyDescent="0.2">
      <c r="B233" s="412" t="s">
        <v>423</v>
      </c>
      <c r="C233" s="413">
        <v>7</v>
      </c>
    </row>
    <row r="234" spans="2:9" hidden="1" outlineLevel="2" x14ac:dyDescent="0.2">
      <c r="B234" s="412" t="s">
        <v>424</v>
      </c>
      <c r="C234" s="413">
        <v>11</v>
      </c>
    </row>
    <row r="235" spans="2:9" hidden="1" outlineLevel="2" x14ac:dyDescent="0.2">
      <c r="B235" s="406" t="s">
        <v>425</v>
      </c>
      <c r="C235" s="407">
        <v>3</v>
      </c>
      <c r="E235" s="328" t="s">
        <v>426</v>
      </c>
    </row>
    <row r="236" spans="2:9" hidden="1" outlineLevel="2" x14ac:dyDescent="0.2">
      <c r="B236" s="406" t="s">
        <v>427</v>
      </c>
      <c r="C236" s="407">
        <v>3</v>
      </c>
    </row>
    <row r="237" spans="2:9" ht="17" hidden="1" outlineLevel="2" x14ac:dyDescent="0.2">
      <c r="B237" s="406" t="s">
        <v>428</v>
      </c>
      <c r="C237" s="407">
        <v>5</v>
      </c>
      <c r="E237" s="7" t="s">
        <v>375</v>
      </c>
      <c r="F237" s="414" t="s">
        <v>402</v>
      </c>
      <c r="G237" s="414" t="s">
        <v>384</v>
      </c>
      <c r="H237" s="415" t="s">
        <v>403</v>
      </c>
    </row>
    <row r="238" spans="2:9" hidden="1" outlineLevel="2" x14ac:dyDescent="0.2">
      <c r="B238" s="406" t="s">
        <v>429</v>
      </c>
      <c r="C238" s="407">
        <v>1</v>
      </c>
      <c r="E238" s="81" t="s">
        <v>430</v>
      </c>
      <c r="F238" s="81">
        <f>1500+140</f>
        <v>1640</v>
      </c>
      <c r="G238" s="81">
        <f>C29</f>
        <v>13000</v>
      </c>
      <c r="H238" s="416">
        <f>F238/G238</f>
        <v>0.12615384615384614</v>
      </c>
    </row>
    <row r="239" spans="2:9" ht="17" hidden="1" outlineLevel="2" thickBot="1" x14ac:dyDescent="0.25">
      <c r="B239" s="417" t="s">
        <v>431</v>
      </c>
      <c r="C239" s="418">
        <v>12</v>
      </c>
    </row>
    <row r="240" spans="2:9" ht="17" hidden="1" outlineLevel="2" thickBot="1" x14ac:dyDescent="0.25">
      <c r="B240" s="419" t="s">
        <v>13</v>
      </c>
      <c r="C240" s="420">
        <v>69</v>
      </c>
      <c r="E240" s="86" t="s">
        <v>432</v>
      </c>
    </row>
    <row r="241" spans="2:12" hidden="1" outlineLevel="2" x14ac:dyDescent="0.2">
      <c r="E241" s="55" t="s">
        <v>433</v>
      </c>
      <c r="F241" s="55">
        <v>140</v>
      </c>
      <c r="G241" s="55" t="s">
        <v>434</v>
      </c>
      <c r="H241" s="421">
        <f>F241/($F$241+$F$242)</f>
        <v>8.5365853658536592E-2</v>
      </c>
      <c r="I241" s="55" t="s">
        <v>435</v>
      </c>
      <c r="J241" s="55" t="s">
        <v>436</v>
      </c>
      <c r="K241" s="421">
        <f>F241/$G$238</f>
        <v>1.0769230769230769E-2</v>
      </c>
      <c r="L241" s="55" t="s">
        <v>437</v>
      </c>
    </row>
    <row r="242" spans="2:12" ht="25" hidden="1" customHeight="1" outlineLevel="2" x14ac:dyDescent="0.2">
      <c r="B242" s="422" t="s">
        <v>438</v>
      </c>
      <c r="C242" s="421">
        <f>C240/(C240+C284)</f>
        <v>0.10599078341013825</v>
      </c>
      <c r="E242" s="55" t="s">
        <v>439</v>
      </c>
      <c r="F242" s="55">
        <v>1500</v>
      </c>
      <c r="G242" s="55" t="s">
        <v>434</v>
      </c>
      <c r="H242" s="421">
        <f>F242/($F$241+$F$242)</f>
        <v>0.91463414634146345</v>
      </c>
      <c r="I242" s="55" t="s">
        <v>435</v>
      </c>
      <c r="J242" s="55" t="s">
        <v>436</v>
      </c>
      <c r="K242" s="421">
        <f>F242/$G$238</f>
        <v>0.11538461538461539</v>
      </c>
      <c r="L242" s="55" t="s">
        <v>437</v>
      </c>
    </row>
    <row r="243" spans="2:12" ht="17" hidden="1" outlineLevel="2" thickBot="1" x14ac:dyDescent="0.25"/>
    <row r="244" spans="2:12" ht="17" hidden="1" outlineLevel="2" thickBot="1" x14ac:dyDescent="0.25">
      <c r="B244" s="126"/>
      <c r="C244" s="423" t="s">
        <v>440</v>
      </c>
    </row>
    <row r="245" spans="2:12" hidden="1" outlineLevel="2" x14ac:dyDescent="0.2">
      <c r="B245" s="403" t="s">
        <v>441</v>
      </c>
      <c r="C245" s="424">
        <v>50</v>
      </c>
    </row>
    <row r="246" spans="2:12" hidden="1" outlineLevel="2" x14ac:dyDescent="0.2">
      <c r="B246" s="406" t="s">
        <v>442</v>
      </c>
      <c r="C246" s="413">
        <v>1</v>
      </c>
    </row>
    <row r="247" spans="2:12" hidden="1" outlineLevel="2" x14ac:dyDescent="0.2">
      <c r="B247" s="406" t="s">
        <v>443</v>
      </c>
      <c r="C247" s="413">
        <v>6</v>
      </c>
    </row>
    <row r="248" spans="2:12" hidden="1" outlineLevel="2" x14ac:dyDescent="0.2">
      <c r="B248" s="406" t="s">
        <v>444</v>
      </c>
      <c r="C248" s="413">
        <v>1</v>
      </c>
    </row>
    <row r="249" spans="2:12" hidden="1" outlineLevel="2" x14ac:dyDescent="0.2">
      <c r="B249" s="406" t="s">
        <v>445</v>
      </c>
      <c r="C249" s="413">
        <v>9</v>
      </c>
    </row>
    <row r="250" spans="2:12" hidden="1" outlineLevel="2" x14ac:dyDescent="0.2">
      <c r="B250" s="406" t="s">
        <v>446</v>
      </c>
      <c r="C250" s="413">
        <v>13</v>
      </c>
    </row>
    <row r="251" spans="2:12" hidden="1" outlineLevel="2" x14ac:dyDescent="0.2">
      <c r="B251" s="406" t="s">
        <v>447</v>
      </c>
      <c r="C251" s="413">
        <v>11</v>
      </c>
    </row>
    <row r="252" spans="2:12" hidden="1" outlineLevel="2" x14ac:dyDescent="0.2">
      <c r="B252" s="406" t="s">
        <v>448</v>
      </c>
      <c r="C252" s="413">
        <v>4</v>
      </c>
    </row>
    <row r="253" spans="2:12" hidden="1" outlineLevel="2" x14ac:dyDescent="0.2">
      <c r="B253" s="406" t="s">
        <v>449</v>
      </c>
      <c r="C253" s="413">
        <v>3</v>
      </c>
    </row>
    <row r="254" spans="2:12" hidden="1" outlineLevel="2" x14ac:dyDescent="0.2">
      <c r="B254" s="406" t="s">
        <v>450</v>
      </c>
      <c r="C254" s="413">
        <v>23</v>
      </c>
    </row>
    <row r="255" spans="2:12" hidden="1" outlineLevel="2" x14ac:dyDescent="0.2">
      <c r="B255" s="406" t="s">
        <v>451</v>
      </c>
      <c r="C255" s="413">
        <v>2</v>
      </c>
    </row>
    <row r="256" spans="2:12" hidden="1" outlineLevel="2" x14ac:dyDescent="0.2">
      <c r="B256" s="406" t="s">
        <v>452</v>
      </c>
      <c r="C256" s="413">
        <v>2</v>
      </c>
    </row>
    <row r="257" spans="2:3" hidden="1" outlineLevel="2" x14ac:dyDescent="0.2">
      <c r="B257" s="406" t="s">
        <v>453</v>
      </c>
      <c r="C257" s="413">
        <v>4</v>
      </c>
    </row>
    <row r="258" spans="2:3" hidden="1" outlineLevel="2" x14ac:dyDescent="0.2">
      <c r="B258" s="406" t="s">
        <v>454</v>
      </c>
      <c r="C258" s="413">
        <v>1</v>
      </c>
    </row>
    <row r="259" spans="2:3" hidden="1" outlineLevel="2" x14ac:dyDescent="0.2">
      <c r="B259" s="406" t="s">
        <v>455</v>
      </c>
      <c r="C259" s="413">
        <v>1</v>
      </c>
    </row>
    <row r="260" spans="2:3" hidden="1" outlineLevel="2" x14ac:dyDescent="0.2">
      <c r="B260" s="406" t="s">
        <v>456</v>
      </c>
      <c r="C260" s="413">
        <v>7</v>
      </c>
    </row>
    <row r="261" spans="2:3" hidden="1" outlineLevel="2" x14ac:dyDescent="0.2">
      <c r="B261" s="425" t="s">
        <v>457</v>
      </c>
      <c r="C261" s="413">
        <v>105</v>
      </c>
    </row>
    <row r="262" spans="2:3" hidden="1" outlineLevel="2" x14ac:dyDescent="0.2">
      <c r="B262" s="425" t="s">
        <v>458</v>
      </c>
      <c r="C262" s="413">
        <v>75</v>
      </c>
    </row>
    <row r="263" spans="2:3" hidden="1" outlineLevel="2" x14ac:dyDescent="0.2">
      <c r="B263" s="425" t="s">
        <v>459</v>
      </c>
      <c r="C263" s="413">
        <v>6</v>
      </c>
    </row>
    <row r="264" spans="2:3" hidden="1" outlineLevel="2" x14ac:dyDescent="0.2">
      <c r="B264" s="425" t="s">
        <v>460</v>
      </c>
      <c r="C264" s="413">
        <v>9</v>
      </c>
    </row>
    <row r="265" spans="2:3" hidden="1" outlineLevel="2" x14ac:dyDescent="0.2">
      <c r="B265" s="425" t="s">
        <v>461</v>
      </c>
      <c r="C265" s="413">
        <v>30</v>
      </c>
    </row>
    <row r="266" spans="2:3" hidden="1" outlineLevel="2" x14ac:dyDescent="0.2">
      <c r="B266" s="425" t="s">
        <v>462</v>
      </c>
      <c r="C266" s="413">
        <v>3</v>
      </c>
    </row>
    <row r="267" spans="2:3" hidden="1" outlineLevel="2" x14ac:dyDescent="0.2">
      <c r="B267" s="425" t="s">
        <v>463</v>
      </c>
      <c r="C267" s="413">
        <v>1</v>
      </c>
    </row>
    <row r="268" spans="2:3" hidden="1" outlineLevel="2" x14ac:dyDescent="0.2">
      <c r="B268" s="425" t="s">
        <v>464</v>
      </c>
      <c r="C268" s="413">
        <v>60</v>
      </c>
    </row>
    <row r="269" spans="2:3" hidden="1" outlineLevel="2" x14ac:dyDescent="0.2">
      <c r="B269" s="425" t="s">
        <v>465</v>
      </c>
      <c r="C269" s="413">
        <v>7</v>
      </c>
    </row>
    <row r="270" spans="2:3" hidden="1" outlineLevel="2" x14ac:dyDescent="0.2">
      <c r="B270" s="406" t="s">
        <v>466</v>
      </c>
      <c r="C270" s="413">
        <v>65</v>
      </c>
    </row>
    <row r="271" spans="2:3" hidden="1" outlineLevel="2" x14ac:dyDescent="0.2">
      <c r="B271" s="406" t="s">
        <v>467</v>
      </c>
      <c r="C271" s="413">
        <v>1</v>
      </c>
    </row>
    <row r="272" spans="2:3" hidden="1" outlineLevel="2" x14ac:dyDescent="0.2">
      <c r="B272" s="406" t="s">
        <v>468</v>
      </c>
      <c r="C272" s="413">
        <v>1</v>
      </c>
    </row>
    <row r="273" spans="2:3" hidden="1" outlineLevel="2" x14ac:dyDescent="0.2">
      <c r="B273" s="406" t="s">
        <v>469</v>
      </c>
      <c r="C273" s="413">
        <v>1</v>
      </c>
    </row>
    <row r="274" spans="2:3" hidden="1" outlineLevel="2" x14ac:dyDescent="0.2">
      <c r="B274" s="406" t="s">
        <v>470</v>
      </c>
      <c r="C274" s="413">
        <v>1</v>
      </c>
    </row>
    <row r="275" spans="2:3" hidden="1" outlineLevel="2" x14ac:dyDescent="0.2">
      <c r="B275" s="406" t="s">
        <v>471</v>
      </c>
      <c r="C275" s="413">
        <v>1</v>
      </c>
    </row>
    <row r="276" spans="2:3" hidden="1" outlineLevel="2" x14ac:dyDescent="0.2">
      <c r="B276" s="406" t="s">
        <v>472</v>
      </c>
      <c r="C276" s="413">
        <v>1</v>
      </c>
    </row>
    <row r="277" spans="2:3" hidden="1" outlineLevel="2" x14ac:dyDescent="0.2">
      <c r="B277" s="406" t="s">
        <v>473</v>
      </c>
      <c r="C277" s="413">
        <v>63</v>
      </c>
    </row>
    <row r="278" spans="2:3" hidden="1" outlineLevel="2" x14ac:dyDescent="0.2">
      <c r="B278" s="406" t="s">
        <v>474</v>
      </c>
      <c r="C278" s="413">
        <v>7</v>
      </c>
    </row>
    <row r="279" spans="2:3" hidden="1" outlineLevel="2" x14ac:dyDescent="0.2">
      <c r="B279" s="406" t="s">
        <v>475</v>
      </c>
      <c r="C279" s="413">
        <v>1</v>
      </c>
    </row>
    <row r="280" spans="2:3" hidden="1" outlineLevel="2" x14ac:dyDescent="0.2">
      <c r="B280" s="406" t="s">
        <v>476</v>
      </c>
      <c r="C280" s="413">
        <v>2</v>
      </c>
    </row>
    <row r="281" spans="2:3" hidden="1" outlineLevel="2" x14ac:dyDescent="0.2">
      <c r="B281" s="406" t="s">
        <v>477</v>
      </c>
      <c r="C281" s="413">
        <v>1</v>
      </c>
    </row>
    <row r="282" spans="2:3" hidden="1" outlineLevel="2" x14ac:dyDescent="0.2">
      <c r="B282" s="406" t="s">
        <v>478</v>
      </c>
      <c r="C282" s="413">
        <v>1</v>
      </c>
    </row>
    <row r="283" spans="2:3" ht="17" hidden="1" outlineLevel="2" thickBot="1" x14ac:dyDescent="0.25">
      <c r="B283" s="417" t="s">
        <v>479</v>
      </c>
      <c r="C283" s="426">
        <v>2</v>
      </c>
    </row>
    <row r="284" spans="2:3" ht="17" hidden="1" outlineLevel="2" thickBot="1" x14ac:dyDescent="0.25">
      <c r="B284" s="419" t="s">
        <v>13</v>
      </c>
      <c r="C284" s="427">
        <f>SUM(C245:C283)</f>
        <v>582</v>
      </c>
    </row>
    <row r="285" spans="2:3" hidden="1" outlineLevel="2" x14ac:dyDescent="0.2">
      <c r="B285"/>
      <c r="C285"/>
    </row>
    <row r="286" spans="2:3" hidden="1" outlineLevel="2" x14ac:dyDescent="0.2">
      <c r="B286" s="422" t="s">
        <v>480</v>
      </c>
      <c r="C286" s="421">
        <f>C284/(C284+C240)</f>
        <v>0.89400921658986177</v>
      </c>
    </row>
    <row r="287" spans="2:3" hidden="1" outlineLevel="2" x14ac:dyDescent="0.2"/>
    <row r="288" spans="2:3" hidden="1" outlineLevel="2" x14ac:dyDescent="0.2"/>
    <row r="289" spans="2:15" ht="20" hidden="1" outlineLevel="1" collapsed="1" x14ac:dyDescent="0.2">
      <c r="B289" s="1602" t="s">
        <v>1480</v>
      </c>
      <c r="C289" s="533"/>
      <c r="D289" s="533"/>
      <c r="E289" s="533"/>
    </row>
    <row r="290" spans="2:15" ht="20" hidden="1" outlineLevel="1" x14ac:dyDescent="0.2">
      <c r="B290" s="533"/>
      <c r="C290" s="533"/>
      <c r="D290" s="533"/>
      <c r="E290" s="533"/>
    </row>
    <row r="291" spans="2:15" ht="20" hidden="1" outlineLevel="1" x14ac:dyDescent="0.2">
      <c r="B291" s="1602" t="s">
        <v>2311</v>
      </c>
      <c r="C291" s="533"/>
      <c r="D291" s="533"/>
      <c r="E291" s="533"/>
    </row>
    <row r="292" spans="2:15" ht="20" hidden="1" outlineLevel="1" x14ac:dyDescent="0.2">
      <c r="B292" s="1598" t="s">
        <v>1365</v>
      </c>
      <c r="C292" s="533"/>
      <c r="D292" s="533"/>
      <c r="E292" s="533"/>
    </row>
    <row r="293" spans="2:15" hidden="1" outlineLevel="1" x14ac:dyDescent="0.2">
      <c r="B293" s="55" t="s">
        <v>1482</v>
      </c>
      <c r="H293"/>
      <c r="I293"/>
      <c r="J293"/>
      <c r="K293"/>
      <c r="L293"/>
      <c r="M293"/>
      <c r="N293"/>
      <c r="O293"/>
    </row>
    <row r="294" spans="2:15" hidden="1" outlineLevel="1" x14ac:dyDescent="0.2">
      <c r="H294"/>
      <c r="I294"/>
      <c r="J294"/>
      <c r="K294"/>
      <c r="L294"/>
      <c r="M294"/>
      <c r="N294"/>
      <c r="O294"/>
    </row>
    <row r="295" spans="2:15" ht="25" hidden="1" customHeight="1" outlineLevel="1" x14ac:dyDescent="0.2">
      <c r="B295" s="2680" t="s">
        <v>1501</v>
      </c>
      <c r="C295" s="2681"/>
      <c r="D295" s="2681"/>
      <c r="E295" s="2681"/>
      <c r="F295" s="2682"/>
      <c r="G295"/>
      <c r="H295"/>
      <c r="I295"/>
      <c r="J295"/>
      <c r="K295"/>
      <c r="L295"/>
      <c r="M295"/>
      <c r="N295"/>
      <c r="O295"/>
    </row>
    <row r="296" spans="2:15" hidden="1" outlineLevel="1" x14ac:dyDescent="0.2">
      <c r="B296" s="14" t="s">
        <v>767</v>
      </c>
      <c r="C296" s="14" t="s">
        <v>487</v>
      </c>
      <c r="D296" s="14" t="s">
        <v>148</v>
      </c>
      <c r="E296" s="14" t="s">
        <v>59</v>
      </c>
      <c r="F296" s="14" t="s">
        <v>125</v>
      </c>
      <c r="G296"/>
      <c r="H296"/>
      <c r="I296"/>
      <c r="J296"/>
      <c r="K296"/>
      <c r="L296"/>
      <c r="M296"/>
      <c r="N296"/>
      <c r="O296"/>
    </row>
    <row r="297" spans="2:15" ht="22" hidden="1" customHeight="1" outlineLevel="1" x14ac:dyDescent="0.2">
      <c r="B297" s="2193" t="s">
        <v>2209</v>
      </c>
      <c r="C297" s="2196">
        <f>C52</f>
        <v>852.15858853995258</v>
      </c>
      <c r="D297" s="2197">
        <f>C147</f>
        <v>5.18</v>
      </c>
      <c r="E297" s="2193" t="s">
        <v>298</v>
      </c>
      <c r="F297" s="2193" t="s">
        <v>2191</v>
      </c>
      <c r="G297"/>
      <c r="H297"/>
      <c r="I297"/>
      <c r="J297"/>
      <c r="K297"/>
      <c r="L297"/>
      <c r="M297"/>
      <c r="N297"/>
      <c r="O297"/>
    </row>
    <row r="298" spans="2:15" ht="22" hidden="1" customHeight="1" outlineLevel="1" x14ac:dyDescent="0.2">
      <c r="B298" s="2193" t="s">
        <v>362</v>
      </c>
      <c r="C298" s="2196">
        <f>C50</f>
        <v>274.82114480413469</v>
      </c>
      <c r="D298" s="2197">
        <f>C146</f>
        <v>1.8925000000000001</v>
      </c>
      <c r="E298" s="2193" t="s">
        <v>298</v>
      </c>
      <c r="F298" s="2194" t="s">
        <v>2191</v>
      </c>
      <c r="G298"/>
      <c r="H298"/>
      <c r="I298"/>
      <c r="J298"/>
      <c r="K298"/>
      <c r="L298"/>
      <c r="M298"/>
      <c r="N298"/>
      <c r="O298"/>
    </row>
    <row r="299" spans="2:15" ht="22" hidden="1" customHeight="1" outlineLevel="1" x14ac:dyDescent="0.2">
      <c r="B299" s="2193" t="s">
        <v>2258</v>
      </c>
      <c r="C299" s="2196">
        <f>C66*C64+C83*C81</f>
        <v>1343.8148148148148</v>
      </c>
      <c r="D299" s="2197">
        <f>C157</f>
        <v>6.41</v>
      </c>
      <c r="E299" s="2193" t="s">
        <v>298</v>
      </c>
      <c r="F299" s="2194" t="s">
        <v>2191</v>
      </c>
      <c r="G299"/>
      <c r="H299"/>
      <c r="I299"/>
      <c r="J299"/>
      <c r="K299"/>
      <c r="L299"/>
      <c r="M299"/>
      <c r="N299"/>
      <c r="O299"/>
    </row>
    <row r="300" spans="2:15" ht="22" hidden="1" customHeight="1" outlineLevel="1" x14ac:dyDescent="0.2">
      <c r="B300" s="2679" t="s">
        <v>1500</v>
      </c>
      <c r="C300" s="2679"/>
      <c r="D300" s="2201">
        <f>SUMPRODUCT(C297:C299,D297:D299)/SUM(C297:C299)</f>
        <v>5.4833104105062294</v>
      </c>
      <c r="E300" s="222" t="s">
        <v>298</v>
      </c>
      <c r="F300" s="2194"/>
      <c r="G300"/>
      <c r="H300"/>
      <c r="I300"/>
      <c r="J300"/>
      <c r="K300"/>
      <c r="L300"/>
      <c r="M300"/>
      <c r="N300"/>
      <c r="O300"/>
    </row>
    <row r="301" spans="2:15" customFormat="1" ht="24" hidden="1" customHeight="1" outlineLevel="1" x14ac:dyDescent="0.2"/>
    <row r="302" spans="2:15" ht="26" hidden="1" customHeight="1" outlineLevel="1" x14ac:dyDescent="0.2">
      <c r="B302" s="2684" t="s">
        <v>2261</v>
      </c>
      <c r="C302" s="2684"/>
      <c r="D302" s="2684"/>
      <c r="E302" s="2684"/>
      <c r="F302" s="2684"/>
      <c r="G302"/>
      <c r="H302"/>
      <c r="I302"/>
      <c r="J302"/>
      <c r="K302"/>
      <c r="L302"/>
      <c r="M302"/>
      <c r="N302"/>
      <c r="O302"/>
    </row>
    <row r="303" spans="2:15" ht="26" hidden="1" customHeight="1" outlineLevel="1" x14ac:dyDescent="0.2">
      <c r="B303" s="14" t="s">
        <v>767</v>
      </c>
      <c r="C303" s="14" t="s">
        <v>487</v>
      </c>
      <c r="D303" s="14" t="s">
        <v>148</v>
      </c>
      <c r="E303" s="14" t="s">
        <v>59</v>
      </c>
      <c r="F303" s="14" t="s">
        <v>125</v>
      </c>
      <c r="G303"/>
      <c r="H303"/>
      <c r="I303"/>
      <c r="J303"/>
      <c r="K303"/>
      <c r="L303"/>
      <c r="M303"/>
      <c r="N303"/>
      <c r="O303"/>
    </row>
    <row r="304" spans="2:15" ht="22" hidden="1" customHeight="1" outlineLevel="1" x14ac:dyDescent="0.2">
      <c r="B304" s="2193" t="s">
        <v>336</v>
      </c>
      <c r="C304" s="2199">
        <f>C49</f>
        <v>2315.740964357321</v>
      </c>
      <c r="D304" s="2193">
        <v>0.30599999999999999</v>
      </c>
      <c r="E304" s="2193" t="s">
        <v>298</v>
      </c>
      <c r="F304" s="2193" t="s">
        <v>2191</v>
      </c>
      <c r="G304"/>
      <c r="H304"/>
      <c r="I304"/>
      <c r="J304"/>
      <c r="K304"/>
      <c r="L304"/>
      <c r="M304"/>
      <c r="N304"/>
      <c r="O304"/>
    </row>
    <row r="305" spans="1:15" ht="22" hidden="1" customHeight="1" outlineLevel="1" x14ac:dyDescent="0.2">
      <c r="B305" s="2193" t="s">
        <v>2260</v>
      </c>
      <c r="C305" s="2196">
        <f>C64*C65+C81*C82</f>
        <v>268.762962962963</v>
      </c>
      <c r="D305" s="2204">
        <f>C156</f>
        <v>0.87</v>
      </c>
      <c r="E305" s="2193" t="s">
        <v>298</v>
      </c>
      <c r="F305" s="2194" t="s">
        <v>2191</v>
      </c>
      <c r="G305"/>
      <c r="H305"/>
      <c r="I305"/>
      <c r="J305"/>
      <c r="K305"/>
      <c r="L305"/>
      <c r="M305"/>
      <c r="N305"/>
      <c r="O305"/>
    </row>
    <row r="306" spans="1:15" ht="22" hidden="1" customHeight="1" outlineLevel="1" x14ac:dyDescent="0.2">
      <c r="B306" s="2679" t="s">
        <v>2302</v>
      </c>
      <c r="C306" s="2679"/>
      <c r="D306" s="2201">
        <f>SUMPRODUCT(C304:C305,D304:D305)/SUM(C304:C305)</f>
        <v>0.3646504471936623</v>
      </c>
      <c r="E306" s="222" t="s">
        <v>298</v>
      </c>
      <c r="F306" s="2198"/>
      <c r="G306"/>
      <c r="H306"/>
      <c r="I306"/>
      <c r="J306"/>
      <c r="K306"/>
      <c r="L306"/>
      <c r="M306"/>
      <c r="N306"/>
      <c r="O306"/>
    </row>
    <row r="307" spans="1:15" ht="23" hidden="1" customHeight="1" outlineLevel="1" x14ac:dyDescent="0.2">
      <c r="B307" s="2198"/>
      <c r="C307" s="2198"/>
      <c r="D307" s="2198"/>
      <c r="E307" s="2198"/>
      <c r="F307" s="2198"/>
      <c r="G307"/>
      <c r="H307"/>
      <c r="I307"/>
      <c r="J307"/>
      <c r="K307"/>
      <c r="L307"/>
      <c r="M307"/>
      <c r="N307"/>
      <c r="O307"/>
    </row>
    <row r="308" spans="1:15" ht="25" hidden="1" customHeight="1" outlineLevel="1" x14ac:dyDescent="0.2">
      <c r="B308" s="2680" t="s">
        <v>1502</v>
      </c>
      <c r="C308" s="2681"/>
      <c r="D308" s="2681"/>
      <c r="E308" s="2681"/>
      <c r="F308" s="2682"/>
      <c r="G308"/>
      <c r="H308"/>
      <c r="I308"/>
      <c r="J308"/>
      <c r="K308"/>
      <c r="L308"/>
      <c r="M308"/>
      <c r="N308"/>
      <c r="O308"/>
    </row>
    <row r="309" spans="1:15" ht="31" hidden="1" customHeight="1" outlineLevel="1" x14ac:dyDescent="0.2">
      <c r="B309" s="14" t="s">
        <v>767</v>
      </c>
      <c r="C309" s="14" t="s">
        <v>487</v>
      </c>
      <c r="D309" s="14" t="s">
        <v>148</v>
      </c>
      <c r="E309" s="14" t="s">
        <v>59</v>
      </c>
      <c r="F309" s="2193"/>
      <c r="G309"/>
      <c r="H309"/>
      <c r="I309"/>
      <c r="J309"/>
      <c r="K309"/>
      <c r="L309"/>
      <c r="M309"/>
      <c r="N309"/>
      <c r="O309"/>
    </row>
    <row r="310" spans="1:15" ht="22" hidden="1" customHeight="1" outlineLevel="1" x14ac:dyDescent="0.2">
      <c r="B310" s="2193" t="s">
        <v>2235</v>
      </c>
      <c r="C310" s="2196">
        <f>C50</f>
        <v>274.82114480413469</v>
      </c>
      <c r="D310" s="2193">
        <v>1.3859999999999999</v>
      </c>
      <c r="E310" s="2193" t="s">
        <v>298</v>
      </c>
      <c r="F310" s="2193" t="s">
        <v>2191</v>
      </c>
      <c r="G310"/>
      <c r="H310"/>
      <c r="I310"/>
      <c r="J310"/>
      <c r="K310"/>
      <c r="L310"/>
      <c r="M310"/>
      <c r="N310"/>
      <c r="O310"/>
    </row>
    <row r="311" spans="1:15" ht="22" hidden="1" customHeight="1" outlineLevel="1" x14ac:dyDescent="0.2">
      <c r="B311" s="2194" t="s">
        <v>1473</v>
      </c>
      <c r="C311" s="2199">
        <f>C51</f>
        <v>306.77709187438296</v>
      </c>
      <c r="D311" s="2200">
        <v>1.41</v>
      </c>
      <c r="E311" s="2193" t="s">
        <v>298</v>
      </c>
      <c r="F311" s="2193" t="s">
        <v>2191</v>
      </c>
      <c r="G311"/>
      <c r="H311"/>
      <c r="I311"/>
      <c r="J311"/>
      <c r="K311"/>
      <c r="L311"/>
      <c r="M311"/>
      <c r="N311"/>
      <c r="O311"/>
    </row>
    <row r="312" spans="1:15" ht="22" hidden="1" customHeight="1" outlineLevel="1" x14ac:dyDescent="0.2">
      <c r="B312" s="2193" t="s">
        <v>2259</v>
      </c>
      <c r="C312" s="2196">
        <f>C67*C64+C84*C81</f>
        <v>1075.051851851852</v>
      </c>
      <c r="D312" s="2197">
        <v>0.64</v>
      </c>
      <c r="E312" s="2193" t="s">
        <v>298</v>
      </c>
      <c r="F312" s="2193" t="s">
        <v>2191</v>
      </c>
      <c r="G312"/>
      <c r="H312"/>
      <c r="I312"/>
      <c r="J312"/>
      <c r="K312"/>
      <c r="L312"/>
      <c r="M312"/>
      <c r="N312"/>
      <c r="O312"/>
    </row>
    <row r="313" spans="1:15" ht="22" hidden="1" customHeight="1" outlineLevel="1" x14ac:dyDescent="0.2">
      <c r="B313" s="2679" t="s">
        <v>1499</v>
      </c>
      <c r="C313" s="2679"/>
      <c r="D313" s="2201">
        <v>0.79</v>
      </c>
      <c r="E313" s="222" t="s">
        <v>298</v>
      </c>
      <c r="F313" s="2193" t="s">
        <v>2191</v>
      </c>
      <c r="G313"/>
      <c r="H313"/>
      <c r="I313"/>
      <c r="J313"/>
      <c r="K313"/>
      <c r="L313"/>
      <c r="M313"/>
      <c r="N313"/>
      <c r="O313"/>
    </row>
    <row r="314" spans="1:15" hidden="1" outlineLevel="1" x14ac:dyDescent="0.2">
      <c r="H314"/>
      <c r="I314"/>
      <c r="J314"/>
      <c r="K314"/>
      <c r="L314"/>
      <c r="M314"/>
      <c r="N314"/>
      <c r="O314"/>
    </row>
    <row r="315" spans="1:15" ht="24" customHeight="1" collapsed="1" x14ac:dyDescent="0.2">
      <c r="A315"/>
      <c r="B315"/>
      <c r="C315"/>
      <c r="D315"/>
      <c r="E315"/>
      <c r="F315"/>
      <c r="G315"/>
    </row>
    <row r="317" spans="1:15" ht="20" x14ac:dyDescent="0.2">
      <c r="B317" s="1602" t="s">
        <v>2411</v>
      </c>
    </row>
    <row r="318" spans="1:15" ht="20" x14ac:dyDescent="0.2">
      <c r="B318" s="1602"/>
    </row>
    <row r="319" spans="1:15" x14ac:dyDescent="0.2">
      <c r="C319" s="328" t="s">
        <v>2415</v>
      </c>
      <c r="D319" s="328" t="s">
        <v>2414</v>
      </c>
      <c r="E319" s="55" t="s">
        <v>71</v>
      </c>
    </row>
    <row r="320" spans="1:15" x14ac:dyDescent="0.2">
      <c r="B320" s="55" t="str">
        <f>C120</f>
        <v>Plats et snacks avec une dominante bœuf</v>
      </c>
      <c r="C320" s="220">
        <f>E320/SUM($E$320:$E$325)</f>
        <v>0.67546377625822152</v>
      </c>
      <c r="D320" s="478">
        <f>D120*$D$118/($D$118+$D$119)</f>
        <v>0.13540601351235776</v>
      </c>
      <c r="E320" s="55">
        <f>D118*D120*D126/1000</f>
        <v>17448.419826475449</v>
      </c>
    </row>
    <row r="321" spans="2:5" x14ac:dyDescent="0.2">
      <c r="B321" s="55" t="str">
        <f>C121</f>
        <v>Plats et snacks avec une dominante poulet/porc</v>
      </c>
      <c r="C321" s="220">
        <f t="shared" ref="C321:C325" si="7">E321/SUM($E$320:$E$325)</f>
        <v>7.3415884447897845E-2</v>
      </c>
      <c r="D321" s="478">
        <f t="shared" ref="D321:D322" si="8">D121*$D$118/($D$118+$D$119)</f>
        <v>0.10215077465423751</v>
      </c>
      <c r="E321" s="55">
        <f>D118*D121*D127/1000</f>
        <v>1896.4616887008669</v>
      </c>
    </row>
    <row r="322" spans="2:5" x14ac:dyDescent="0.2">
      <c r="B322" s="55" t="str">
        <f>C122</f>
        <v>Plats et snacks végétariens</v>
      </c>
      <c r="C322" s="220">
        <f t="shared" si="7"/>
        <v>5.2867174830467809E-2</v>
      </c>
      <c r="D322" s="478">
        <f t="shared" si="8"/>
        <v>0.15936321139902945</v>
      </c>
      <c r="E322" s="55">
        <f>D118*D122*D128/1000</f>
        <v>1365.6523027654373</v>
      </c>
    </row>
    <row r="323" spans="2:5" x14ac:dyDescent="0.2">
      <c r="B323" s="55" t="s">
        <v>2412</v>
      </c>
      <c r="C323" s="220">
        <f>E323/SUM($E$320:$E$325)</f>
        <v>0.11361890053998215</v>
      </c>
      <c r="D323" s="478">
        <f>D123*$D$119/($D$118+$D$119)</f>
        <v>0.36105947054302162</v>
      </c>
      <c r="E323" s="362">
        <f>D123*D119*D129/1000</f>
        <v>2934.9764510336859</v>
      </c>
    </row>
    <row r="324" spans="2:5" x14ac:dyDescent="0.2">
      <c r="B324" s="55" t="s">
        <v>2413</v>
      </c>
      <c r="C324" s="220">
        <f t="shared" si="7"/>
        <v>7.9895691711311237E-2</v>
      </c>
      <c r="D324" s="478">
        <f t="shared" ref="D324:D325" si="9">D124*$D$119/($D$118+$D$119)</f>
        <v>0.20964848158449031</v>
      </c>
      <c r="E324">
        <f>D119*D124*D130/1000</f>
        <v>2063.8465307911397</v>
      </c>
    </row>
    <row r="325" spans="2:5" x14ac:dyDescent="0.2">
      <c r="B325" s="55" t="s">
        <v>1478</v>
      </c>
      <c r="C325" s="1194">
        <f t="shared" si="7"/>
        <v>4.7385722121194617E-3</v>
      </c>
      <c r="D325" s="478">
        <f t="shared" si="9"/>
        <v>3.2372048306863424E-2</v>
      </c>
      <c r="E325">
        <f>D119*D125*D131/1000</f>
        <v>122.40567183801586</v>
      </c>
    </row>
    <row r="351" spans="1:1" x14ac:dyDescent="0.2">
      <c r="A351" s="323"/>
    </row>
    <row r="352" spans="1:1" x14ac:dyDescent="0.2">
      <c r="A352" s="323"/>
    </row>
  </sheetData>
  <mergeCells count="48">
    <mergeCell ref="B300:C300"/>
    <mergeCell ref="B295:F295"/>
    <mergeCell ref="M176:O176"/>
    <mergeCell ref="M181:O181"/>
    <mergeCell ref="B313:C313"/>
    <mergeCell ref="B308:F308"/>
    <mergeCell ref="B302:F302"/>
    <mergeCell ref="B306:C306"/>
    <mergeCell ref="B209:E209"/>
    <mergeCell ref="B210:E210"/>
    <mergeCell ref="D29:E29"/>
    <mergeCell ref="D30:E30"/>
    <mergeCell ref="D31:E31"/>
    <mergeCell ref="B44:E44"/>
    <mergeCell ref="E49:E52"/>
    <mergeCell ref="C18:L18"/>
    <mergeCell ref="C19:L19"/>
    <mergeCell ref="B25:E25"/>
    <mergeCell ref="D27:E27"/>
    <mergeCell ref="D28:E28"/>
    <mergeCell ref="B118:B119"/>
    <mergeCell ref="B203:B205"/>
    <mergeCell ref="B207:D207"/>
    <mergeCell ref="B126:B131"/>
    <mergeCell ref="B120:B125"/>
    <mergeCell ref="B132:C132"/>
    <mergeCell ref="B202:D202"/>
    <mergeCell ref="B2:C2"/>
    <mergeCell ref="B4:D4"/>
    <mergeCell ref="C6:D6"/>
    <mergeCell ref="C7:D7"/>
    <mergeCell ref="C9:D9"/>
    <mergeCell ref="B12:L12"/>
    <mergeCell ref="C13:L13"/>
    <mergeCell ref="C14:L14"/>
    <mergeCell ref="C15:L15"/>
    <mergeCell ref="B90:E90"/>
    <mergeCell ref="E57:E58"/>
    <mergeCell ref="D32:E32"/>
    <mergeCell ref="D33:E33"/>
    <mergeCell ref="D34:E34"/>
    <mergeCell ref="D35:E35"/>
    <mergeCell ref="B60:E60"/>
    <mergeCell ref="E64:E67"/>
    <mergeCell ref="E72:E74"/>
    <mergeCell ref="E82:E84"/>
    <mergeCell ref="C16:L16"/>
    <mergeCell ref="C17:L17"/>
  </mergeCells>
  <conditionalFormatting sqref="C7">
    <cfRule type="containsText" dxfId="172" priority="19" operator="containsText" text="Pas ok">
      <formula>NOT(ISERROR(SEARCH("Pas ok",C7)))</formula>
    </cfRule>
    <cfRule type="containsText" dxfId="171" priority="20" operator="containsText" text="Calcul brouillon, ordre de grandeur">
      <formula>NOT(ISERROR(SEARCH("Calcul brouillon, ordre de grandeur",C7)))</formula>
    </cfRule>
    <cfRule type="containsText" dxfId="170" priority="21" operator="containsText" text="Bon ordre de grandeur">
      <formula>NOT(ISERROR(SEARCH("Bon ordre de grandeur",C7)))</formula>
    </cfRule>
    <cfRule type="containsText" dxfId="169" priority="22" operator="containsText" text="Calcul validé">
      <formula>NOT(ISERROR(SEARCH("Calcul validé",C7)))</formula>
    </cfRule>
    <cfRule type="containsText" dxfId="168" priority="23" operator="containsText" text="Pas ok">
      <formula>NOT(ISERROR(SEARCH("Pas ok",C7)))</formula>
    </cfRule>
    <cfRule type="containsText" dxfId="167" priority="24" operator="containsText" text="Calcul brouillon, ordre de grandeur">
      <formula>NOT(ISERROR(SEARCH("Calcul brouillon, ordre de grandeur",C7)))</formula>
    </cfRule>
    <cfRule type="containsText" dxfId="166" priority="25" operator="containsText" text="Bon ordre de grandeur">
      <formula>NOT(ISERROR(SEARCH("Bon ordre de grandeur",C7)))</formula>
    </cfRule>
    <cfRule type="containsText" dxfId="165" priority="26" operator="containsText" text="Calcul validé">
      <formula>NOT(ISERROR(SEARCH("Calcul validé",C7)))</formula>
    </cfRule>
  </conditionalFormatting>
  <conditionalFormatting sqref="C7:D7">
    <cfRule type="containsText" dxfId="164" priority="27" operator="containsText" text="Calcul brouillon, odg">
      <formula>NOT(ISERROR(SEARCH("Calcul brouillon, odg",C7)))</formula>
    </cfRule>
  </conditionalFormatting>
  <conditionalFormatting sqref="D8">
    <cfRule type="containsText" dxfId="163" priority="10" operator="containsText" text="Pas ok">
      <formula>NOT(ISERROR(SEARCH("Pas ok",D8)))</formula>
    </cfRule>
    <cfRule type="containsText" dxfId="162" priority="11" operator="containsText" text="Calcul brouillon, ordre de grandeur">
      <formula>NOT(ISERROR(SEARCH("Calcul brouillon, ordre de grandeur",D8)))</formula>
    </cfRule>
    <cfRule type="containsText" dxfId="161" priority="12" operator="containsText" text="Bon ordre de grandeur">
      <formula>NOT(ISERROR(SEARCH("Bon ordre de grandeur",D8)))</formula>
    </cfRule>
    <cfRule type="containsText" dxfId="160" priority="13" operator="containsText" text="Calcul validé">
      <formula>NOT(ISERROR(SEARCH("Calcul validé",D8)))</formula>
    </cfRule>
    <cfRule type="containsText" dxfId="159" priority="14" operator="containsText" text="Pas ok">
      <formula>NOT(ISERROR(SEARCH("Pas ok",D8)))</formula>
    </cfRule>
    <cfRule type="containsText" dxfId="158" priority="15" operator="containsText" text="Calcul brouillon, ordre de grandeur">
      <formula>NOT(ISERROR(SEARCH("Calcul brouillon, ordre de grandeur",D8)))</formula>
    </cfRule>
    <cfRule type="containsText" dxfId="157" priority="16" operator="containsText" text="Bon ordre de grandeur">
      <formula>NOT(ISERROR(SEARCH("Bon ordre de grandeur",D8)))</formula>
    </cfRule>
    <cfRule type="containsText" dxfId="156" priority="17" operator="containsText" text="Calcul validé">
      <formula>NOT(ISERROR(SEARCH("Calcul validé",D8)))</formula>
    </cfRule>
  </conditionalFormatting>
  <conditionalFormatting sqref="D8:E8">
    <cfRule type="containsText" dxfId="155" priority="18" operator="containsText" text="Calcul brouillon, odg">
      <formula>NOT(ISERROR(SEARCH("Calcul brouillon, odg",D8)))</formula>
    </cfRule>
  </conditionalFormatting>
  <pageMargins left="0.7" right="0.7" top="0.75" bottom="0.75" header="0.3" footer="0.3"/>
  <pageSetup paperSize="9" orientation="portrait"/>
  <ignoredErrors>
    <ignoredError sqref="F110"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B1:T228"/>
  <sheetViews>
    <sheetView topLeftCell="A2" zoomScale="38" zoomScaleNormal="12" workbookViewId="0">
      <selection activeCell="E23" sqref="E23"/>
    </sheetView>
  </sheetViews>
  <sheetFormatPr baseColWidth="10" defaultColWidth="9.85546875" defaultRowHeight="14" outlineLevelRow="1" x14ac:dyDescent="0.2"/>
  <cols>
    <col min="1" max="1" width="10" style="126" customWidth="1"/>
    <col min="2" max="2" width="42.42578125" style="126" customWidth="1"/>
    <col min="3" max="3" width="32.7109375" style="126" customWidth="1"/>
    <col min="4" max="4" width="36.85546875" style="126" customWidth="1"/>
    <col min="5" max="7" width="30.140625" style="126" customWidth="1"/>
    <col min="8" max="8" width="32.7109375" style="126" customWidth="1"/>
    <col min="9" max="15" width="30.140625" style="126" customWidth="1"/>
    <col min="16" max="21" width="30.42578125" style="126" customWidth="1"/>
    <col min="22" max="33" width="13.85546875" style="126" customWidth="1"/>
    <col min="34" max="16384" width="9.85546875" style="126"/>
  </cols>
  <sheetData>
    <row r="1" spans="2:17" ht="29" customHeight="1" x14ac:dyDescent="0.2">
      <c r="F1" s="55"/>
      <c r="G1" s="55"/>
      <c r="H1" s="55"/>
    </row>
    <row r="2" spans="2:17" ht="29" customHeight="1" x14ac:dyDescent="0.2">
      <c r="B2" s="2686" t="s">
        <v>484</v>
      </c>
      <c r="C2" s="2686"/>
      <c r="D2" s="2686"/>
      <c r="F2" s="55"/>
      <c r="G2" s="55"/>
      <c r="H2" s="55"/>
    </row>
    <row r="3" spans="2:17" ht="29" customHeight="1" x14ac:dyDescent="0.2">
      <c r="F3" s="55"/>
      <c r="G3" s="55"/>
      <c r="H3" s="55"/>
    </row>
    <row r="4" spans="2:17" ht="29" customHeight="1" thickBot="1" x14ac:dyDescent="0.25">
      <c r="F4" s="55"/>
      <c r="G4" s="55"/>
      <c r="H4" s="55"/>
    </row>
    <row r="5" spans="2:17" ht="29" customHeight="1" thickBot="1" x14ac:dyDescent="0.25">
      <c r="B5" s="2687" t="s">
        <v>17</v>
      </c>
      <c r="C5" s="2688"/>
      <c r="D5" s="2689"/>
      <c r="F5" s="55"/>
      <c r="G5" s="55"/>
      <c r="H5" s="55"/>
    </row>
    <row r="6" spans="2:17" ht="29" customHeight="1" x14ac:dyDescent="0.2">
      <c r="B6" s="983" t="s">
        <v>216</v>
      </c>
      <c r="C6" s="984">
        <f>ROUND(D44,-1)</f>
        <v>25830</v>
      </c>
      <c r="D6" s="985" t="s">
        <v>19</v>
      </c>
      <c r="F6" s="55"/>
      <c r="G6" s="55"/>
      <c r="H6" s="55"/>
    </row>
    <row r="7" spans="2:17" ht="29" customHeight="1" x14ac:dyDescent="0.2">
      <c r="B7" s="763" t="s">
        <v>217</v>
      </c>
      <c r="C7" s="111">
        <f>ROUND(E44,-1)</f>
        <v>9140</v>
      </c>
      <c r="D7" s="764" t="s">
        <v>19</v>
      </c>
      <c r="F7" s="55"/>
      <c r="G7" s="55"/>
      <c r="H7" s="55"/>
    </row>
    <row r="8" spans="2:17" ht="29" customHeight="1" thickBot="1" x14ac:dyDescent="0.25">
      <c r="B8" s="967" t="s">
        <v>218</v>
      </c>
      <c r="C8" s="2690">
        <f>(C7-C6)/C6</f>
        <v>-0.64614789005032902</v>
      </c>
      <c r="D8" s="2691"/>
      <c r="E8" s="55"/>
      <c r="F8" s="55"/>
      <c r="G8" s="55"/>
      <c r="H8" s="55"/>
    </row>
    <row r="9" spans="2:17" ht="29" customHeight="1" x14ac:dyDescent="0.2">
      <c r="D9" s="542"/>
      <c r="E9" s="542"/>
      <c r="G9" s="2"/>
      <c r="H9" s="2"/>
      <c r="I9" s="2"/>
      <c r="J9" s="2"/>
      <c r="K9" s="2"/>
      <c r="L9" s="543"/>
      <c r="M9" s="543"/>
      <c r="N9" s="543"/>
      <c r="O9" s="543"/>
      <c r="P9" s="543"/>
      <c r="Q9" s="543"/>
    </row>
    <row r="10" spans="2:17" ht="29" customHeight="1" x14ac:dyDescent="0.2">
      <c r="G10" s="2"/>
      <c r="H10" s="2"/>
      <c r="I10" s="2"/>
      <c r="J10" s="2"/>
      <c r="K10" s="2"/>
      <c r="L10" s="543"/>
      <c r="M10" s="543"/>
      <c r="N10" s="543"/>
      <c r="O10" s="543"/>
      <c r="P10" s="543"/>
      <c r="Q10" s="543"/>
    </row>
    <row r="11" spans="2:17" ht="29" customHeight="1" x14ac:dyDescent="0.2">
      <c r="B11" s="133" t="s">
        <v>219</v>
      </c>
      <c r="H11" s="2"/>
      <c r="I11" s="2"/>
      <c r="J11" s="2"/>
      <c r="K11" s="2"/>
      <c r="L11" s="543"/>
      <c r="M11" s="543"/>
      <c r="N11" s="543"/>
      <c r="O11" s="543"/>
      <c r="P11" s="543"/>
      <c r="Q11" s="543"/>
    </row>
    <row r="12" spans="2:17" ht="29" customHeight="1" thickBot="1" x14ac:dyDescent="0.25">
      <c r="H12" s="2"/>
      <c r="I12" s="2"/>
      <c r="J12" s="2"/>
      <c r="K12" s="2"/>
    </row>
    <row r="13" spans="2:17" ht="36" customHeight="1" thickBot="1" x14ac:dyDescent="0.25">
      <c r="B13" s="638" t="s">
        <v>149</v>
      </c>
      <c r="C13" s="639" t="s">
        <v>220</v>
      </c>
      <c r="D13" s="640" t="s">
        <v>487</v>
      </c>
      <c r="E13" s="637" t="s">
        <v>222</v>
      </c>
      <c r="F13" s="641" t="s">
        <v>1489</v>
      </c>
      <c r="G13" s="637" t="s">
        <v>222</v>
      </c>
      <c r="H13" s="642" t="s">
        <v>486</v>
      </c>
      <c r="I13" s="2"/>
      <c r="J13" s="2"/>
      <c r="K13" s="2"/>
    </row>
    <row r="14" spans="2:17" ht="29" customHeight="1" x14ac:dyDescent="0.2">
      <c r="H14" s="2"/>
      <c r="I14" s="2"/>
      <c r="J14" s="2"/>
      <c r="K14" s="2"/>
    </row>
    <row r="15" spans="2:17" ht="29" customHeight="1" x14ac:dyDescent="0.2">
      <c r="B15" s="133" t="s">
        <v>225</v>
      </c>
      <c r="G15" s="2"/>
    </row>
    <row r="16" spans="2:17" ht="29" hidden="1" customHeight="1" outlineLevel="1" x14ac:dyDescent="0.2">
      <c r="B16" s="133"/>
      <c r="G16" s="2"/>
    </row>
    <row r="17" spans="2:12" ht="29" hidden="1" customHeight="1" outlineLevel="1" x14ac:dyDescent="0.2">
      <c r="B17" s="145" t="s">
        <v>1596</v>
      </c>
      <c r="G17" s="2"/>
      <c r="H17" s="145" t="s">
        <v>1597</v>
      </c>
      <c r="I17"/>
      <c r="J17"/>
      <c r="K17"/>
      <c r="L17"/>
    </row>
    <row r="18" spans="2:12" ht="29" hidden="1" customHeight="1" outlineLevel="1" thickBot="1" x14ac:dyDescent="0.25">
      <c r="B18" s="145"/>
      <c r="G18" s="2"/>
      <c r="I18"/>
      <c r="J18"/>
      <c r="K18"/>
      <c r="L18"/>
    </row>
    <row r="19" spans="2:12" ht="40" hidden="1" customHeight="1" outlineLevel="1" thickBot="1" x14ac:dyDescent="0.25">
      <c r="B19" s="55"/>
      <c r="C19" s="578"/>
      <c r="D19" s="579">
        <v>2022</v>
      </c>
      <c r="E19" s="579">
        <v>2050</v>
      </c>
      <c r="G19" s="2"/>
      <c r="H19" s="2627" t="s">
        <v>226</v>
      </c>
      <c r="I19" s="2628"/>
      <c r="J19" s="2628"/>
      <c r="K19" s="2629"/>
      <c r="L19"/>
    </row>
    <row r="20" spans="2:12" ht="44" hidden="1" customHeight="1" outlineLevel="1" thickBot="1" x14ac:dyDescent="0.25">
      <c r="B20" s="2692" t="s">
        <v>1486</v>
      </c>
      <c r="C20" s="584" t="s">
        <v>1487</v>
      </c>
      <c r="D20" s="581">
        <f>'9.1 Alimentaire'!D118</f>
        <v>9327780.1231732517</v>
      </c>
      <c r="E20" s="580">
        <f>D20</f>
        <v>9327780.1231732517</v>
      </c>
      <c r="G20" s="2"/>
      <c r="H20" s="628"/>
      <c r="I20" s="628"/>
      <c r="J20" s="623">
        <v>2050</v>
      </c>
      <c r="K20" s="624" t="s">
        <v>1320</v>
      </c>
      <c r="L20"/>
    </row>
    <row r="21" spans="2:12" ht="44" hidden="1" customHeight="1" outlineLevel="1" thickBot="1" x14ac:dyDescent="0.25">
      <c r="B21" s="2693"/>
      <c r="C21" s="585" t="s">
        <v>1488</v>
      </c>
      <c r="D21" s="582">
        <f>'9.1 Alimentaire'!D119</f>
        <v>14172623.316767411</v>
      </c>
      <c r="E21" s="583">
        <f>D21</f>
        <v>14172623.316767411</v>
      </c>
      <c r="H21" s="964" t="s">
        <v>230</v>
      </c>
      <c r="I21" s="625">
        <v>0</v>
      </c>
      <c r="J21" s="625">
        <f>ROUND(D44,-1)</f>
        <v>25830</v>
      </c>
      <c r="K21" s="626"/>
      <c r="L21"/>
    </row>
    <row r="22" spans="2:12" ht="38" hidden="1" customHeight="1" outlineLevel="1" thickBot="1" x14ac:dyDescent="0.25">
      <c r="B22" s="2700" t="s">
        <v>1490</v>
      </c>
      <c r="C22" s="2697" t="s">
        <v>301</v>
      </c>
      <c r="D22" s="2703"/>
      <c r="E22" s="2699"/>
      <c r="H22" s="629" t="s">
        <v>2620</v>
      </c>
      <c r="I22" s="91">
        <f>J21-J22</f>
        <v>24000</v>
      </c>
      <c r="J22" s="91">
        <f>ROUND(((D21*D27*D38+D21*D28*D39+D21*D29*D40)/1000-(D21*D27*E41+D21*D28*E42+D21*D29*E43)/1000),-1)</f>
        <v>1830</v>
      </c>
      <c r="K22" s="928">
        <f>J22/$J$21</f>
        <v>7.0847851335656215E-2</v>
      </c>
      <c r="L22"/>
    </row>
    <row r="23" spans="2:12" ht="44" hidden="1" customHeight="1" outlineLevel="1" x14ac:dyDescent="0.2">
      <c r="B23" s="2701"/>
      <c r="C23" s="586" t="str">
        <f>'9.1 Alimentaire'!B101</f>
        <v>Plats et snacks avec une dominante bœuf</v>
      </c>
      <c r="D23" s="962">
        <f>'9.1 Alimentaire'!D120</f>
        <v>0.34114182621319494</v>
      </c>
      <c r="E23" s="600">
        <v>0.05</v>
      </c>
      <c r="F23"/>
      <c r="G23"/>
      <c r="H23" s="963" t="s">
        <v>2621</v>
      </c>
      <c r="I23" s="91">
        <f>J21-J22-J23</f>
        <v>9130</v>
      </c>
      <c r="J23" s="91">
        <f>ROUND(((D20*D23*D34+D20*D24*D35+D20*D25*D36)-(D20*E23*E34+D20*E24*E35+D20*E25*E36))/1000,-1)</f>
        <v>14870</v>
      </c>
      <c r="K23" s="928">
        <f>J23/$J$21</f>
        <v>0.57568718544328301</v>
      </c>
      <c r="L23"/>
    </row>
    <row r="24" spans="2:12" ht="44" hidden="1" customHeight="1" outlineLevel="1" thickBot="1" x14ac:dyDescent="0.25">
      <c r="B24" s="2701"/>
      <c r="C24" s="587" t="str">
        <f>'9.1 Alimentaire'!B102</f>
        <v>Plats et snacks avec une dominante poulet/porc</v>
      </c>
      <c r="D24" s="953">
        <f>'9.1 Alimentaire'!D121</f>
        <v>0.25735859812059797</v>
      </c>
      <c r="E24" s="600">
        <v>0.2</v>
      </c>
      <c r="F24"/>
      <c r="G24"/>
      <c r="H24" s="965" t="s">
        <v>234</v>
      </c>
      <c r="I24" s="627"/>
      <c r="J24" s="627">
        <f>ROUND(E44,-1)</f>
        <v>9140</v>
      </c>
      <c r="K24" s="966"/>
      <c r="L24"/>
    </row>
    <row r="25" spans="2:12" ht="44" hidden="1" customHeight="1" outlineLevel="1" thickBot="1" x14ac:dyDescent="0.25">
      <c r="B25" s="2701"/>
      <c r="C25" s="2248" t="str">
        <f>'9.1 Alimentaire'!B103</f>
        <v>Plats et snacks végétariens</v>
      </c>
      <c r="D25" s="1952">
        <f>'9.1 Alimentaire'!D122</f>
        <v>0.4014995756662072</v>
      </c>
      <c r="E25" s="2249">
        <v>0.75</v>
      </c>
      <c r="F25"/>
      <c r="G25"/>
      <c r="I25"/>
      <c r="J25"/>
      <c r="L25"/>
    </row>
    <row r="26" spans="2:12" ht="44" hidden="1" customHeight="1" outlineLevel="1" thickBot="1" x14ac:dyDescent="0.25">
      <c r="B26" s="2701"/>
      <c r="C26" s="2697" t="s">
        <v>307</v>
      </c>
      <c r="D26" s="2698"/>
      <c r="E26" s="2699"/>
      <c r="F26"/>
      <c r="G26"/>
    </row>
    <row r="27" spans="2:12" ht="38" hidden="1" customHeight="1" outlineLevel="1" x14ac:dyDescent="0.2">
      <c r="B27" s="2701"/>
      <c r="C27" s="585" t="s">
        <v>1492</v>
      </c>
      <c r="D27" s="610">
        <f>'9.1 Alimentaire'!D123</f>
        <v>0.59869249566054972</v>
      </c>
      <c r="E27" s="611"/>
      <c r="F27"/>
      <c r="G27"/>
    </row>
    <row r="28" spans="2:12" ht="44" hidden="1" customHeight="1" outlineLevel="1" x14ac:dyDescent="0.2">
      <c r="B28" s="2701"/>
      <c r="C28" s="588" t="s">
        <v>1491</v>
      </c>
      <c r="D28" s="610">
        <f>'9.1 Alimentaire'!D124</f>
        <v>0.34762963691962684</v>
      </c>
      <c r="E28" s="598"/>
      <c r="G28" s="2"/>
    </row>
    <row r="29" spans="2:12" ht="44" hidden="1" customHeight="1" outlineLevel="1" x14ac:dyDescent="0.2">
      <c r="B29" s="2701"/>
      <c r="C29" s="588" t="s">
        <v>1493</v>
      </c>
      <c r="D29" s="610">
        <f>'9.1 Alimentaire'!D125</f>
        <v>5.3677867419823375E-2</v>
      </c>
      <c r="E29" s="598"/>
      <c r="G29" s="2"/>
    </row>
    <row r="30" spans="2:12" ht="44" hidden="1" customHeight="1" outlineLevel="1" x14ac:dyDescent="0.2">
      <c r="B30" s="2701"/>
      <c r="C30" s="588" t="s">
        <v>1494</v>
      </c>
      <c r="D30" s="599"/>
      <c r="E30" s="600">
        <f>D27</f>
        <v>0.59869249566054972</v>
      </c>
      <c r="G30" s="2"/>
    </row>
    <row r="31" spans="2:12" ht="44" hidden="1" customHeight="1" outlineLevel="1" x14ac:dyDescent="0.2">
      <c r="B31" s="2701"/>
      <c r="C31" s="588" t="s">
        <v>1495</v>
      </c>
      <c r="D31" s="599"/>
      <c r="E31" s="600">
        <f t="shared" ref="E31:E32" si="0">D28</f>
        <v>0.34762963691962684</v>
      </c>
      <c r="G31" s="2"/>
    </row>
    <row r="32" spans="2:12" ht="44" hidden="1" customHeight="1" outlineLevel="1" thickBot="1" x14ac:dyDescent="0.25">
      <c r="B32" s="2702"/>
      <c r="C32" s="589" t="s">
        <v>1496</v>
      </c>
      <c r="D32" s="601"/>
      <c r="E32" s="602">
        <f t="shared" si="0"/>
        <v>5.3677867419823375E-2</v>
      </c>
      <c r="G32" s="2"/>
    </row>
    <row r="33" spans="2:10" ht="38" hidden="1" customHeight="1" outlineLevel="1" thickBot="1" x14ac:dyDescent="0.25">
      <c r="B33" s="2704" t="s">
        <v>1512</v>
      </c>
      <c r="C33" s="2697" t="s">
        <v>301</v>
      </c>
      <c r="D33" s="2698"/>
      <c r="E33" s="2699"/>
      <c r="G33" s="2"/>
    </row>
    <row r="34" spans="2:10" ht="44" hidden="1" customHeight="1" outlineLevel="1" x14ac:dyDescent="0.2">
      <c r="B34" s="2705"/>
      <c r="C34" s="590" t="s">
        <v>1508</v>
      </c>
      <c r="D34" s="603">
        <f>'9.1 Alimentaire'!D126</f>
        <v>5.4833104105062294</v>
      </c>
      <c r="E34" s="604">
        <f>N98</f>
        <v>4.985974156273314</v>
      </c>
      <c r="F34" s="2425"/>
      <c r="G34" s="2"/>
      <c r="I34" s="622"/>
      <c r="J34" s="622"/>
    </row>
    <row r="35" spans="2:10" ht="44" hidden="1" customHeight="1" outlineLevel="1" x14ac:dyDescent="0.2">
      <c r="B35" s="2705"/>
      <c r="C35" s="591" t="s">
        <v>1507</v>
      </c>
      <c r="D35" s="603">
        <f>'9.1 Alimentaire'!D127</f>
        <v>0.79</v>
      </c>
      <c r="E35" s="605">
        <f>N111</f>
        <v>0.75207999999999997</v>
      </c>
      <c r="F35" s="2425"/>
      <c r="G35" s="539"/>
      <c r="H35" s="55"/>
      <c r="I35" s="55"/>
    </row>
    <row r="36" spans="2:10" ht="44" hidden="1" customHeight="1" outlineLevel="1" thickBot="1" x14ac:dyDescent="0.25">
      <c r="B36" s="2705"/>
      <c r="C36" s="591" t="s">
        <v>1506</v>
      </c>
      <c r="D36" s="603">
        <f>'9.1 Alimentaire'!D128</f>
        <v>0.3646504471936623</v>
      </c>
      <c r="E36" s="605">
        <f>N102</f>
        <v>0.30260340000000002</v>
      </c>
      <c r="F36" s="2239"/>
      <c r="G36" s="2"/>
      <c r="H36" s="55"/>
    </row>
    <row r="37" spans="2:10" ht="38" hidden="1" customHeight="1" outlineLevel="1" thickBot="1" x14ac:dyDescent="0.25">
      <c r="B37" s="2705"/>
      <c r="C37" s="2697" t="s">
        <v>307</v>
      </c>
      <c r="D37" s="2698"/>
      <c r="E37" s="2699"/>
      <c r="F37" s="2239"/>
      <c r="G37" s="2"/>
      <c r="H37" s="55"/>
    </row>
    <row r="38" spans="2:10" ht="44" hidden="1" customHeight="1" outlineLevel="1" x14ac:dyDescent="0.2">
      <c r="B38" s="2705"/>
      <c r="C38" s="591" t="str">
        <f>'9.1 Alimentaire'!B152</f>
        <v>Bière blonde industrielle européenne, 25 cl</v>
      </c>
      <c r="D38" s="615">
        <f>'9.1 Alimentaire'!D129</f>
        <v>0.34589999999999999</v>
      </c>
      <c r="E38" s="605"/>
      <c r="F38" s="2239"/>
      <c r="G38" s="2"/>
      <c r="H38" s="55"/>
    </row>
    <row r="39" spans="2:10" ht="44" hidden="1" customHeight="1" outlineLevel="1" x14ac:dyDescent="0.2">
      <c r="B39" s="2705"/>
      <c r="C39" s="591" t="str">
        <f>'9.1 Alimentaire'!B150</f>
        <v>Soda industriel, 33 cl</v>
      </c>
      <c r="D39" s="615">
        <f>'9.1 Alimentaire'!D130</f>
        <v>0.41889999999999999</v>
      </c>
      <c r="E39" s="605"/>
      <c r="F39" s="2239"/>
      <c r="G39" s="2"/>
      <c r="H39" s="55"/>
    </row>
    <row r="40" spans="2:10" ht="44" hidden="1" customHeight="1" outlineLevel="1" x14ac:dyDescent="0.2">
      <c r="B40" s="2705"/>
      <c r="C40" s="591" t="str">
        <f>'9.1 Alimentaire'!B154</f>
        <v>Vin français non local, 12 cl</v>
      </c>
      <c r="D40" s="615">
        <f>'9.1 Alimentaire'!D131</f>
        <v>0.16090000000000002</v>
      </c>
      <c r="E40" s="605"/>
      <c r="F40" s="2239"/>
      <c r="G40" s="2"/>
      <c r="H40" s="55"/>
    </row>
    <row r="41" spans="2:10" ht="44" hidden="1" customHeight="1" outlineLevel="1" x14ac:dyDescent="0.2">
      <c r="B41" s="2705"/>
      <c r="C41" s="591" t="str">
        <f>'9.1 Alimentaire'!B153</f>
        <v>Bière bio et locale, 25 cl</v>
      </c>
      <c r="D41" s="606"/>
      <c r="E41" s="605">
        <f>'9.1 Alimentaire'!C153</f>
        <v>0.25800000000000001</v>
      </c>
      <c r="F41" s="2239"/>
      <c r="G41" s="2"/>
      <c r="H41" s="55"/>
    </row>
    <row r="42" spans="2:10" ht="44" hidden="1" customHeight="1" outlineLevel="1" x14ac:dyDescent="0.2">
      <c r="B42" s="2705"/>
      <c r="C42" s="591" t="str">
        <f>'9.1 Alimentaire'!B151</f>
        <v>Soda bio circuit court, 33 cl</v>
      </c>
      <c r="D42" s="606"/>
      <c r="E42" s="605">
        <f>'9.1 Alimentaire'!C151</f>
        <v>0.20100000000000001</v>
      </c>
      <c r="F42" s="2239"/>
      <c r="G42" s="2"/>
      <c r="H42" s="55"/>
    </row>
    <row r="43" spans="2:10" ht="44" hidden="1" customHeight="1" outlineLevel="1" thickBot="1" x14ac:dyDescent="0.25">
      <c r="B43" s="2706"/>
      <c r="C43" s="592" t="str">
        <f>'9.1 Alimentaire'!B155</f>
        <v>Vin bio et local, 12 cl</v>
      </c>
      <c r="D43" s="607"/>
      <c r="E43" s="608">
        <f>'9.1 Alimentaire'!C155</f>
        <v>0.14699999999999999</v>
      </c>
      <c r="F43" s="2239"/>
      <c r="G43" s="2"/>
      <c r="H43" s="55"/>
    </row>
    <row r="44" spans="2:10" ht="44" hidden="1" customHeight="1" outlineLevel="1" thickBot="1" x14ac:dyDescent="0.25">
      <c r="B44" s="612" t="s">
        <v>149</v>
      </c>
      <c r="C44" s="613" t="s">
        <v>485</v>
      </c>
      <c r="D44" s="614">
        <f>(D20*D23*D34+D20*D24*D35+D20*D25*D36)/1000+(D21*D27*D38+D21*D28*D39+D21*D29*D40)/1000</f>
        <v>25831.762471604594</v>
      </c>
      <c r="E44" s="614">
        <f>(E20*E23*E34+E20*E24*E35+E20*E25*E36)/1000+(E21*E30*E41+E21*E31*E42+E21*E32*E43)/1000</f>
        <v>9136.6783071406935</v>
      </c>
      <c r="F44" s="577"/>
      <c r="G44" s="2"/>
      <c r="H44" s="55"/>
    </row>
    <row r="45" spans="2:10" ht="29" customHeight="1" collapsed="1" x14ac:dyDescent="0.2">
      <c r="D45" s="571"/>
      <c r="E45" s="576"/>
      <c r="F45" s="547"/>
      <c r="G45" s="2"/>
      <c r="H45" s="55"/>
    </row>
    <row r="46" spans="2:10" ht="29" customHeight="1" x14ac:dyDescent="0.15">
      <c r="B46" s="144" t="s">
        <v>1470</v>
      </c>
      <c r="D46" s="593"/>
      <c r="E46" s="593"/>
      <c r="H46" s="55"/>
    </row>
    <row r="47" spans="2:10" ht="29" customHeight="1" x14ac:dyDescent="0.2">
      <c r="B47" s="144"/>
      <c r="H47" s="55"/>
    </row>
    <row r="48" spans="2:10" ht="23" customHeight="1" x14ac:dyDescent="0.2">
      <c r="B48" s="145" t="s">
        <v>1471</v>
      </c>
      <c r="H48" s="55"/>
    </row>
    <row r="49" spans="2:10" ht="23" customHeight="1" x14ac:dyDescent="0.2">
      <c r="B49" s="464" t="s">
        <v>1357</v>
      </c>
      <c r="H49" s="55"/>
    </row>
    <row r="50" spans="2:10" ht="23" customHeight="1" x14ac:dyDescent="0.2">
      <c r="B50" s="219" t="s">
        <v>1608</v>
      </c>
      <c r="H50" s="55"/>
    </row>
    <row r="51" spans="2:10" ht="23" customHeight="1" x14ac:dyDescent="0.2">
      <c r="B51" s="327"/>
      <c r="C51" s="327"/>
      <c r="D51" s="327"/>
      <c r="E51" s="327"/>
      <c r="H51" s="55"/>
    </row>
    <row r="52" spans="2:10" ht="29" customHeight="1" x14ac:dyDescent="0.2">
      <c r="B52" s="145" t="s">
        <v>1522</v>
      </c>
      <c r="C52"/>
      <c r="D52" s="327"/>
      <c r="H52" s="55"/>
    </row>
    <row r="53" spans="2:10" ht="29" hidden="1" customHeight="1" outlineLevel="1" x14ac:dyDescent="0.2">
      <c r="B53" s="548" t="s">
        <v>1520</v>
      </c>
      <c r="C53" s="548"/>
      <c r="D53" s="327"/>
      <c r="E53" s="327"/>
      <c r="H53" s="55"/>
    </row>
    <row r="54" spans="2:10" ht="21" hidden="1" customHeight="1" outlineLevel="1" x14ac:dyDescent="0.2">
      <c r="B54" s="328" t="s">
        <v>1365</v>
      </c>
      <c r="C54" s="55"/>
      <c r="D54" s="55"/>
      <c r="E54" s="55"/>
      <c r="H54" s="55"/>
    </row>
    <row r="55" spans="2:10" ht="25" hidden="1" customHeight="1" outlineLevel="1" x14ac:dyDescent="0.2">
      <c r="B55" s="86" t="s">
        <v>1917</v>
      </c>
      <c r="C55" s="55"/>
      <c r="D55" s="55"/>
      <c r="E55" s="55"/>
      <c r="H55" s="55"/>
    </row>
    <row r="56" spans="2:10" ht="25" hidden="1" customHeight="1" outlineLevel="1" x14ac:dyDescent="0.2">
      <c r="B56" s="55" t="s">
        <v>1514</v>
      </c>
      <c r="C56" s="55"/>
      <c r="D56" s="55"/>
      <c r="E56" s="55"/>
      <c r="G56"/>
      <c r="H56"/>
      <c r="I56"/>
      <c r="J56"/>
    </row>
    <row r="57" spans="2:10" ht="25" hidden="1" customHeight="1" outlineLevel="1" x14ac:dyDescent="0.2">
      <c r="B57" s="55"/>
      <c r="C57" s="55"/>
      <c r="D57" s="55"/>
      <c r="E57" s="55"/>
      <c r="G57"/>
      <c r="H57"/>
      <c r="I57"/>
      <c r="J57"/>
    </row>
    <row r="58" spans="2:10" ht="25" hidden="1" customHeight="1" outlineLevel="1" x14ac:dyDescent="0.2">
      <c r="B58" s="351" t="s">
        <v>301</v>
      </c>
      <c r="C58"/>
      <c r="D58"/>
      <c r="E58"/>
      <c r="G58"/>
      <c r="H58"/>
      <c r="I58"/>
      <c r="J58"/>
    </row>
    <row r="59" spans="2:10" ht="32" hidden="1" customHeight="1" outlineLevel="1" x14ac:dyDescent="0.2">
      <c r="B59" s="550" t="s">
        <v>124</v>
      </c>
      <c r="C59" s="334" t="s">
        <v>36</v>
      </c>
      <c r="D59" s="334" t="s">
        <v>59</v>
      </c>
      <c r="E59" s="319" t="s">
        <v>37</v>
      </c>
      <c r="F59"/>
      <c r="G59"/>
      <c r="H59"/>
      <c r="I59"/>
      <c r="J59"/>
    </row>
    <row r="60" spans="2:10" ht="32" hidden="1" customHeight="1" outlineLevel="1" x14ac:dyDescent="0.2">
      <c r="B60" s="81" t="s">
        <v>1918</v>
      </c>
      <c r="C60" s="91">
        <f>E20</f>
        <v>9327780.1231732517</v>
      </c>
      <c r="D60" s="81"/>
      <c r="E60" s="9"/>
      <c r="F60"/>
      <c r="G60"/>
      <c r="H60"/>
      <c r="I60"/>
      <c r="J60"/>
    </row>
    <row r="61" spans="2:10" ht="27" hidden="1" customHeight="1" outlineLevel="1" x14ac:dyDescent="0.2">
      <c r="B61" s="298" t="s">
        <v>312</v>
      </c>
      <c r="C61" s="429">
        <f>E25</f>
        <v>0.75</v>
      </c>
      <c r="D61" s="9"/>
      <c r="E61" s="986"/>
      <c r="F61"/>
      <c r="G61"/>
      <c r="H61"/>
      <c r="I61"/>
      <c r="J61"/>
    </row>
    <row r="62" spans="2:10" ht="27" hidden="1" customHeight="1" outlineLevel="1" x14ac:dyDescent="0.2">
      <c r="B62" s="298" t="s">
        <v>488</v>
      </c>
      <c r="C62" s="429">
        <f>E23</f>
        <v>0.05</v>
      </c>
      <c r="D62" s="9"/>
      <c r="E62" s="2707" t="s">
        <v>1607</v>
      </c>
      <c r="F62"/>
      <c r="G62"/>
      <c r="H62"/>
      <c r="I62"/>
      <c r="J62"/>
    </row>
    <row r="63" spans="2:10" ht="27" hidden="1" customHeight="1" outlineLevel="1" x14ac:dyDescent="0.2">
      <c r="B63" s="298" t="s">
        <v>2269</v>
      </c>
      <c r="C63" s="429">
        <f>E24</f>
        <v>0.2</v>
      </c>
      <c r="D63" s="9"/>
      <c r="E63" s="2708"/>
      <c r="F63"/>
      <c r="G63"/>
      <c r="H63"/>
      <c r="I63"/>
      <c r="J63"/>
    </row>
    <row r="64" spans="2:10" ht="27" hidden="1" customHeight="1" outlineLevel="1" x14ac:dyDescent="0.2">
      <c r="B64" s="58" t="s">
        <v>1515</v>
      </c>
      <c r="C64" s="557">
        <f>$E$36</f>
        <v>0.30260340000000002</v>
      </c>
      <c r="D64" s="81" t="s">
        <v>298</v>
      </c>
      <c r="E64" s="2694" t="s">
        <v>1605</v>
      </c>
      <c r="F64"/>
      <c r="G64"/>
      <c r="H64"/>
      <c r="I64"/>
      <c r="J64"/>
    </row>
    <row r="65" spans="2:10" ht="27" hidden="1" customHeight="1" outlineLevel="1" x14ac:dyDescent="0.2">
      <c r="B65" s="58" t="s">
        <v>2268</v>
      </c>
      <c r="C65" s="557">
        <f>E34</f>
        <v>4.985974156273314</v>
      </c>
      <c r="D65" s="81" t="s">
        <v>298</v>
      </c>
      <c r="E65" s="2695"/>
      <c r="F65"/>
      <c r="G65"/>
      <c r="H65"/>
      <c r="I65"/>
      <c r="J65"/>
    </row>
    <row r="66" spans="2:10" ht="27" hidden="1" customHeight="1" outlineLevel="1" x14ac:dyDescent="0.2">
      <c r="B66" s="58" t="s">
        <v>2267</v>
      </c>
      <c r="C66" s="557">
        <f>E35</f>
        <v>0.75207999999999997</v>
      </c>
      <c r="D66" s="81" t="s">
        <v>298</v>
      </c>
      <c r="E66" s="2696"/>
      <c r="F66"/>
    </row>
    <row r="67" spans="2:10" ht="29" hidden="1" customHeight="1" outlineLevel="1" x14ac:dyDescent="0.2">
      <c r="B67" s="336" t="s">
        <v>1919</v>
      </c>
      <c r="C67" s="8">
        <f>(C60*C61*C64+C60*C62*C65+C60*C63*C66)/1000</f>
        <v>5845.4143912777981</v>
      </c>
      <c r="D67" s="7" t="s">
        <v>71</v>
      </c>
      <c r="E67" s="311"/>
      <c r="F67"/>
    </row>
    <row r="68" spans="2:10" ht="34" hidden="1" customHeight="1" outlineLevel="1" x14ac:dyDescent="0.2">
      <c r="B68" s="545"/>
      <c r="C68" s="549"/>
      <c r="D68" s="55"/>
      <c r="E68" s="112"/>
      <c r="G68" s="545"/>
      <c r="H68" s="546"/>
      <c r="I68" s="55"/>
    </row>
    <row r="69" spans="2:10" ht="29" hidden="1" customHeight="1" outlineLevel="1" x14ac:dyDescent="0.2">
      <c r="B69" s="621" t="s">
        <v>1521</v>
      </c>
      <c r="C69" s="549"/>
      <c r="D69" s="55"/>
      <c r="E69" s="112"/>
      <c r="G69" s="545"/>
      <c r="H69" s="546"/>
      <c r="I69" s="55"/>
    </row>
    <row r="70" spans="2:10" ht="29" hidden="1" customHeight="1" outlineLevel="1" x14ac:dyDescent="0.2">
      <c r="B70" s="328" t="s">
        <v>1365</v>
      </c>
      <c r="C70" s="549"/>
      <c r="D70" s="55"/>
      <c r="E70" s="112"/>
      <c r="G70" s="545"/>
      <c r="H70" s="546"/>
      <c r="I70" s="55"/>
    </row>
    <row r="71" spans="2:10" ht="29" hidden="1" customHeight="1" outlineLevel="1" x14ac:dyDescent="0.2">
      <c r="B71" s="86" t="s">
        <v>2039</v>
      </c>
      <c r="C71" s="549"/>
      <c r="D71" s="55"/>
      <c r="E71" s="112"/>
      <c r="G71" s="545"/>
      <c r="H71" s="546"/>
      <c r="I71" s="55"/>
    </row>
    <row r="72" spans="2:10" ht="29" hidden="1" customHeight="1" outlineLevel="1" x14ac:dyDescent="0.2">
      <c r="B72" s="55"/>
      <c r="C72" s="549"/>
      <c r="D72" s="55"/>
      <c r="E72" s="112"/>
      <c r="G72" s="545"/>
      <c r="H72" s="546"/>
      <c r="I72" s="55"/>
    </row>
    <row r="73" spans="2:10" ht="29" hidden="1" customHeight="1" outlineLevel="1" x14ac:dyDescent="0.2">
      <c r="B73" s="351" t="s">
        <v>307</v>
      </c>
      <c r="C73" s="55"/>
      <c r="D73" s="55"/>
      <c r="E73" s="343"/>
      <c r="F73" s="55"/>
    </row>
    <row r="74" spans="2:10" ht="29" hidden="1" customHeight="1" outlineLevel="1" x14ac:dyDescent="0.2">
      <c r="B74" s="334" t="s">
        <v>124</v>
      </c>
      <c r="C74" s="334" t="s">
        <v>36</v>
      </c>
      <c r="D74" s="334" t="s">
        <v>59</v>
      </c>
      <c r="E74" s="319" t="s">
        <v>37</v>
      </c>
      <c r="F74" s="55"/>
      <c r="G74" s="348"/>
      <c r="H74" s="546"/>
      <c r="I74" s="55"/>
    </row>
    <row r="75" spans="2:10" ht="29" hidden="1" customHeight="1" outlineLevel="1" x14ac:dyDescent="0.2">
      <c r="B75" s="81" t="s">
        <v>1516</v>
      </c>
      <c r="C75" s="344">
        <f>E21</f>
        <v>14172623.316767411</v>
      </c>
      <c r="D75" s="81"/>
      <c r="E75" s="94"/>
      <c r="F75" s="55"/>
      <c r="G75" s="348"/>
      <c r="H75" s="546"/>
      <c r="I75" s="55"/>
    </row>
    <row r="76" spans="2:10" ht="29" hidden="1" customHeight="1" outlineLevel="1" x14ac:dyDescent="0.2">
      <c r="B76" s="298" t="s">
        <v>1517</v>
      </c>
      <c r="C76" s="429">
        <f>E30</f>
        <v>0.59869249566054972</v>
      </c>
      <c r="D76" s="9"/>
      <c r="E76" s="987"/>
      <c r="F76" s="55"/>
    </row>
    <row r="77" spans="2:10" ht="29" hidden="1" customHeight="1" outlineLevel="1" x14ac:dyDescent="0.2">
      <c r="B77" s="298" t="s">
        <v>1518</v>
      </c>
      <c r="C77" s="429">
        <f>E31</f>
        <v>0.34762963691962684</v>
      </c>
      <c r="D77" s="9"/>
      <c r="E77" s="987"/>
      <c r="F77" s="55"/>
    </row>
    <row r="78" spans="2:10" ht="29" hidden="1" customHeight="1" outlineLevel="1" x14ac:dyDescent="0.2">
      <c r="B78" s="298" t="s">
        <v>1519</v>
      </c>
      <c r="C78" s="429">
        <f>E32</f>
        <v>5.3677867419823375E-2</v>
      </c>
      <c r="D78" s="9"/>
      <c r="E78" s="987"/>
      <c r="F78" s="55"/>
    </row>
    <row r="79" spans="2:10" ht="29" hidden="1" customHeight="1" outlineLevel="1" x14ac:dyDescent="0.2">
      <c r="B79" s="58" t="str">
        <f>C41</f>
        <v>Bière bio et locale, 25 cl</v>
      </c>
      <c r="C79" s="557">
        <f>E41</f>
        <v>0.25800000000000001</v>
      </c>
      <c r="D79" s="81"/>
      <c r="E79" s="2694" t="s">
        <v>1606</v>
      </c>
      <c r="F79" s="55"/>
    </row>
    <row r="80" spans="2:10" ht="29" hidden="1" customHeight="1" outlineLevel="1" x14ac:dyDescent="0.2">
      <c r="B80" s="58" t="str">
        <f>C42</f>
        <v>Soda bio circuit court, 33 cl</v>
      </c>
      <c r="C80" s="557">
        <f>E42</f>
        <v>0.20100000000000001</v>
      </c>
      <c r="D80" s="7"/>
      <c r="E80" s="2695"/>
      <c r="F80" s="55"/>
      <c r="G80" s="348"/>
    </row>
    <row r="81" spans="2:20" ht="29" hidden="1" customHeight="1" outlineLevel="1" x14ac:dyDescent="0.2">
      <c r="B81" s="58" t="str">
        <f>C43</f>
        <v>Vin bio et local, 12 cl</v>
      </c>
      <c r="C81" s="557">
        <f>E43</f>
        <v>0.14699999999999999</v>
      </c>
      <c r="D81" s="7"/>
      <c r="E81" s="2696"/>
      <c r="F81" s="55"/>
      <c r="G81" s="348"/>
    </row>
    <row r="82" spans="2:20" ht="29" hidden="1" customHeight="1" outlineLevel="1" x14ac:dyDescent="0.2">
      <c r="B82" s="336" t="s">
        <v>1919</v>
      </c>
      <c r="C82" s="1603">
        <f>(C75*C76*C79+C75*C77*C80+C75*C78*C81)/1000</f>
        <v>3291.2639158628936</v>
      </c>
      <c r="D82" s="7" t="s">
        <v>71</v>
      </c>
      <c r="E82" s="311"/>
      <c r="F82" s="55"/>
      <c r="G82" s="55"/>
    </row>
    <row r="83" spans="2:20" ht="29" customHeight="1" collapsed="1" x14ac:dyDescent="0.2">
      <c r="B83" s="545"/>
      <c r="C83" s="618"/>
      <c r="D83" s="328"/>
      <c r="E83" s="112"/>
      <c r="F83" s="55"/>
      <c r="G83" s="55"/>
    </row>
    <row r="84" spans="2:20" ht="29" customHeight="1" thickBot="1" x14ac:dyDescent="0.25">
      <c r="B84" s="55"/>
      <c r="C84" s="55"/>
      <c r="D84" s="55"/>
      <c r="E84" s="55"/>
      <c r="G84" s="55"/>
      <c r="H84" s="546"/>
      <c r="I84" s="55"/>
    </row>
    <row r="85" spans="2:20" ht="42" customHeight="1" thickBot="1" x14ac:dyDescent="0.25">
      <c r="B85" s="968" t="s">
        <v>765</v>
      </c>
      <c r="C85" s="969">
        <f>C82+C67</f>
        <v>9136.6783071406917</v>
      </c>
      <c r="D85" s="970" t="s">
        <v>71</v>
      </c>
    </row>
    <row r="86" spans="2:20" ht="29" customHeight="1" x14ac:dyDescent="0.2"/>
    <row r="87" spans="2:20" ht="29" customHeight="1" x14ac:dyDescent="0.2">
      <c r="B87"/>
      <c r="C87"/>
      <c r="D87"/>
      <c r="E87"/>
      <c r="F87"/>
    </row>
    <row r="88" spans="2:20" ht="29" customHeight="1" x14ac:dyDescent="0.2">
      <c r="B88" s="144" t="s">
        <v>1601</v>
      </c>
    </row>
    <row r="89" spans="2:20" ht="29" hidden="1" customHeight="1" outlineLevel="1" x14ac:dyDescent="0.2">
      <c r="B89" s="144"/>
    </row>
    <row r="90" spans="2:20" ht="29" hidden="1" customHeight="1" outlineLevel="1" x14ac:dyDescent="0.2">
      <c r="B90" s="2207" t="s">
        <v>2263</v>
      </c>
    </row>
    <row r="91" spans="2:20" ht="29" hidden="1" customHeight="1" outlineLevel="1" thickBot="1" x14ac:dyDescent="0.25"/>
    <row r="92" spans="2:20" ht="29" hidden="1" customHeight="1" outlineLevel="1" x14ac:dyDescent="0.2">
      <c r="B92" s="2729">
        <v>2022</v>
      </c>
      <c r="C92" s="2730"/>
      <c r="D92" s="2730"/>
      <c r="E92" s="2730"/>
      <c r="F92" s="2730"/>
      <c r="G92" s="2730"/>
      <c r="H92" s="2731"/>
      <c r="J92" s="2737">
        <v>2050</v>
      </c>
      <c r="K92" s="2738"/>
      <c r="L92" s="2738"/>
      <c r="M92" s="2738"/>
      <c r="N92" s="2738"/>
      <c r="O92" s="2738"/>
      <c r="P92" s="2738"/>
      <c r="Q92" s="2738"/>
      <c r="R92" s="2738"/>
      <c r="S92" s="2738"/>
      <c r="T92" s="2739"/>
    </row>
    <row r="93" spans="2:20" ht="37" hidden="1" customHeight="1" outlineLevel="1" x14ac:dyDescent="0.2">
      <c r="B93" s="2732" t="s">
        <v>1501</v>
      </c>
      <c r="C93" s="2681"/>
      <c r="D93" s="2681"/>
      <c r="E93" s="2681"/>
      <c r="F93" s="2681"/>
      <c r="G93" s="2681"/>
      <c r="H93" s="2733"/>
      <c r="I93" s="232"/>
      <c r="J93" s="2732" t="s">
        <v>2264</v>
      </c>
      <c r="K93" s="2681"/>
      <c r="L93" s="2681"/>
      <c r="M93" s="2681"/>
      <c r="N93" s="2682"/>
      <c r="O93" s="2720" t="s">
        <v>2201</v>
      </c>
      <c r="P93" s="2720"/>
      <c r="Q93" s="2720"/>
      <c r="R93" s="2720"/>
      <c r="S93" s="2720"/>
      <c r="T93" s="2721"/>
    </row>
    <row r="94" spans="2:20" ht="49" hidden="1" customHeight="1" outlineLevel="1" x14ac:dyDescent="0.2">
      <c r="B94" s="2208" t="s">
        <v>767</v>
      </c>
      <c r="C94" s="14" t="s">
        <v>487</v>
      </c>
      <c r="D94" s="14" t="s">
        <v>148</v>
      </c>
      <c r="E94" s="14" t="s">
        <v>59</v>
      </c>
      <c r="F94" s="14" t="s">
        <v>125</v>
      </c>
      <c r="G94" s="25" t="s">
        <v>2202</v>
      </c>
      <c r="H94" s="2209" t="s">
        <v>2203</v>
      </c>
      <c r="J94" s="2724" t="s">
        <v>2265</v>
      </c>
      <c r="K94" s="2725"/>
      <c r="L94" s="2684" t="s">
        <v>2205</v>
      </c>
      <c r="M94" s="2684"/>
      <c r="N94" s="14" t="s">
        <v>2266</v>
      </c>
      <c r="O94" s="2710" t="s">
        <v>2206</v>
      </c>
      <c r="P94" s="2710"/>
      <c r="Q94" s="2712" t="s">
        <v>2207</v>
      </c>
      <c r="R94" s="2712"/>
      <c r="S94" s="2712" t="s">
        <v>2208</v>
      </c>
      <c r="T94" s="2719"/>
    </row>
    <row r="95" spans="2:20" ht="29" hidden="1" customHeight="1" outlineLevel="1" x14ac:dyDescent="0.2">
      <c r="B95" s="2213" t="s">
        <v>2209</v>
      </c>
      <c r="C95" s="2214">
        <f>'9.1 Alimentaire'!C297</f>
        <v>852.15858853995258</v>
      </c>
      <c r="D95" s="2214">
        <f>'9.1 Alimentaire'!D297</f>
        <v>5.18</v>
      </c>
      <c r="E95" s="2215" t="s">
        <v>298</v>
      </c>
      <c r="F95" s="2215" t="s">
        <v>2191</v>
      </c>
      <c r="G95" s="2216">
        <v>0.92100000000000004</v>
      </c>
      <c r="H95" s="2217" t="s">
        <v>2210</v>
      </c>
      <c r="J95" s="2735" t="s">
        <v>2211</v>
      </c>
      <c r="K95" s="2736"/>
      <c r="L95" s="2728" t="s">
        <v>2212</v>
      </c>
      <c r="M95" s="2728"/>
      <c r="N95" s="2245">
        <f>D95*(1-8.26%)</f>
        <v>4.7521319999999996</v>
      </c>
      <c r="O95" s="2709" t="s">
        <v>2213</v>
      </c>
      <c r="P95" s="2709"/>
      <c r="Q95" s="2711" t="s">
        <v>2214</v>
      </c>
      <c r="R95" s="2711"/>
      <c r="S95" s="2722" t="s">
        <v>2215</v>
      </c>
      <c r="T95" s="2723"/>
    </row>
    <row r="96" spans="2:20" ht="29" hidden="1" customHeight="1" outlineLevel="1" x14ac:dyDescent="0.2">
      <c r="B96" s="2213" t="s">
        <v>362</v>
      </c>
      <c r="C96" s="2214">
        <f>'9.1 Alimentaire'!C298</f>
        <v>274.82114480413469</v>
      </c>
      <c r="D96" s="2214">
        <f>'9.1 Alimentaire'!D298</f>
        <v>1.8925000000000001</v>
      </c>
      <c r="E96" s="2215" t="s">
        <v>298</v>
      </c>
      <c r="F96" s="2218" t="s">
        <v>2191</v>
      </c>
      <c r="G96" s="2216">
        <v>0.79700000000000004</v>
      </c>
      <c r="H96" s="2219" t="s">
        <v>2216</v>
      </c>
      <c r="J96" s="2735" t="s">
        <v>2217</v>
      </c>
      <c r="K96" s="2736"/>
      <c r="L96" s="2728" t="s">
        <v>2218</v>
      </c>
      <c r="M96" s="2728"/>
      <c r="N96" s="2245">
        <f>D96*(1-5.88%)</f>
        <v>1.7812210000000002</v>
      </c>
      <c r="O96" s="2709" t="s">
        <v>2219</v>
      </c>
      <c r="P96" s="2709"/>
      <c r="Q96" s="2711" t="s">
        <v>2220</v>
      </c>
      <c r="R96" s="2711"/>
      <c r="S96" s="2722" t="s">
        <v>2221</v>
      </c>
      <c r="T96" s="2723"/>
    </row>
    <row r="97" spans="2:20" ht="29" hidden="1" customHeight="1" outlineLevel="1" x14ac:dyDescent="0.2">
      <c r="B97" s="2213" t="s">
        <v>2258</v>
      </c>
      <c r="C97" s="2214">
        <f>'9.1 Alimentaire'!C299</f>
        <v>1343.8148148148148</v>
      </c>
      <c r="D97" s="2214">
        <f>'9.1 Alimentaire'!D299</f>
        <v>6.41</v>
      </c>
      <c r="E97" s="2215" t="s">
        <v>298</v>
      </c>
      <c r="F97" s="2218" t="s">
        <v>2191</v>
      </c>
      <c r="G97" s="2216">
        <v>0.94210000000000005</v>
      </c>
      <c r="H97" s="2219" t="s">
        <v>2222</v>
      </c>
      <c r="J97" s="2735" t="s">
        <v>2223</v>
      </c>
      <c r="K97" s="2736"/>
      <c r="L97" s="2728" t="s">
        <v>2224</v>
      </c>
      <c r="M97" s="2728"/>
      <c r="N97" s="2245">
        <f>D97*(1-9.02%)</f>
        <v>5.8318180000000002</v>
      </c>
      <c r="O97" s="2709" t="s">
        <v>2225</v>
      </c>
      <c r="P97" s="2709"/>
      <c r="Q97" s="2711" t="s">
        <v>2226</v>
      </c>
      <c r="R97" s="2711"/>
      <c r="S97" s="2740" t="s">
        <v>2227</v>
      </c>
      <c r="T97" s="2741"/>
    </row>
    <row r="98" spans="2:20" ht="29" hidden="1" customHeight="1" outlineLevel="1" x14ac:dyDescent="0.2">
      <c r="B98" s="2715" t="s">
        <v>1500</v>
      </c>
      <c r="C98" s="2716"/>
      <c r="D98" s="2220">
        <f>SUMPRODUCT(C95:C97,D95:D97)/SUM(C95:C97)</f>
        <v>5.4833104105062294</v>
      </c>
      <c r="E98" s="2221" t="s">
        <v>298</v>
      </c>
      <c r="F98" s="2218"/>
      <c r="G98" s="2216">
        <v>0.93389999999999995</v>
      </c>
      <c r="H98" s="2219"/>
      <c r="J98" s="2735" t="s">
        <v>2223</v>
      </c>
      <c r="K98" s="2736"/>
      <c r="L98" s="2728" t="s">
        <v>2228</v>
      </c>
      <c r="M98" s="2728"/>
      <c r="N98" s="2245">
        <f>D98*(1-9.07%)</f>
        <v>4.985974156273314</v>
      </c>
      <c r="O98" s="2709"/>
      <c r="P98" s="2709"/>
      <c r="Q98" s="2711"/>
      <c r="R98" s="2711"/>
      <c r="S98" s="2722" t="s">
        <v>2229</v>
      </c>
      <c r="T98" s="2723"/>
    </row>
    <row r="99" spans="2:20" ht="29" hidden="1" customHeight="1" outlineLevel="1" x14ac:dyDescent="0.2">
      <c r="B99" s="2222"/>
      <c r="C99" s="48"/>
      <c r="D99" s="48"/>
      <c r="E99" s="48"/>
      <c r="F99" s="48"/>
      <c r="G99" s="48"/>
      <c r="H99" s="2223"/>
      <c r="I99"/>
      <c r="J99" s="2210"/>
      <c r="K99"/>
      <c r="L99"/>
      <c r="M99"/>
      <c r="N99"/>
      <c r="O99"/>
      <c r="P99"/>
      <c r="Q99"/>
      <c r="R99"/>
      <c r="S99"/>
      <c r="T99" s="2211"/>
    </row>
    <row r="100" spans="2:20" ht="29" hidden="1" customHeight="1" outlineLevel="1" x14ac:dyDescent="0.2">
      <c r="B100" s="2724" t="s">
        <v>2261</v>
      </c>
      <c r="C100" s="2725"/>
      <c r="D100" s="2725"/>
      <c r="E100" s="2725"/>
      <c r="F100" s="2725"/>
      <c r="G100" s="2725"/>
      <c r="H100" s="2734"/>
      <c r="J100" s="2724" t="s">
        <v>2264</v>
      </c>
      <c r="K100" s="2725"/>
      <c r="L100" s="2725"/>
      <c r="M100" s="2725"/>
      <c r="N100" s="2725"/>
      <c r="O100" s="2712" t="s">
        <v>2201</v>
      </c>
      <c r="P100" s="2712"/>
      <c r="Q100" s="2712"/>
      <c r="R100" s="2712"/>
      <c r="S100" s="2712"/>
      <c r="T100" s="2719"/>
    </row>
    <row r="101" spans="2:20" ht="49" hidden="1" customHeight="1" outlineLevel="1" x14ac:dyDescent="0.2">
      <c r="B101" s="2224" t="s">
        <v>767</v>
      </c>
      <c r="C101" s="25" t="s">
        <v>487</v>
      </c>
      <c r="D101" s="25" t="s">
        <v>148</v>
      </c>
      <c r="E101" s="25" t="s">
        <v>59</v>
      </c>
      <c r="F101" s="25" t="s">
        <v>125</v>
      </c>
      <c r="G101" s="25" t="s">
        <v>2202</v>
      </c>
      <c r="H101" s="2225" t="s">
        <v>2203</v>
      </c>
      <c r="J101" s="2724" t="s">
        <v>2204</v>
      </c>
      <c r="K101" s="2725"/>
      <c r="L101" s="2725" t="s">
        <v>2205</v>
      </c>
      <c r="M101" s="2725"/>
      <c r="N101" s="14" t="s">
        <v>2266</v>
      </c>
      <c r="O101" s="2712" t="s">
        <v>2206</v>
      </c>
      <c r="P101" s="2712"/>
      <c r="Q101" s="2712" t="s">
        <v>2207</v>
      </c>
      <c r="R101" s="2712"/>
      <c r="S101" s="2712" t="s">
        <v>2208</v>
      </c>
      <c r="T101" s="2719"/>
    </row>
    <row r="102" spans="2:20" ht="29" hidden="1" customHeight="1" outlineLevel="1" x14ac:dyDescent="0.2">
      <c r="B102" s="2213" t="s">
        <v>336</v>
      </c>
      <c r="C102" s="2214">
        <f>'9.1 Alimentaire'!C304</f>
        <v>2315.740964357321</v>
      </c>
      <c r="D102" s="2244">
        <f>'9.1 Alimentaire'!D304</f>
        <v>0.30599999999999999</v>
      </c>
      <c r="E102" s="2215" t="s">
        <v>298</v>
      </c>
      <c r="F102" s="2215" t="s">
        <v>2191</v>
      </c>
      <c r="G102" s="2216">
        <v>0.221</v>
      </c>
      <c r="H102" s="2217" t="s">
        <v>2230</v>
      </c>
      <c r="J102" s="2717" t="s">
        <v>2231</v>
      </c>
      <c r="K102" s="2718"/>
      <c r="L102" s="2718" t="s">
        <v>2232</v>
      </c>
      <c r="M102" s="2718"/>
      <c r="N102" s="2246">
        <f>D102*(1-1.11%)</f>
        <v>0.30260340000000002</v>
      </c>
      <c r="O102" s="2711" t="s">
        <v>2233</v>
      </c>
      <c r="P102" s="2711"/>
      <c r="Q102" s="2711"/>
      <c r="R102" s="2711"/>
      <c r="S102" s="2722" t="s">
        <v>2234</v>
      </c>
      <c r="T102" s="2723"/>
    </row>
    <row r="103" spans="2:20" ht="29" hidden="1" customHeight="1" outlineLevel="1" x14ac:dyDescent="0.2">
      <c r="B103" s="2213" t="s">
        <v>2260</v>
      </c>
      <c r="C103" s="2214">
        <f>'9.1 Alimentaire'!C305</f>
        <v>268.762962962963</v>
      </c>
      <c r="D103" s="2214">
        <f>'9.1 Alimentaire'!D305</f>
        <v>0.87</v>
      </c>
      <c r="E103" s="2215" t="s">
        <v>298</v>
      </c>
      <c r="F103" s="2218" t="s">
        <v>2191</v>
      </c>
      <c r="G103" s="2216"/>
      <c r="H103" s="2217"/>
      <c r="J103" s="2238"/>
      <c r="L103" s="2203"/>
      <c r="N103" s="2202"/>
      <c r="O103" s="2240"/>
      <c r="P103" s="1984"/>
      <c r="Q103" s="2240"/>
      <c r="R103" s="1984"/>
      <c r="S103" s="2241"/>
      <c r="T103" s="2242"/>
    </row>
    <row r="104" spans="2:20" ht="29" hidden="1" customHeight="1" outlineLevel="1" x14ac:dyDescent="0.2">
      <c r="B104" s="2715" t="s">
        <v>1500</v>
      </c>
      <c r="C104" s="2716"/>
      <c r="D104" s="2220">
        <f>SUMPRODUCT(C102:C103,D102:D103)/SUM(C102:C103)</f>
        <v>0.3646504471936623</v>
      </c>
      <c r="E104" s="2221" t="s">
        <v>298</v>
      </c>
      <c r="F104" s="2228"/>
      <c r="G104" s="2226"/>
      <c r="H104" s="2227"/>
      <c r="J104" s="2238"/>
      <c r="L104" s="2203"/>
      <c r="N104" s="2202"/>
      <c r="O104" s="2240"/>
      <c r="P104" s="1984"/>
      <c r="Q104" s="2240"/>
      <c r="R104" s="1984"/>
      <c r="S104" s="2241"/>
      <c r="T104" s="2242"/>
    </row>
    <row r="105" spans="2:20" ht="29" hidden="1" customHeight="1" outlineLevel="1" x14ac:dyDescent="0.2">
      <c r="B105" s="2229"/>
      <c r="C105" s="2228"/>
      <c r="D105" s="2228"/>
      <c r="E105" s="2228"/>
      <c r="F105" s="2228"/>
      <c r="G105" s="2228"/>
      <c r="H105" s="2230"/>
      <c r="J105" s="2212"/>
      <c r="L105" s="2198"/>
      <c r="N105" s="2198"/>
      <c r="O105" s="2243"/>
      <c r="P105" s="1984"/>
      <c r="Q105" s="2243"/>
      <c r="R105" s="1984"/>
      <c r="S105" s="2243"/>
      <c r="T105" s="2242"/>
    </row>
    <row r="106" spans="2:20" ht="29" hidden="1" customHeight="1" outlineLevel="1" x14ac:dyDescent="0.2">
      <c r="B106" s="2724" t="s">
        <v>1502</v>
      </c>
      <c r="C106" s="2725"/>
      <c r="D106" s="2725"/>
      <c r="E106" s="2725"/>
      <c r="F106" s="2725"/>
      <c r="G106" s="2725"/>
      <c r="H106" s="2734"/>
      <c r="J106" s="2724" t="s">
        <v>2264</v>
      </c>
      <c r="K106" s="2725"/>
      <c r="L106" s="2725"/>
      <c r="M106" s="2725"/>
      <c r="N106" s="2725"/>
      <c r="O106" s="2720" t="s">
        <v>2201</v>
      </c>
      <c r="P106" s="2720"/>
      <c r="Q106" s="2720"/>
      <c r="R106" s="2720"/>
      <c r="S106" s="2720"/>
      <c r="T106" s="2721"/>
    </row>
    <row r="107" spans="2:20" ht="42" hidden="1" customHeight="1" outlineLevel="1" x14ac:dyDescent="0.2">
      <c r="B107" s="2224" t="s">
        <v>767</v>
      </c>
      <c r="C107" s="25" t="s">
        <v>487</v>
      </c>
      <c r="D107" s="25" t="s">
        <v>148</v>
      </c>
      <c r="E107" s="25" t="s">
        <v>59</v>
      </c>
      <c r="F107" s="2215"/>
      <c r="G107" s="25" t="s">
        <v>2202</v>
      </c>
      <c r="H107" s="2225" t="s">
        <v>2203</v>
      </c>
      <c r="J107" s="2724" t="s">
        <v>2204</v>
      </c>
      <c r="K107" s="2725"/>
      <c r="L107" s="2725" t="s">
        <v>2205</v>
      </c>
      <c r="M107" s="2725"/>
      <c r="N107" s="14" t="s">
        <v>2266</v>
      </c>
      <c r="O107" s="2720" t="s">
        <v>2206</v>
      </c>
      <c r="P107" s="2720"/>
      <c r="Q107" s="2720" t="s">
        <v>2207</v>
      </c>
      <c r="R107" s="2720"/>
      <c r="S107" s="2712" t="s">
        <v>2208</v>
      </c>
      <c r="T107" s="2719"/>
    </row>
    <row r="108" spans="2:20" ht="29" hidden="1" customHeight="1" outlineLevel="1" x14ac:dyDescent="0.2">
      <c r="B108" s="2213" t="s">
        <v>2235</v>
      </c>
      <c r="C108" s="2214">
        <f>'9.1 Alimentaire'!C310</f>
        <v>274.82114480413469</v>
      </c>
      <c r="D108" s="2244">
        <f>'9.1 Alimentaire'!D310</f>
        <v>1.3859999999999999</v>
      </c>
      <c r="E108" s="2215" t="s">
        <v>298</v>
      </c>
      <c r="F108" s="2215" t="s">
        <v>2191</v>
      </c>
      <c r="G108" s="2216">
        <v>0.73199999999999998</v>
      </c>
      <c r="H108" s="2217" t="s">
        <v>2236</v>
      </c>
      <c r="J108" s="2717" t="s">
        <v>2237</v>
      </c>
      <c r="K108" s="2718"/>
      <c r="L108" s="2718" t="s">
        <v>2238</v>
      </c>
      <c r="M108" s="2718"/>
      <c r="N108" s="2247">
        <f>D108*(1-8.11%)</f>
        <v>1.2735954</v>
      </c>
      <c r="O108" s="2711" t="s">
        <v>2213</v>
      </c>
      <c r="P108" s="2711"/>
      <c r="Q108" s="2711" t="s">
        <v>2214</v>
      </c>
      <c r="R108" s="2711"/>
      <c r="S108" s="2744" t="s">
        <v>2239</v>
      </c>
      <c r="T108" s="2745"/>
    </row>
    <row r="109" spans="2:20" ht="29" hidden="1" customHeight="1" outlineLevel="1" x14ac:dyDescent="0.2">
      <c r="B109" s="2231" t="s">
        <v>1473</v>
      </c>
      <c r="C109" s="2214">
        <f>'9.1 Alimentaire'!C311</f>
        <v>306.77709187438296</v>
      </c>
      <c r="D109" s="2244">
        <f>'9.1 Alimentaire'!D311</f>
        <v>1.41</v>
      </c>
      <c r="E109" s="2215" t="s">
        <v>298</v>
      </c>
      <c r="F109" s="2215" t="s">
        <v>2191</v>
      </c>
      <c r="G109" s="2216">
        <v>0.747</v>
      </c>
      <c r="H109" s="2217" t="s">
        <v>2240</v>
      </c>
      <c r="J109" s="2717" t="s">
        <v>2241</v>
      </c>
      <c r="K109" s="2718"/>
      <c r="L109" s="2718" t="s">
        <v>2242</v>
      </c>
      <c r="M109" s="2718"/>
      <c r="N109" s="2247">
        <f>D109*(1-8.5%)</f>
        <v>1.2901499999999999</v>
      </c>
      <c r="O109" s="2711" t="s">
        <v>2243</v>
      </c>
      <c r="P109" s="2711"/>
      <c r="Q109" s="2711" t="s">
        <v>2244</v>
      </c>
      <c r="R109" s="2711"/>
      <c r="S109" s="2744" t="s">
        <v>2245</v>
      </c>
      <c r="T109" s="2745"/>
    </row>
    <row r="110" spans="2:20" ht="29" hidden="1" customHeight="1" outlineLevel="1" x14ac:dyDescent="0.2">
      <c r="B110" s="2213" t="s">
        <v>2259</v>
      </c>
      <c r="C110" s="2214">
        <f>'9.1 Alimentaire'!C312</f>
        <v>1075.051851851852</v>
      </c>
      <c r="D110" s="2244">
        <f>'9.1 Alimentaire'!D312</f>
        <v>0.64</v>
      </c>
      <c r="E110" s="2215" t="s">
        <v>298</v>
      </c>
      <c r="F110" s="2215" t="s">
        <v>2191</v>
      </c>
      <c r="G110" s="2216">
        <v>0.41499999999999998</v>
      </c>
      <c r="H110" s="2232" t="s">
        <v>2246</v>
      </c>
      <c r="J110" s="2717" t="s">
        <v>2247</v>
      </c>
      <c r="K110" s="2718"/>
      <c r="L110" s="2718" t="s">
        <v>2248</v>
      </c>
      <c r="M110" s="2718"/>
      <c r="N110" s="2247">
        <f>D110*(1-2.32%)</f>
        <v>0.62515200000000004</v>
      </c>
      <c r="O110" s="2711" t="s">
        <v>2249</v>
      </c>
      <c r="P110" s="2711"/>
      <c r="Q110" s="2711" t="s">
        <v>2250</v>
      </c>
      <c r="R110" s="2711"/>
      <c r="S110" s="2744" t="s">
        <v>2251</v>
      </c>
      <c r="T110" s="2745"/>
    </row>
    <row r="111" spans="2:20" ht="29" hidden="1" customHeight="1" outlineLevel="1" thickBot="1" x14ac:dyDescent="0.25">
      <c r="B111" s="2713" t="s">
        <v>1499</v>
      </c>
      <c r="C111" s="2714"/>
      <c r="D111" s="2233">
        <v>0.79</v>
      </c>
      <c r="E111" s="2234" t="s">
        <v>298</v>
      </c>
      <c r="F111" s="2235" t="s">
        <v>2191</v>
      </c>
      <c r="G111" s="2236">
        <v>0.47949999999999998</v>
      </c>
      <c r="H111" s="2237"/>
      <c r="J111" s="2726" t="s">
        <v>2247</v>
      </c>
      <c r="K111" s="2727"/>
      <c r="L111" s="2727" t="s">
        <v>2248</v>
      </c>
      <c r="M111" s="2727"/>
      <c r="N111" s="2250">
        <f>D111*(1-4.8%)</f>
        <v>0.75207999999999997</v>
      </c>
      <c r="O111" s="2746"/>
      <c r="P111" s="2746"/>
      <c r="Q111" s="2746"/>
      <c r="R111" s="2746"/>
      <c r="S111" s="2742" t="s">
        <v>2252</v>
      </c>
      <c r="T111" s="2743"/>
    </row>
    <row r="112" spans="2:20" ht="29" hidden="1" customHeight="1" outlineLevel="1" x14ac:dyDescent="0.2"/>
    <row r="113" ht="29" hidden="1" customHeight="1" outlineLevel="1" x14ac:dyDescent="0.2"/>
    <row r="114" ht="29" customHeight="1" collapsed="1" x14ac:dyDescent="0.2"/>
    <row r="115" ht="29" customHeight="1" x14ac:dyDescent="0.2"/>
    <row r="116" ht="29" customHeight="1" x14ac:dyDescent="0.2"/>
    <row r="117" ht="29" customHeight="1" x14ac:dyDescent="0.2"/>
    <row r="118" ht="29" customHeight="1" x14ac:dyDescent="0.2"/>
    <row r="119" ht="29" customHeight="1" x14ac:dyDescent="0.2"/>
    <row r="120" ht="29" customHeight="1" x14ac:dyDescent="0.2"/>
    <row r="121" ht="29" customHeight="1" x14ac:dyDescent="0.2"/>
    <row r="122" ht="29" customHeight="1" x14ac:dyDescent="0.2"/>
    <row r="123" ht="29" customHeight="1" x14ac:dyDescent="0.2"/>
    <row r="124" ht="29" customHeight="1" x14ac:dyDescent="0.2"/>
    <row r="125" ht="29" customHeight="1" x14ac:dyDescent="0.2"/>
    <row r="126" ht="29" customHeight="1" x14ac:dyDescent="0.2"/>
    <row r="127" ht="29" customHeight="1" x14ac:dyDescent="0.2"/>
    <row r="128" ht="29" customHeight="1" x14ac:dyDescent="0.2"/>
    <row r="129" ht="29" customHeight="1" x14ac:dyDescent="0.2"/>
    <row r="130" ht="29" customHeight="1" x14ac:dyDescent="0.2"/>
    <row r="131" ht="29" customHeight="1" x14ac:dyDescent="0.2"/>
    <row r="132" ht="29" customHeight="1" x14ac:dyDescent="0.2"/>
    <row r="133" ht="29" customHeight="1" x14ac:dyDescent="0.2"/>
    <row r="134" ht="29" customHeight="1" x14ac:dyDescent="0.2"/>
    <row r="135" ht="29" customHeight="1" x14ac:dyDescent="0.2"/>
    <row r="136" ht="29" customHeight="1" x14ac:dyDescent="0.2"/>
    <row r="137" ht="29" customHeight="1" x14ac:dyDescent="0.2"/>
    <row r="138" ht="29" customHeight="1" x14ac:dyDescent="0.2"/>
    <row r="139" ht="29" customHeight="1" x14ac:dyDescent="0.2"/>
    <row r="140" ht="29" customHeight="1" x14ac:dyDescent="0.2"/>
    <row r="141" ht="29" customHeight="1" x14ac:dyDescent="0.2"/>
    <row r="142" ht="29" customHeight="1" x14ac:dyDescent="0.2"/>
    <row r="143" ht="29" customHeight="1" x14ac:dyDescent="0.2"/>
    <row r="144" ht="29" customHeight="1" x14ac:dyDescent="0.2"/>
    <row r="145" ht="29" customHeight="1" x14ac:dyDescent="0.2"/>
    <row r="146" ht="29" customHeight="1" x14ac:dyDescent="0.2"/>
    <row r="147" ht="29" customHeight="1" x14ac:dyDescent="0.2"/>
    <row r="148" ht="29" customHeight="1" x14ac:dyDescent="0.2"/>
    <row r="149" ht="29" customHeight="1" x14ac:dyDescent="0.2"/>
    <row r="150" ht="29" customHeight="1" x14ac:dyDescent="0.2"/>
    <row r="151" ht="29" customHeight="1" x14ac:dyDescent="0.2"/>
    <row r="152" ht="29" customHeight="1" x14ac:dyDescent="0.2"/>
    <row r="153" ht="29" customHeight="1" x14ac:dyDescent="0.2"/>
    <row r="154" ht="29" customHeight="1" x14ac:dyDescent="0.2"/>
    <row r="155" ht="29" customHeight="1" x14ac:dyDescent="0.2"/>
    <row r="156" ht="29" customHeight="1" x14ac:dyDescent="0.2"/>
    <row r="157" ht="29" customHeight="1" x14ac:dyDescent="0.2"/>
    <row r="158" ht="29" customHeight="1" x14ac:dyDescent="0.2"/>
    <row r="159" ht="29" customHeight="1" x14ac:dyDescent="0.2"/>
    <row r="160" ht="29" customHeight="1" x14ac:dyDescent="0.2"/>
    <row r="161" ht="29" customHeight="1" x14ac:dyDescent="0.2"/>
    <row r="162" ht="29" customHeight="1" x14ac:dyDescent="0.2"/>
    <row r="163" ht="29" customHeight="1" x14ac:dyDescent="0.2"/>
    <row r="164" ht="29" customHeight="1" x14ac:dyDescent="0.2"/>
    <row r="165" ht="29" customHeight="1" x14ac:dyDescent="0.2"/>
    <row r="166" ht="29" customHeight="1" x14ac:dyDescent="0.2"/>
    <row r="167" ht="29" customHeight="1" x14ac:dyDescent="0.2"/>
    <row r="168" ht="29" customHeight="1" x14ac:dyDescent="0.2"/>
    <row r="169" ht="29" customHeight="1" x14ac:dyDescent="0.2"/>
    <row r="170" ht="29" customHeight="1" x14ac:dyDescent="0.2"/>
    <row r="171" ht="29" customHeight="1" x14ac:dyDescent="0.2"/>
    <row r="172" ht="29" customHeight="1" x14ac:dyDescent="0.2"/>
    <row r="173" ht="29" customHeight="1" x14ac:dyDescent="0.2"/>
    <row r="174" ht="29" customHeight="1" x14ac:dyDescent="0.2"/>
    <row r="175" ht="29" customHeight="1" x14ac:dyDescent="0.2"/>
    <row r="176" ht="29" customHeight="1" x14ac:dyDescent="0.2"/>
    <row r="177" ht="29" customHeight="1" x14ac:dyDescent="0.2"/>
    <row r="178" ht="29" customHeight="1" x14ac:dyDescent="0.2"/>
    <row r="179" ht="29" customHeight="1" x14ac:dyDescent="0.2"/>
    <row r="180" ht="29" customHeight="1" x14ac:dyDescent="0.2"/>
    <row r="181" ht="29" customHeight="1" x14ac:dyDescent="0.2"/>
    <row r="182" ht="29" customHeight="1" x14ac:dyDescent="0.2"/>
    <row r="183" ht="29" customHeight="1" x14ac:dyDescent="0.2"/>
    <row r="184" ht="29" customHeight="1" x14ac:dyDescent="0.2"/>
    <row r="185" ht="29" customHeight="1" x14ac:dyDescent="0.2"/>
    <row r="186" ht="29" customHeight="1" x14ac:dyDescent="0.2"/>
    <row r="187" ht="29" customHeight="1" x14ac:dyDescent="0.2"/>
    <row r="188" ht="29" customHeight="1" x14ac:dyDescent="0.2"/>
    <row r="189" ht="29" customHeight="1" x14ac:dyDescent="0.2"/>
    <row r="190" ht="29" customHeight="1" x14ac:dyDescent="0.2"/>
    <row r="191" ht="29" customHeight="1" x14ac:dyDescent="0.2"/>
    <row r="192" ht="29" customHeight="1" x14ac:dyDescent="0.2"/>
    <row r="193" ht="29" customHeight="1" x14ac:dyDescent="0.2"/>
    <row r="194" ht="29" customHeight="1" x14ac:dyDescent="0.2"/>
    <row r="195" ht="29" customHeight="1" x14ac:dyDescent="0.2"/>
    <row r="196" ht="29" customHeight="1" x14ac:dyDescent="0.2"/>
    <row r="197" ht="29" customHeight="1" x14ac:dyDescent="0.2"/>
    <row r="198" ht="29" customHeight="1" x14ac:dyDescent="0.2"/>
    <row r="199" ht="29" customHeight="1" x14ac:dyDescent="0.2"/>
    <row r="200" ht="29" customHeight="1" x14ac:dyDescent="0.2"/>
    <row r="201" ht="29" customHeight="1" x14ac:dyDescent="0.2"/>
    <row r="202" ht="29" customHeight="1" x14ac:dyDescent="0.2"/>
    <row r="203" ht="29" customHeight="1" x14ac:dyDescent="0.2"/>
    <row r="204" ht="29" customHeight="1" x14ac:dyDescent="0.2"/>
    <row r="205" ht="29" customHeight="1" x14ac:dyDescent="0.2"/>
    <row r="206" ht="29" customHeight="1" x14ac:dyDescent="0.2"/>
    <row r="207" ht="29" customHeight="1" x14ac:dyDescent="0.2"/>
    <row r="208" ht="29" customHeight="1" x14ac:dyDescent="0.2"/>
    <row r="209" ht="29" customHeight="1" x14ac:dyDescent="0.2"/>
    <row r="210" ht="29" customHeight="1" x14ac:dyDescent="0.2"/>
    <row r="211" ht="29" customHeight="1" x14ac:dyDescent="0.2"/>
    <row r="212" ht="29" customHeight="1" x14ac:dyDescent="0.2"/>
    <row r="213" ht="29" customHeight="1" x14ac:dyDescent="0.2"/>
    <row r="214" ht="29" customHeight="1" x14ac:dyDescent="0.2"/>
    <row r="215" ht="29" customHeight="1" x14ac:dyDescent="0.2"/>
    <row r="216" ht="29" customHeight="1" x14ac:dyDescent="0.2"/>
    <row r="217" ht="29" customHeight="1" x14ac:dyDescent="0.2"/>
    <row r="218" ht="29" customHeight="1" x14ac:dyDescent="0.2"/>
    <row r="219" ht="29" customHeight="1" x14ac:dyDescent="0.2"/>
    <row r="220" ht="29" customHeight="1" x14ac:dyDescent="0.2"/>
    <row r="221" ht="29" customHeight="1" x14ac:dyDescent="0.2"/>
    <row r="222" ht="29" customHeight="1" x14ac:dyDescent="0.2"/>
    <row r="223" ht="29" customHeight="1" x14ac:dyDescent="0.2"/>
    <row r="224" ht="29" customHeight="1" x14ac:dyDescent="0.2"/>
    <row r="225" ht="29" customHeight="1" x14ac:dyDescent="0.2"/>
    <row r="226" ht="29" customHeight="1" x14ac:dyDescent="0.2"/>
    <row r="227" ht="29" customHeight="1" x14ac:dyDescent="0.2"/>
    <row r="228" ht="29" customHeight="1" x14ac:dyDescent="0.2"/>
  </sheetData>
  <mergeCells count="88">
    <mergeCell ref="O111:P111"/>
    <mergeCell ref="O110:P110"/>
    <mergeCell ref="O109:P109"/>
    <mergeCell ref="O108:P108"/>
    <mergeCell ref="O107:P107"/>
    <mergeCell ref="Q111:R111"/>
    <mergeCell ref="Q110:R110"/>
    <mergeCell ref="Q109:R109"/>
    <mergeCell ref="Q108:R108"/>
    <mergeCell ref="Q107:R107"/>
    <mergeCell ref="S111:T111"/>
    <mergeCell ref="S110:T110"/>
    <mergeCell ref="S109:T109"/>
    <mergeCell ref="S108:T108"/>
    <mergeCell ref="S107:T107"/>
    <mergeCell ref="L111:M111"/>
    <mergeCell ref="L110:M110"/>
    <mergeCell ref="L109:M109"/>
    <mergeCell ref="L108:M108"/>
    <mergeCell ref="L107:M107"/>
    <mergeCell ref="J109:K109"/>
    <mergeCell ref="J108:K108"/>
    <mergeCell ref="J107:K107"/>
    <mergeCell ref="J102:K102"/>
    <mergeCell ref="J106:N106"/>
    <mergeCell ref="S98:T98"/>
    <mergeCell ref="S97:T97"/>
    <mergeCell ref="S96:T96"/>
    <mergeCell ref="S95:T95"/>
    <mergeCell ref="S94:T94"/>
    <mergeCell ref="B92:H92"/>
    <mergeCell ref="B93:H93"/>
    <mergeCell ref="B100:H100"/>
    <mergeCell ref="B106:H106"/>
    <mergeCell ref="J94:K94"/>
    <mergeCell ref="J98:K98"/>
    <mergeCell ref="J97:K97"/>
    <mergeCell ref="J96:K96"/>
    <mergeCell ref="J95:K95"/>
    <mergeCell ref="B104:C104"/>
    <mergeCell ref="J92:T92"/>
    <mergeCell ref="O93:T93"/>
    <mergeCell ref="J93:N93"/>
    <mergeCell ref="J101:K101"/>
    <mergeCell ref="L102:M102"/>
    <mergeCell ref="L101:M101"/>
    <mergeCell ref="L94:M94"/>
    <mergeCell ref="L98:M98"/>
    <mergeCell ref="L97:M97"/>
    <mergeCell ref="L96:M96"/>
    <mergeCell ref="L95:M95"/>
    <mergeCell ref="B111:C111"/>
    <mergeCell ref="B98:C98"/>
    <mergeCell ref="O98:P98"/>
    <mergeCell ref="O97:P97"/>
    <mergeCell ref="O96:P96"/>
    <mergeCell ref="J110:K110"/>
    <mergeCell ref="O100:T100"/>
    <mergeCell ref="O106:T106"/>
    <mergeCell ref="O101:P101"/>
    <mergeCell ref="S102:T102"/>
    <mergeCell ref="Q102:R102"/>
    <mergeCell ref="O102:P102"/>
    <mergeCell ref="Q101:R101"/>
    <mergeCell ref="S101:T101"/>
    <mergeCell ref="J100:N100"/>
    <mergeCell ref="J111:K111"/>
    <mergeCell ref="O95:P95"/>
    <mergeCell ref="O94:P94"/>
    <mergeCell ref="Q98:R98"/>
    <mergeCell ref="Q97:R97"/>
    <mergeCell ref="Q96:R96"/>
    <mergeCell ref="Q95:R95"/>
    <mergeCell ref="Q94:R94"/>
    <mergeCell ref="H19:K19"/>
    <mergeCell ref="E64:E66"/>
    <mergeCell ref="C26:E26"/>
    <mergeCell ref="B22:B32"/>
    <mergeCell ref="C22:E22"/>
    <mergeCell ref="C37:E37"/>
    <mergeCell ref="B33:B43"/>
    <mergeCell ref="C33:E33"/>
    <mergeCell ref="E62:E63"/>
    <mergeCell ref="B2:D2"/>
    <mergeCell ref="B5:D5"/>
    <mergeCell ref="C8:D8"/>
    <mergeCell ref="B20:B21"/>
    <mergeCell ref="E79:E81"/>
  </mergeCells>
  <conditionalFormatting sqref="D9">
    <cfRule type="containsText" dxfId="154" priority="1" operator="containsText" text="Pas ok">
      <formula>NOT(ISERROR(SEARCH("Pas ok",D9)))</formula>
    </cfRule>
    <cfRule type="containsText" dxfId="153" priority="2" operator="containsText" text="Calcul brouillon, ordre de grandeur">
      <formula>NOT(ISERROR(SEARCH("Calcul brouillon, ordre de grandeur",D9)))</formula>
    </cfRule>
    <cfRule type="containsText" dxfId="152" priority="3" operator="containsText" text="Bon ordre de grandeur">
      <formula>NOT(ISERROR(SEARCH("Bon ordre de grandeur",D9)))</formula>
    </cfRule>
    <cfRule type="containsText" dxfId="151" priority="4" operator="containsText" text="Calcul validé">
      <formula>NOT(ISERROR(SEARCH("Calcul validé",D9)))</formula>
    </cfRule>
    <cfRule type="containsText" dxfId="150" priority="5" operator="containsText" text="Pas ok">
      <formula>NOT(ISERROR(SEARCH("Pas ok",D9)))</formula>
    </cfRule>
    <cfRule type="containsText" dxfId="149" priority="6" operator="containsText" text="Calcul brouillon, ordre de grandeur">
      <formula>NOT(ISERROR(SEARCH("Calcul brouillon, ordre de grandeur",D9)))</formula>
    </cfRule>
    <cfRule type="containsText" dxfId="148" priority="7" operator="containsText" text="Bon ordre de grandeur">
      <formula>NOT(ISERROR(SEARCH("Bon ordre de grandeur",D9)))</formula>
    </cfRule>
    <cfRule type="containsText" dxfId="147" priority="8" operator="containsText" text="Calcul validé">
      <formula>NOT(ISERROR(SEARCH("Calcul validé",D9)))</formula>
    </cfRule>
  </conditionalFormatting>
  <conditionalFormatting sqref="D9:E9">
    <cfRule type="containsText" dxfId="146" priority="9" operator="containsText" text="Calcul brouillon, odg">
      <formula>NOT(ISERROR(SEARCH("Calcul brouillon, odg",D9)))</formula>
    </cfRule>
  </conditionalFormatting>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B2:S279"/>
  <sheetViews>
    <sheetView zoomScale="63" workbookViewId="0">
      <selection activeCell="K23" sqref="K23"/>
    </sheetView>
  </sheetViews>
  <sheetFormatPr baseColWidth="10" defaultColWidth="10.85546875" defaultRowHeight="16" outlineLevelRow="1" x14ac:dyDescent="0.2"/>
  <cols>
    <col min="1" max="1" width="10.85546875" style="2"/>
    <col min="2" max="2" width="34.85546875" style="2" customWidth="1"/>
    <col min="3" max="3" width="17.5703125" style="2" customWidth="1"/>
    <col min="4" max="5" width="19.140625" style="2" customWidth="1"/>
    <col min="6" max="6" width="20.5703125" style="2" customWidth="1"/>
    <col min="7" max="7" width="14.7109375" style="2" customWidth="1"/>
    <col min="8" max="8" width="38.28515625" style="2" customWidth="1"/>
    <col min="9" max="11" width="18" style="2" customWidth="1"/>
    <col min="12" max="12" width="27.42578125" style="2" customWidth="1"/>
    <col min="13" max="13" width="15.28515625" style="2" customWidth="1"/>
    <col min="14" max="14" width="21.42578125" style="2" customWidth="1"/>
    <col min="15" max="15" width="21.140625" style="2" customWidth="1"/>
    <col min="16" max="16" width="18.85546875" style="2" customWidth="1"/>
    <col min="17" max="17" width="12.5703125" style="2" customWidth="1"/>
    <col min="18" max="18" width="61.42578125" style="2" customWidth="1"/>
    <col min="19" max="19" width="32.140625" style="2" customWidth="1"/>
    <col min="20" max="20" width="10.85546875" style="2"/>
    <col min="21" max="21" width="11.140625" style="2" customWidth="1"/>
    <col min="22" max="16384" width="10.85546875" style="2"/>
  </cols>
  <sheetData>
    <row r="2" spans="2:17" ht="31" customHeight="1" x14ac:dyDescent="0.2">
      <c r="B2" s="2559" t="s">
        <v>489</v>
      </c>
      <c r="C2" s="2561"/>
    </row>
    <row r="3" spans="2:17" ht="21" customHeight="1" thickBot="1" x14ac:dyDescent="0.25"/>
    <row r="4" spans="2:17" ht="21" customHeight="1" thickBot="1" x14ac:dyDescent="0.25">
      <c r="B4" s="2751" t="s">
        <v>17</v>
      </c>
      <c r="C4" s="2752"/>
      <c r="D4" s="2753"/>
    </row>
    <row r="5" spans="2:17" ht="20" customHeight="1" x14ac:dyDescent="0.2">
      <c r="B5" s="320" t="s">
        <v>18</v>
      </c>
      <c r="C5" s="1015">
        <f>C65</f>
        <v>2949.1473584494197</v>
      </c>
      <c r="D5" s="57" t="s">
        <v>19</v>
      </c>
    </row>
    <row r="6" spans="2:17" ht="20" customHeight="1" x14ac:dyDescent="0.2">
      <c r="B6" s="442" t="s">
        <v>20</v>
      </c>
      <c r="C6" s="2747" t="str">
        <f>C9</f>
        <v>vFinale</v>
      </c>
      <c r="D6" s="2748"/>
    </row>
    <row r="7" spans="2:17" ht="20" customHeight="1" thickBot="1" x14ac:dyDescent="0.25">
      <c r="B7" s="321" t="s">
        <v>21</v>
      </c>
      <c r="C7" s="2749"/>
      <c r="D7" s="2750"/>
    </row>
    <row r="8" spans="2:17" ht="20" customHeight="1" thickBot="1" x14ac:dyDescent="0.25">
      <c r="D8" s="630"/>
      <c r="E8" s="630"/>
      <c r="K8" s="323"/>
      <c r="L8" s="323"/>
      <c r="M8" s="323"/>
      <c r="N8" s="323"/>
      <c r="O8" s="323"/>
      <c r="P8" s="323"/>
      <c r="Q8" s="323"/>
    </row>
    <row r="9" spans="2:17" ht="20" customHeight="1" x14ac:dyDescent="0.2">
      <c r="B9" s="979" t="s">
        <v>22</v>
      </c>
      <c r="C9" s="2661" t="s">
        <v>1602</v>
      </c>
      <c r="D9" s="2662"/>
      <c r="E9" s="1606"/>
      <c r="F9" s="1606"/>
      <c r="G9" s="1606"/>
      <c r="H9" s="1606"/>
      <c r="I9" s="1606"/>
      <c r="J9" s="1606"/>
      <c r="K9" s="1606"/>
      <c r="L9" s="1606"/>
      <c r="M9" s="1606"/>
      <c r="N9" s="1606"/>
      <c r="O9" s="1606"/>
      <c r="P9" s="1606"/>
      <c r="Q9" s="1607"/>
    </row>
    <row r="10" spans="2:17" ht="20" customHeight="1" thickBot="1" x14ac:dyDescent="0.25">
      <c r="B10" s="980" t="s">
        <v>1905</v>
      </c>
      <c r="C10" s="1016">
        <f>C5/'ANNEXE A'!$C$248</f>
        <v>2.0255132956383375</v>
      </c>
      <c r="D10" s="977" t="s">
        <v>24</v>
      </c>
      <c r="E10" s="1608"/>
      <c r="F10" s="1608"/>
      <c r="G10" s="1608"/>
      <c r="H10" s="1608"/>
      <c r="I10" s="1608"/>
      <c r="J10" s="1608"/>
      <c r="K10" s="1608"/>
      <c r="L10" s="1608"/>
      <c r="M10" s="1608"/>
      <c r="N10" s="1608"/>
      <c r="O10" s="1608"/>
      <c r="P10" s="1608"/>
      <c r="Q10" s="1609"/>
    </row>
    <row r="11" spans="2:17" ht="20" customHeight="1" thickBot="1" x14ac:dyDescent="0.25">
      <c r="B11" s="1610"/>
      <c r="C11" s="1611"/>
      <c r="D11" s="1611"/>
      <c r="E11" s="1611"/>
      <c r="F11" s="1611"/>
      <c r="G11" s="1611"/>
      <c r="H11" s="1611"/>
      <c r="I11" s="1611"/>
      <c r="J11" s="1611"/>
      <c r="K11" s="1611"/>
      <c r="L11" s="1611"/>
      <c r="M11" s="1611"/>
      <c r="N11" s="1611"/>
      <c r="O11" s="1611"/>
      <c r="P11" s="1611"/>
      <c r="Q11" s="1612"/>
    </row>
    <row r="12" spans="2:17" ht="23" customHeight="1" x14ac:dyDescent="0.2">
      <c r="B12" s="2642" t="s">
        <v>25</v>
      </c>
      <c r="C12" s="2643"/>
      <c r="D12" s="2643"/>
      <c r="E12" s="2643"/>
      <c r="F12" s="2643"/>
      <c r="G12" s="2643"/>
      <c r="H12" s="2643"/>
      <c r="I12" s="2643"/>
      <c r="J12" s="2643"/>
      <c r="K12" s="2643"/>
      <c r="L12" s="2643"/>
      <c r="M12" s="2643"/>
      <c r="N12" s="2643"/>
      <c r="O12" s="2643"/>
      <c r="P12" s="2643"/>
      <c r="Q12" s="2644"/>
    </row>
    <row r="13" spans="2:17" ht="34" customHeight="1" x14ac:dyDescent="0.2">
      <c r="B13" s="69" t="s">
        <v>26</v>
      </c>
      <c r="C13" s="2574" t="s">
        <v>1921</v>
      </c>
      <c r="D13" s="2575"/>
      <c r="E13" s="2575"/>
      <c r="F13" s="2575"/>
      <c r="G13" s="2575"/>
      <c r="H13" s="2575"/>
      <c r="I13" s="2575"/>
      <c r="J13" s="2575"/>
      <c r="K13" s="2575"/>
      <c r="L13" s="2575"/>
      <c r="M13" s="2575"/>
      <c r="N13" s="2575"/>
      <c r="O13" s="2575"/>
      <c r="P13" s="2575"/>
      <c r="Q13" s="2576"/>
    </row>
    <row r="14" spans="2:17" ht="55" customHeight="1" x14ac:dyDescent="0.2">
      <c r="B14" s="70" t="s">
        <v>27</v>
      </c>
      <c r="C14" s="2577" t="s">
        <v>1973</v>
      </c>
      <c r="D14" s="2578"/>
      <c r="E14" s="2578"/>
      <c r="F14" s="2578"/>
      <c r="G14" s="2578"/>
      <c r="H14" s="2578"/>
      <c r="I14" s="2578"/>
      <c r="J14" s="2578"/>
      <c r="K14" s="2578"/>
      <c r="L14" s="2578"/>
      <c r="M14" s="2578"/>
      <c r="N14" s="2578"/>
      <c r="O14" s="2578"/>
      <c r="P14" s="2578"/>
      <c r="Q14" s="2579"/>
    </row>
    <row r="15" spans="2:17" ht="47" customHeight="1" x14ac:dyDescent="0.2">
      <c r="B15" s="70" t="s">
        <v>28</v>
      </c>
      <c r="C15" s="2600" t="s">
        <v>1609</v>
      </c>
      <c r="D15" s="2578"/>
      <c r="E15" s="2578"/>
      <c r="F15" s="2578"/>
      <c r="G15" s="2578"/>
      <c r="H15" s="2578"/>
      <c r="I15" s="2578"/>
      <c r="J15" s="2578"/>
      <c r="K15" s="2578"/>
      <c r="L15" s="2578"/>
      <c r="M15" s="2578"/>
      <c r="N15" s="2578"/>
      <c r="O15" s="2578"/>
      <c r="P15" s="2578"/>
      <c r="Q15" s="2579"/>
    </row>
    <row r="16" spans="2:17" ht="40" customHeight="1" x14ac:dyDescent="0.2">
      <c r="B16" s="70" t="s">
        <v>29</v>
      </c>
      <c r="C16" s="2577" t="s">
        <v>1974</v>
      </c>
      <c r="D16" s="2578"/>
      <c r="E16" s="2578"/>
      <c r="F16" s="2578"/>
      <c r="G16" s="2578"/>
      <c r="H16" s="2578"/>
      <c r="I16" s="2578"/>
      <c r="J16" s="2578"/>
      <c r="K16" s="2578"/>
      <c r="L16" s="2578"/>
      <c r="M16" s="2578"/>
      <c r="N16" s="2578"/>
      <c r="O16" s="2578"/>
      <c r="P16" s="2578"/>
      <c r="Q16" s="2579"/>
    </row>
    <row r="17" spans="2:19" ht="38" customHeight="1" x14ac:dyDescent="0.2">
      <c r="B17" s="70" t="s">
        <v>30</v>
      </c>
      <c r="C17" s="2600" t="s">
        <v>490</v>
      </c>
      <c r="D17" s="2578"/>
      <c r="E17" s="2578"/>
      <c r="F17" s="2578"/>
      <c r="G17" s="2578"/>
      <c r="H17" s="2578"/>
      <c r="I17" s="2578"/>
      <c r="J17" s="2578"/>
      <c r="K17" s="2578"/>
      <c r="L17" s="2578"/>
      <c r="M17" s="2578"/>
      <c r="N17" s="2578"/>
      <c r="O17" s="2578"/>
      <c r="P17" s="2578"/>
      <c r="Q17" s="2579"/>
    </row>
    <row r="18" spans="2:19" ht="20" customHeight="1" x14ac:dyDescent="0.2">
      <c r="B18" s="70" t="s">
        <v>31</v>
      </c>
      <c r="C18" s="2600" t="s">
        <v>491</v>
      </c>
      <c r="D18" s="2578"/>
      <c r="E18" s="2578"/>
      <c r="F18" s="2578"/>
      <c r="G18" s="2578"/>
      <c r="H18" s="2578"/>
      <c r="I18" s="2578"/>
      <c r="J18" s="2578"/>
      <c r="K18" s="2578"/>
      <c r="L18" s="2578"/>
      <c r="M18" s="2578"/>
      <c r="N18" s="2578"/>
      <c r="O18" s="2578"/>
      <c r="P18" s="2578"/>
      <c r="Q18" s="2579"/>
      <c r="S18" s="1613"/>
    </row>
    <row r="19" spans="2:19" ht="40" customHeight="1" x14ac:dyDescent="0.2">
      <c r="B19" s="71" t="s">
        <v>33</v>
      </c>
      <c r="C19" s="2580" t="s">
        <v>492</v>
      </c>
      <c r="D19" s="2581"/>
      <c r="E19" s="2581"/>
      <c r="F19" s="2581"/>
      <c r="G19" s="2581"/>
      <c r="H19" s="2581"/>
      <c r="I19" s="2581"/>
      <c r="J19" s="2581"/>
      <c r="K19" s="2581"/>
      <c r="L19" s="2581"/>
      <c r="M19" s="2581"/>
      <c r="N19" s="2581"/>
      <c r="O19" s="2581"/>
      <c r="P19" s="2581"/>
      <c r="Q19" s="2582"/>
    </row>
    <row r="20" spans="2:19" ht="25" customHeight="1" x14ac:dyDescent="0.2"/>
    <row r="21" spans="2:19" ht="25" customHeight="1" x14ac:dyDescent="0.2">
      <c r="B21" s="433" t="s">
        <v>1353</v>
      </c>
      <c r="C21" s="1254"/>
      <c r="D21" s="1254"/>
      <c r="E21" s="1254"/>
      <c r="F21" s="1254"/>
      <c r="G21" s="1254"/>
      <c r="H21" s="1254"/>
      <c r="I21" s="1254"/>
      <c r="J21" s="1254"/>
      <c r="K21" s="1254"/>
      <c r="L21" s="1254"/>
      <c r="M21" s="1254"/>
      <c r="N21" s="1254"/>
      <c r="O21" s="1254"/>
      <c r="P21" s="1254"/>
      <c r="Q21" s="1254"/>
    </row>
    <row r="22" spans="2:19" ht="22" customHeight="1" x14ac:dyDescent="0.2">
      <c r="B22" s="433"/>
      <c r="C22" s="1254"/>
      <c r="D22" s="1254"/>
      <c r="E22" s="1254"/>
      <c r="F22" s="1254"/>
      <c r="G22" s="1254"/>
      <c r="H22" s="1254"/>
      <c r="I22" s="1254"/>
      <c r="J22" s="1254"/>
      <c r="K22" s="1254"/>
      <c r="L22" s="1254"/>
      <c r="M22" s="1254"/>
      <c r="N22" s="1254"/>
      <c r="O22" s="1254"/>
      <c r="P22" s="1254"/>
      <c r="Q22" s="1254"/>
    </row>
    <row r="23" spans="2:19" ht="22" customHeight="1" x14ac:dyDescent="0.2">
      <c r="B23" s="430" t="s">
        <v>1895</v>
      </c>
      <c r="C23" s="1254"/>
      <c r="D23" s="1254"/>
      <c r="E23" s="1254"/>
      <c r="F23" s="1254"/>
      <c r="G23" s="1254"/>
      <c r="H23" s="1254"/>
      <c r="I23" s="1254"/>
      <c r="J23" s="1254"/>
      <c r="K23" s="2326"/>
      <c r="L23" s="1254"/>
      <c r="M23" s="1254"/>
      <c r="N23" s="1254"/>
      <c r="O23" s="1254"/>
      <c r="P23" s="1254"/>
      <c r="Q23" s="1254"/>
    </row>
    <row r="24" spans="2:19" ht="22" customHeight="1" x14ac:dyDescent="0.2">
      <c r="B24" s="55" t="s">
        <v>1920</v>
      </c>
      <c r="C24" s="1254"/>
      <c r="D24" s="1254"/>
      <c r="E24" s="1254"/>
      <c r="F24" s="1254"/>
      <c r="G24" s="1254"/>
      <c r="H24" s="1254"/>
      <c r="I24" s="1254"/>
      <c r="J24" s="1254"/>
      <c r="K24" s="1254"/>
      <c r="L24" s="1254"/>
      <c r="M24" s="1254"/>
      <c r="N24" s="1254"/>
      <c r="O24" s="1254"/>
      <c r="P24" s="1254"/>
      <c r="Q24" s="1254"/>
    </row>
    <row r="25" spans="2:19" ht="22" customHeight="1" x14ac:dyDescent="0.2">
      <c r="B25" s="433"/>
      <c r="C25" s="1254"/>
      <c r="D25" s="1254"/>
      <c r="E25" s="1254"/>
      <c r="F25" s="1254"/>
      <c r="G25" s="1254"/>
      <c r="H25" s="1254"/>
      <c r="I25" s="1254"/>
      <c r="J25" s="1254"/>
      <c r="K25" s="1254"/>
      <c r="L25" s="1254"/>
      <c r="M25" s="1254"/>
      <c r="N25" s="1254"/>
      <c r="O25" s="1254"/>
      <c r="P25" s="1254"/>
      <c r="Q25" s="1254"/>
    </row>
    <row r="26" spans="2:19" ht="25" customHeight="1" x14ac:dyDescent="0.2">
      <c r="B26" s="81" t="s">
        <v>942</v>
      </c>
      <c r="C26" s="78">
        <f>'ANNEXE A'!$C$242</f>
        <v>13000</v>
      </c>
      <c r="D26" s="2756"/>
      <c r="E26" s="2757"/>
      <c r="F26" s="1254"/>
      <c r="G26" s="1254"/>
      <c r="H26" s="1254"/>
      <c r="I26" s="1254"/>
      <c r="J26" s="1254"/>
      <c r="K26" s="1254"/>
      <c r="L26" s="1254"/>
      <c r="M26" s="1254"/>
      <c r="N26" s="1254"/>
      <c r="O26" s="1254"/>
      <c r="P26" s="1254"/>
      <c r="Q26" s="1254"/>
    </row>
    <row r="27" spans="2:19" ht="32" customHeight="1" x14ac:dyDescent="0.2">
      <c r="B27" s="9" t="s">
        <v>494</v>
      </c>
      <c r="C27" s="1614">
        <f>C26*2.5%</f>
        <v>325</v>
      </c>
      <c r="D27" s="2758" t="s">
        <v>495</v>
      </c>
      <c r="E27" s="2759"/>
      <c r="F27" s="1254"/>
      <c r="G27" s="1254"/>
      <c r="H27" s="1254"/>
      <c r="I27" s="1254"/>
      <c r="J27" s="1254"/>
      <c r="K27" s="1254"/>
      <c r="L27" s="1254"/>
      <c r="M27" s="1254"/>
      <c r="N27" s="1254"/>
      <c r="O27" s="1254"/>
      <c r="P27" s="1254"/>
      <c r="Q27" s="1254"/>
    </row>
    <row r="28" spans="2:19" ht="22" customHeight="1" x14ac:dyDescent="0.2">
      <c r="B28" s="55"/>
      <c r="C28" s="1615"/>
      <c r="D28" s="1616"/>
      <c r="E28" s="1616"/>
      <c r="F28" s="1254"/>
      <c r="G28" s="1254"/>
      <c r="H28" s="1254"/>
      <c r="I28" s="1254"/>
      <c r="J28" s="1254"/>
      <c r="K28" s="1254"/>
      <c r="L28" s="1254"/>
      <c r="M28" s="1254"/>
      <c r="N28" s="1254"/>
      <c r="O28" s="1254"/>
      <c r="P28" s="1254"/>
      <c r="Q28" s="1254"/>
    </row>
    <row r="29" spans="2:19" ht="22" customHeight="1" x14ac:dyDescent="0.2">
      <c r="B29" s="55"/>
      <c r="C29" s="1617"/>
      <c r="D29" s="1616"/>
      <c r="E29" s="1616"/>
      <c r="F29" s="1254"/>
      <c r="G29" s="1254"/>
      <c r="H29" s="1254"/>
      <c r="I29" s="1254"/>
      <c r="J29" s="1254"/>
      <c r="K29" s="1254"/>
      <c r="L29" s="1254"/>
      <c r="M29" s="1254"/>
      <c r="N29" s="1254"/>
      <c r="O29" s="1254"/>
      <c r="P29" s="1254"/>
      <c r="Q29" s="1254"/>
    </row>
    <row r="30" spans="2:19" ht="28" customHeight="1" x14ac:dyDescent="0.2">
      <c r="B30" s="325" t="s">
        <v>1922</v>
      </c>
      <c r="L30" s="1613"/>
      <c r="R30" s="1613"/>
      <c r="S30" s="1613"/>
    </row>
    <row r="31" spans="2:19" ht="22" customHeight="1" x14ac:dyDescent="0.2"/>
    <row r="32" spans="2:19" ht="34" x14ac:dyDescent="0.2">
      <c r="B32" s="60" t="s">
        <v>497</v>
      </c>
      <c r="C32" s="74" t="s">
        <v>498</v>
      </c>
      <c r="D32" s="74" t="s">
        <v>60</v>
      </c>
      <c r="E32" s="74" t="s">
        <v>59</v>
      </c>
      <c r="F32" s="74" t="s">
        <v>13</v>
      </c>
      <c r="G32" s="74" t="s">
        <v>59</v>
      </c>
      <c r="H32" s="530" t="s">
        <v>499</v>
      </c>
    </row>
    <row r="33" spans="2:10" ht="31" customHeight="1" x14ac:dyDescent="0.2">
      <c r="B33" s="76" t="s">
        <v>501</v>
      </c>
      <c r="C33" s="457">
        <f>C143*$C$26</f>
        <v>41.433718025547286</v>
      </c>
      <c r="D33" s="77">
        <f>C93</f>
        <v>5.5</v>
      </c>
      <c r="E33" s="81" t="s">
        <v>502</v>
      </c>
      <c r="F33" s="329">
        <f t="shared" ref="F33:F36" si="0">(C33*D33)</f>
        <v>227.88544914051008</v>
      </c>
      <c r="G33" s="81" t="s">
        <v>15</v>
      </c>
      <c r="H33" s="2654" t="s">
        <v>1921</v>
      </c>
    </row>
    <row r="34" spans="2:10" ht="31" customHeight="1" x14ac:dyDescent="0.2">
      <c r="B34" s="81" t="s">
        <v>503</v>
      </c>
      <c r="C34" s="457">
        <f>$C$26*($C$143/2)</f>
        <v>20.716859012773643</v>
      </c>
      <c r="D34" s="77">
        <f>$C$91</f>
        <v>27.4</v>
      </c>
      <c r="E34" s="81" t="s">
        <v>502</v>
      </c>
      <c r="F34" s="329">
        <f t="shared" si="0"/>
        <v>567.64193694999778</v>
      </c>
      <c r="G34" s="81" t="s">
        <v>15</v>
      </c>
      <c r="H34" s="2655"/>
    </row>
    <row r="35" spans="2:10" ht="31" customHeight="1" x14ac:dyDescent="0.2">
      <c r="B35" s="87" t="s">
        <v>505</v>
      </c>
      <c r="C35" s="457">
        <f>$C$26*($C$143/2)</f>
        <v>20.716859012773643</v>
      </c>
      <c r="D35" s="77">
        <f>$C$92</f>
        <v>8.1</v>
      </c>
      <c r="E35" s="81" t="s">
        <v>502</v>
      </c>
      <c r="F35" s="329">
        <f t="shared" si="0"/>
        <v>167.80655800346651</v>
      </c>
      <c r="G35" s="81" t="s">
        <v>15</v>
      </c>
      <c r="H35" s="2655"/>
    </row>
    <row r="36" spans="2:10" ht="32" customHeight="1" x14ac:dyDescent="0.2">
      <c r="B36" s="87" t="s">
        <v>511</v>
      </c>
      <c r="C36" s="457">
        <f>$C$26*($C$143/2)</f>
        <v>20.716859012773643</v>
      </c>
      <c r="D36" s="77">
        <f>$C$99</f>
        <v>5.1000000000000005</v>
      </c>
      <c r="E36" s="81" t="s">
        <v>502</v>
      </c>
      <c r="F36" s="329">
        <f t="shared" si="0"/>
        <v>105.65598096514559</v>
      </c>
      <c r="G36" s="81" t="s">
        <v>15</v>
      </c>
      <c r="H36" s="2656"/>
    </row>
    <row r="37" spans="2:10" ht="22" customHeight="1" x14ac:dyDescent="0.2">
      <c r="I37" s="558"/>
      <c r="J37" s="558"/>
    </row>
    <row r="38" spans="2:10" ht="22" customHeight="1" x14ac:dyDescent="0.2">
      <c r="I38" s="558"/>
      <c r="J38" s="558"/>
    </row>
    <row r="39" spans="2:10" ht="28" customHeight="1" x14ac:dyDescent="0.2">
      <c r="B39" s="325" t="s">
        <v>1354</v>
      </c>
      <c r="I39" s="558"/>
      <c r="J39" s="558"/>
    </row>
    <row r="40" spans="2:10" ht="26" customHeight="1" x14ac:dyDescent="0.2"/>
    <row r="41" spans="2:10" ht="26" customHeight="1" x14ac:dyDescent="0.2">
      <c r="B41" s="60" t="s">
        <v>497</v>
      </c>
      <c r="C41" s="60" t="s">
        <v>528</v>
      </c>
      <c r="D41" s="74" t="s">
        <v>60</v>
      </c>
      <c r="E41" s="60" t="s">
        <v>59</v>
      </c>
      <c r="F41" s="60" t="s">
        <v>13</v>
      </c>
      <c r="G41" s="74" t="s">
        <v>59</v>
      </c>
      <c r="H41" s="475" t="s">
        <v>499</v>
      </c>
    </row>
    <row r="42" spans="2:10" ht="26" customHeight="1" x14ac:dyDescent="0.2">
      <c r="B42" s="81" t="s">
        <v>530</v>
      </c>
      <c r="C42" s="78">
        <f>C27*30%</f>
        <v>97.5</v>
      </c>
      <c r="D42" s="91">
        <f>C94</f>
        <v>9.91</v>
      </c>
      <c r="E42" s="81" t="s">
        <v>15</v>
      </c>
      <c r="F42" s="329">
        <f>(C42*D42)</f>
        <v>966.22500000000002</v>
      </c>
      <c r="G42" s="81" t="s">
        <v>15</v>
      </c>
      <c r="H42" s="5"/>
    </row>
    <row r="43" spans="2:10" ht="26" customHeight="1" x14ac:dyDescent="0.2"/>
    <row r="44" spans="2:10" ht="26" customHeight="1" x14ac:dyDescent="0.2"/>
    <row r="45" spans="2:10" ht="28" customHeight="1" x14ac:dyDescent="0.2">
      <c r="B45" s="325" t="s">
        <v>1358</v>
      </c>
      <c r="C45" s="326"/>
      <c r="D45" s="326"/>
    </row>
    <row r="46" spans="2:10" ht="28" customHeight="1" x14ac:dyDescent="0.2">
      <c r="B46" s="325"/>
      <c r="C46" s="326"/>
      <c r="D46" s="326"/>
    </row>
    <row r="47" spans="2:10" ht="28" customHeight="1" x14ac:dyDescent="0.2">
      <c r="B47" s="1598" t="s">
        <v>1365</v>
      </c>
      <c r="C47" s="326"/>
      <c r="D47" s="326"/>
    </row>
    <row r="48" spans="2:10" ht="26" customHeight="1" x14ac:dyDescent="0.2">
      <c r="B48" s="55" t="s">
        <v>1351</v>
      </c>
      <c r="C48" s="55"/>
      <c r="D48" s="55"/>
    </row>
    <row r="49" spans="2:8" ht="26" customHeight="1" thickBot="1" x14ac:dyDescent="0.25">
      <c r="B49" s="55"/>
      <c r="C49" s="55"/>
      <c r="D49" s="55"/>
    </row>
    <row r="50" spans="2:8" ht="32" customHeight="1" thickBot="1" x14ac:dyDescent="0.25">
      <c r="B50" s="871"/>
      <c r="C50" s="870" t="s">
        <v>124</v>
      </c>
      <c r="D50" s="869" t="s">
        <v>1360</v>
      </c>
      <c r="E50" s="869" t="s">
        <v>1611</v>
      </c>
      <c r="F50" s="869" t="s">
        <v>58</v>
      </c>
      <c r="G50" s="872" t="s">
        <v>1612</v>
      </c>
      <c r="H50" s="879" t="s">
        <v>1610</v>
      </c>
    </row>
    <row r="51" spans="2:8" ht="26" customHeight="1" x14ac:dyDescent="0.2">
      <c r="B51" s="2766" t="s">
        <v>1463</v>
      </c>
      <c r="C51" s="1005" t="str">
        <f>B33</f>
        <v>Maillot</v>
      </c>
      <c r="D51" s="1006">
        <f>$C$26</f>
        <v>13000</v>
      </c>
      <c r="E51" s="1007">
        <f>C33/D51</f>
        <v>3.1872090788882526E-3</v>
      </c>
      <c r="F51" s="996">
        <f>E51*D51</f>
        <v>41.433718025547286</v>
      </c>
      <c r="G51" s="1011">
        <f>D33</f>
        <v>5.5</v>
      </c>
      <c r="H51" s="1008">
        <f>F51*G51/1000</f>
        <v>0.22788544914051007</v>
      </c>
    </row>
    <row r="52" spans="2:8" ht="26" customHeight="1" x14ac:dyDescent="0.2">
      <c r="B52" s="2767"/>
      <c r="C52" s="997" t="str">
        <f>B34</f>
        <v>Sweat</v>
      </c>
      <c r="D52" s="991">
        <f t="shared" ref="D52:D55" si="1">$C$26</f>
        <v>13000</v>
      </c>
      <c r="E52" s="994">
        <f>C34/D52</f>
        <v>1.5936045394441263E-3</v>
      </c>
      <c r="F52" s="991">
        <f t="shared" ref="F52:F54" si="2">E52*D52</f>
        <v>20.716859012773643</v>
      </c>
      <c r="G52" s="1012">
        <f>D34</f>
        <v>27.4</v>
      </c>
      <c r="H52" s="1009">
        <f t="shared" ref="H52:H54" si="3">F52*G52/1000</f>
        <v>0.56764193694999776</v>
      </c>
    </row>
    <row r="53" spans="2:8" ht="26" customHeight="1" x14ac:dyDescent="0.2">
      <c r="B53" s="2767"/>
      <c r="C53" s="997" t="str">
        <f>B35</f>
        <v>Pull en coton recyclé</v>
      </c>
      <c r="D53" s="991">
        <f t="shared" si="1"/>
        <v>13000</v>
      </c>
      <c r="E53" s="994">
        <f>C35/D53</f>
        <v>1.5936045394441263E-3</v>
      </c>
      <c r="F53" s="991">
        <f t="shared" si="2"/>
        <v>20.716859012773643</v>
      </c>
      <c r="G53" s="1012">
        <f>D35</f>
        <v>8.1</v>
      </c>
      <c r="H53" s="1009">
        <f t="shared" si="3"/>
        <v>0.1678065580034665</v>
      </c>
    </row>
    <row r="54" spans="2:8" ht="26" customHeight="1" x14ac:dyDescent="0.2">
      <c r="B54" s="2767"/>
      <c r="C54" s="997" t="str">
        <f>B36</f>
        <v>Écharpe</v>
      </c>
      <c r="D54" s="991">
        <f t="shared" si="1"/>
        <v>13000</v>
      </c>
      <c r="E54" s="994">
        <f>C36/D54</f>
        <v>1.5936045394441263E-3</v>
      </c>
      <c r="F54" s="991">
        <f t="shared" si="2"/>
        <v>20.716859012773643</v>
      </c>
      <c r="G54" s="1012">
        <f>D36</f>
        <v>5.1000000000000005</v>
      </c>
      <c r="H54" s="1009">
        <f t="shared" si="3"/>
        <v>0.10565598096514559</v>
      </c>
    </row>
    <row r="55" spans="2:8" ht="26" customHeight="1" thickBot="1" x14ac:dyDescent="0.25">
      <c r="B55" s="2768"/>
      <c r="C55" s="998" t="str">
        <f>B42</f>
        <v>Nuitée en hôtel</v>
      </c>
      <c r="D55" s="999">
        <f t="shared" si="1"/>
        <v>13000</v>
      </c>
      <c r="E55" s="1000">
        <f>C42/D55</f>
        <v>7.4999999999999997E-3</v>
      </c>
      <c r="F55" s="999">
        <f>E55*D55</f>
        <v>97.5</v>
      </c>
      <c r="G55" s="1013">
        <f>D42</f>
        <v>9.91</v>
      </c>
      <c r="H55" s="1010">
        <f>F55*G55/1000</f>
        <v>0.966225</v>
      </c>
    </row>
    <row r="56" spans="2:8" ht="26" customHeight="1" thickBot="1" x14ac:dyDescent="0.25">
      <c r="B56" s="2760"/>
      <c r="C56" s="2595"/>
      <c r="D56" s="2595"/>
      <c r="E56" s="2595"/>
      <c r="F56" s="2761" t="s">
        <v>1595</v>
      </c>
      <c r="G56" s="2762"/>
      <c r="H56" s="993">
        <f>SUM(H51:H55)</f>
        <v>2.0352149250591198</v>
      </c>
    </row>
    <row r="57" spans="2:8" ht="26" customHeight="1" x14ac:dyDescent="0.2">
      <c r="B57" s="2766" t="s">
        <v>1594</v>
      </c>
      <c r="C57" s="995" t="str">
        <f>C51</f>
        <v>Maillot</v>
      </c>
      <c r="D57" s="1001">
        <f>'ANNEXE A'!$C$247</f>
        <v>18837772.45724</v>
      </c>
      <c r="E57" s="1002">
        <f>E51</f>
        <v>3.1872090788882526E-3</v>
      </c>
      <c r="F57" s="996">
        <f>E57*D57</f>
        <v>60039.919401746396</v>
      </c>
      <c r="G57" s="2310">
        <f>G51</f>
        <v>5.5</v>
      </c>
      <c r="H57" s="880">
        <f>F57*G57/1000</f>
        <v>330.21955670960517</v>
      </c>
    </row>
    <row r="58" spans="2:8" ht="26" customHeight="1" x14ac:dyDescent="0.2">
      <c r="B58" s="2767"/>
      <c r="C58" s="997" t="str">
        <f t="shared" ref="C58:C61" si="4">C52</f>
        <v>Sweat</v>
      </c>
      <c r="D58" s="990">
        <f>'ANNEXE A'!$C$247</f>
        <v>18837772.45724</v>
      </c>
      <c r="E58" s="992">
        <f t="shared" ref="E58:E60" si="5">E52</f>
        <v>1.5936045394441263E-3</v>
      </c>
      <c r="F58" s="991">
        <f t="shared" ref="F58:F59" si="6">E58*D58</f>
        <v>30019.959700873198</v>
      </c>
      <c r="G58" s="2311">
        <f t="shared" ref="G58:G61" si="7">G52</f>
        <v>27.4</v>
      </c>
      <c r="H58" s="881">
        <f t="shared" ref="H58:H61" si="8">F58*G58/1000</f>
        <v>822.54689580392562</v>
      </c>
    </row>
    <row r="59" spans="2:8" ht="26" customHeight="1" x14ac:dyDescent="0.2">
      <c r="B59" s="2767"/>
      <c r="C59" s="997" t="str">
        <f t="shared" si="4"/>
        <v>Pull en coton recyclé</v>
      </c>
      <c r="D59" s="990">
        <f>'ANNEXE A'!$C$247</f>
        <v>18837772.45724</v>
      </c>
      <c r="E59" s="992">
        <f t="shared" si="5"/>
        <v>1.5936045394441263E-3</v>
      </c>
      <c r="F59" s="991">
        <f t="shared" si="6"/>
        <v>30019.959700873198</v>
      </c>
      <c r="G59" s="2311">
        <f t="shared" si="7"/>
        <v>8.1</v>
      </c>
      <c r="H59" s="881">
        <f t="shared" si="8"/>
        <v>243.16167357707289</v>
      </c>
    </row>
    <row r="60" spans="2:8" ht="26" customHeight="1" x14ac:dyDescent="0.2">
      <c r="B60" s="2767"/>
      <c r="C60" s="997" t="str">
        <f t="shared" si="4"/>
        <v>Écharpe</v>
      </c>
      <c r="D60" s="990">
        <f>'ANNEXE A'!$C$247</f>
        <v>18837772.45724</v>
      </c>
      <c r="E60" s="992">
        <f t="shared" si="5"/>
        <v>1.5936045394441263E-3</v>
      </c>
      <c r="F60" s="991">
        <f>E60*D60</f>
        <v>30019.959700873198</v>
      </c>
      <c r="G60" s="2311">
        <f t="shared" si="7"/>
        <v>5.1000000000000005</v>
      </c>
      <c r="H60" s="881">
        <f t="shared" si="8"/>
        <v>153.10179447445333</v>
      </c>
    </row>
    <row r="61" spans="2:8" ht="26" customHeight="1" thickBot="1" x14ac:dyDescent="0.25">
      <c r="B61" s="2768"/>
      <c r="C61" s="998" t="str">
        <f t="shared" si="4"/>
        <v>Nuitée en hôtel</v>
      </c>
      <c r="D61" s="1003">
        <f>'ANNEXE A'!$C$247</f>
        <v>18837772.45724</v>
      </c>
      <c r="E61" s="1004">
        <f>E55</f>
        <v>7.4999999999999997E-3</v>
      </c>
      <c r="F61" s="999">
        <f>E61*D61</f>
        <v>141283.29342929999</v>
      </c>
      <c r="G61" s="2312">
        <f t="shared" si="7"/>
        <v>9.91</v>
      </c>
      <c r="H61" s="882">
        <f t="shared" si="8"/>
        <v>1400.117437884363</v>
      </c>
    </row>
    <row r="62" spans="2:8" ht="26" customHeight="1" thickBot="1" x14ac:dyDescent="0.25">
      <c r="B62" s="2603"/>
      <c r="C62" s="2763"/>
      <c r="D62" s="2763"/>
      <c r="E62" s="2763"/>
      <c r="F62" s="2764" t="s">
        <v>1595</v>
      </c>
      <c r="G62" s="2765"/>
      <c r="H62" s="989">
        <f>SUM(H57:H61)</f>
        <v>2949.1473584494197</v>
      </c>
    </row>
    <row r="63" spans="2:8" ht="26" customHeight="1" x14ac:dyDescent="0.2">
      <c r="B63" s="55"/>
      <c r="C63" s="55"/>
      <c r="D63" s="55"/>
    </row>
    <row r="64" spans="2:8" ht="26" customHeight="1" thickBot="1" x14ac:dyDescent="0.25">
      <c r="B64" s="55"/>
      <c r="C64" s="55"/>
      <c r="D64" s="55"/>
    </row>
    <row r="65" spans="2:6" ht="34" customHeight="1" thickBot="1" x14ac:dyDescent="0.25">
      <c r="B65" s="862" t="s">
        <v>765</v>
      </c>
      <c r="C65" s="863">
        <f>H62</f>
        <v>2949.1473584494197</v>
      </c>
      <c r="D65" s="864" t="s">
        <v>71</v>
      </c>
    </row>
    <row r="66" spans="2:6" ht="22" customHeight="1" x14ac:dyDescent="0.2"/>
    <row r="67" spans="2:6" ht="22" customHeight="1" x14ac:dyDescent="0.2"/>
    <row r="68" spans="2:6" ht="33" customHeight="1" x14ac:dyDescent="0.2">
      <c r="B68" s="433" t="s">
        <v>1352</v>
      </c>
    </row>
    <row r="69" spans="2:6" ht="22" hidden="1" customHeight="1" outlineLevel="1" x14ac:dyDescent="0.2"/>
    <row r="70" spans="2:6" ht="22" hidden="1" customHeight="1" outlineLevel="1" x14ac:dyDescent="0.2">
      <c r="B70" s="1597" t="s">
        <v>500</v>
      </c>
    </row>
    <row r="71" spans="2:6" ht="22" hidden="1" customHeight="1" outlineLevel="1" x14ac:dyDescent="0.2"/>
    <row r="72" spans="2:6" ht="22" hidden="1" customHeight="1" outlineLevel="1" x14ac:dyDescent="0.2">
      <c r="B72" s="60" t="s">
        <v>124</v>
      </c>
      <c r="C72" s="60" t="s">
        <v>36</v>
      </c>
      <c r="D72" s="60" t="s">
        <v>504</v>
      </c>
      <c r="E72" s="60" t="s">
        <v>125</v>
      </c>
      <c r="F72" s="60" t="s">
        <v>0</v>
      </c>
    </row>
    <row r="73" spans="2:6" ht="22" hidden="1" customHeight="1" outlineLevel="1" x14ac:dyDescent="0.2">
      <c r="B73" s="81" t="s">
        <v>506</v>
      </c>
      <c r="C73" s="89" t="s">
        <v>507</v>
      </c>
      <c r="D73" s="81" t="s">
        <v>508</v>
      </c>
      <c r="E73" s="89" t="s">
        <v>509</v>
      </c>
      <c r="F73" s="76" t="s">
        <v>510</v>
      </c>
    </row>
    <row r="74" spans="2:6" ht="51" hidden="1" outlineLevel="1" x14ac:dyDescent="0.2">
      <c r="B74" s="81" t="s">
        <v>512</v>
      </c>
      <c r="C74" s="89" t="s">
        <v>513</v>
      </c>
      <c r="D74" s="81" t="s">
        <v>508</v>
      </c>
      <c r="E74" s="89" t="s">
        <v>509</v>
      </c>
      <c r="F74" s="76" t="s">
        <v>514</v>
      </c>
    </row>
    <row r="75" spans="2:6" hidden="1" outlineLevel="1" x14ac:dyDescent="0.2">
      <c r="B75" s="81" t="s">
        <v>515</v>
      </c>
      <c r="C75" s="89" t="s">
        <v>516</v>
      </c>
      <c r="D75" s="81" t="s">
        <v>517</v>
      </c>
      <c r="E75" s="89" t="s">
        <v>509</v>
      </c>
      <c r="F75" s="81"/>
    </row>
    <row r="76" spans="2:6" hidden="1" outlineLevel="1" x14ac:dyDescent="0.2">
      <c r="B76" s="81" t="s">
        <v>518</v>
      </c>
      <c r="C76" s="89" t="s">
        <v>519</v>
      </c>
      <c r="D76" s="81" t="s">
        <v>517</v>
      </c>
      <c r="E76" s="89" t="s">
        <v>509</v>
      </c>
      <c r="F76" s="81"/>
    </row>
    <row r="77" spans="2:6" hidden="1" outlineLevel="1" x14ac:dyDescent="0.2">
      <c r="B77" s="81" t="s">
        <v>520</v>
      </c>
      <c r="C77" s="89" t="s">
        <v>521</v>
      </c>
      <c r="D77" s="81" t="s">
        <v>522</v>
      </c>
      <c r="E77" s="89" t="s">
        <v>509</v>
      </c>
      <c r="F77" s="81"/>
    </row>
    <row r="78" spans="2:6" hidden="1" outlineLevel="1" x14ac:dyDescent="0.2">
      <c r="B78" s="81" t="s">
        <v>523</v>
      </c>
      <c r="C78" s="89" t="s">
        <v>524</v>
      </c>
      <c r="D78" s="81" t="s">
        <v>525</v>
      </c>
      <c r="E78" s="89" t="s">
        <v>509</v>
      </c>
      <c r="F78" s="81"/>
    </row>
    <row r="79" spans="2:6" hidden="1" outlineLevel="1" x14ac:dyDescent="0.2">
      <c r="B79" s="81" t="s">
        <v>526</v>
      </c>
      <c r="C79" s="89">
        <v>11.6</v>
      </c>
      <c r="D79" s="81" t="s">
        <v>527</v>
      </c>
      <c r="E79" s="89" t="s">
        <v>509</v>
      </c>
      <c r="F79" s="81"/>
    </row>
    <row r="80" spans="2:6" hidden="1" outlineLevel="1" x14ac:dyDescent="0.2">
      <c r="B80" s="81" t="s">
        <v>529</v>
      </c>
      <c r="C80" s="89">
        <v>29</v>
      </c>
      <c r="D80" s="81" t="s">
        <v>527</v>
      </c>
      <c r="E80" s="89" t="s">
        <v>509</v>
      </c>
      <c r="F80" s="81"/>
    </row>
    <row r="81" spans="2:11" hidden="1" outlineLevel="1" x14ac:dyDescent="0.2">
      <c r="B81" s="81" t="s">
        <v>531</v>
      </c>
      <c r="C81" s="89">
        <v>58</v>
      </c>
      <c r="D81" s="81" t="s">
        <v>527</v>
      </c>
      <c r="E81" s="89" t="s">
        <v>509</v>
      </c>
      <c r="F81" s="81"/>
      <c r="I81" s="374"/>
      <c r="J81" s="374"/>
      <c r="K81" s="374"/>
    </row>
    <row r="82" spans="2:11" hidden="1" outlineLevel="1" x14ac:dyDescent="0.2">
      <c r="B82" s="81" t="s">
        <v>532</v>
      </c>
      <c r="C82" s="89">
        <v>3.2</v>
      </c>
      <c r="D82" s="81" t="s">
        <v>533</v>
      </c>
      <c r="E82" s="89" t="s">
        <v>509</v>
      </c>
      <c r="F82" s="81"/>
    </row>
    <row r="83" spans="2:11" hidden="1" outlineLevel="1" x14ac:dyDescent="0.2">
      <c r="B83" s="81" t="s">
        <v>534</v>
      </c>
      <c r="C83" s="89">
        <v>8</v>
      </c>
      <c r="D83" s="81" t="s">
        <v>533</v>
      </c>
      <c r="E83" s="89" t="s">
        <v>509</v>
      </c>
      <c r="F83" s="81"/>
    </row>
    <row r="84" spans="2:11" hidden="1" outlineLevel="1" x14ac:dyDescent="0.2">
      <c r="B84" s="81" t="s">
        <v>535</v>
      </c>
      <c r="C84" s="89">
        <v>16</v>
      </c>
      <c r="D84" s="81" t="s">
        <v>533</v>
      </c>
      <c r="E84" s="89" t="s">
        <v>509</v>
      </c>
      <c r="F84" s="81"/>
    </row>
    <row r="85" spans="2:11" hidden="1" outlineLevel="1" x14ac:dyDescent="0.2">
      <c r="B85" s="89" t="s">
        <v>536</v>
      </c>
      <c r="C85" s="81" t="s">
        <v>537</v>
      </c>
      <c r="D85" s="81" t="s">
        <v>538</v>
      </c>
      <c r="E85" s="89" t="s">
        <v>539</v>
      </c>
      <c r="F85" s="81"/>
    </row>
    <row r="86" spans="2:11" hidden="1" outlineLevel="1" x14ac:dyDescent="0.2"/>
    <row r="87" spans="2:11" hidden="1" outlineLevel="1" x14ac:dyDescent="0.2"/>
    <row r="88" spans="2:11" ht="18" hidden="1" outlineLevel="1" x14ac:dyDescent="0.2">
      <c r="B88" s="1597" t="s">
        <v>540</v>
      </c>
    </row>
    <row r="89" spans="2:11" hidden="1" outlineLevel="1" x14ac:dyDescent="0.2">
      <c r="B89" s="558"/>
      <c r="G89" s="1618"/>
    </row>
    <row r="90" spans="2:11" hidden="1" outlineLevel="1" x14ac:dyDescent="0.2">
      <c r="B90" s="60" t="s">
        <v>124</v>
      </c>
      <c r="C90" s="60" t="s">
        <v>36</v>
      </c>
      <c r="D90" s="60" t="s">
        <v>59</v>
      </c>
      <c r="E90" s="60" t="s">
        <v>125</v>
      </c>
    </row>
    <row r="91" spans="2:11" hidden="1" outlineLevel="1" x14ac:dyDescent="0.2">
      <c r="B91" s="651" t="s">
        <v>503</v>
      </c>
      <c r="C91" s="1619">
        <v>27.4</v>
      </c>
      <c r="D91" s="5" t="s">
        <v>67</v>
      </c>
      <c r="E91" s="5" t="s">
        <v>127</v>
      </c>
    </row>
    <row r="92" spans="2:11" hidden="1" outlineLevel="1" x14ac:dyDescent="0.2">
      <c r="B92" s="5" t="s">
        <v>505</v>
      </c>
      <c r="C92" s="1193">
        <v>8.1</v>
      </c>
      <c r="D92" s="5" t="s">
        <v>67</v>
      </c>
      <c r="E92" s="5" t="s">
        <v>127</v>
      </c>
    </row>
    <row r="93" spans="2:11" hidden="1" outlineLevel="1" x14ac:dyDescent="0.2">
      <c r="B93" s="5" t="s">
        <v>541</v>
      </c>
      <c r="C93" s="1193">
        <v>5.5</v>
      </c>
      <c r="D93" s="5" t="s">
        <v>542</v>
      </c>
      <c r="E93" s="5" t="s">
        <v>127</v>
      </c>
    </row>
    <row r="94" spans="2:11" ht="85" hidden="1" outlineLevel="1" x14ac:dyDescent="0.2">
      <c r="B94" s="89" t="s">
        <v>543</v>
      </c>
      <c r="C94" s="78">
        <v>9.91</v>
      </c>
      <c r="D94" s="81" t="s">
        <v>544</v>
      </c>
      <c r="E94" s="1620" t="s">
        <v>545</v>
      </c>
    </row>
    <row r="95" spans="2:11" hidden="1" outlineLevel="1" x14ac:dyDescent="0.2">
      <c r="H95" s="891"/>
    </row>
    <row r="96" spans="2:11" ht="18" hidden="1" outlineLevel="1" x14ac:dyDescent="0.2">
      <c r="B96" s="1597" t="s">
        <v>546</v>
      </c>
    </row>
    <row r="97" spans="2:8" hidden="1" outlineLevel="1" x14ac:dyDescent="0.2"/>
    <row r="98" spans="2:8" hidden="1" outlineLevel="1" x14ac:dyDescent="0.2">
      <c r="B98" s="60" t="s">
        <v>124</v>
      </c>
      <c r="C98" s="60" t="s">
        <v>36</v>
      </c>
      <c r="D98" s="60" t="s">
        <v>59</v>
      </c>
      <c r="E98" s="60" t="s">
        <v>125</v>
      </c>
    </row>
    <row r="99" spans="2:8" ht="34" hidden="1" outlineLevel="1" x14ac:dyDescent="0.2">
      <c r="B99" s="87" t="s">
        <v>536</v>
      </c>
      <c r="C99" s="87">
        <f>C107</f>
        <v>5.1000000000000005</v>
      </c>
      <c r="D99" s="81" t="s">
        <v>67</v>
      </c>
      <c r="E99" s="76" t="s">
        <v>547</v>
      </c>
    </row>
    <row r="100" spans="2:8" hidden="1" outlineLevel="1" x14ac:dyDescent="0.2"/>
    <row r="101" spans="2:8" hidden="1" outlineLevel="1" x14ac:dyDescent="0.2">
      <c r="B101" s="656" t="s">
        <v>548</v>
      </c>
      <c r="C101" s="646"/>
      <c r="D101" s="646"/>
    </row>
    <row r="102" spans="2:8" ht="17" hidden="1" outlineLevel="1" x14ac:dyDescent="0.2">
      <c r="B102" s="1621" t="s">
        <v>549</v>
      </c>
      <c r="C102" s="646">
        <v>25.5</v>
      </c>
      <c r="D102" s="646" t="s">
        <v>67</v>
      </c>
    </row>
    <row r="103" spans="2:8" hidden="1" outlineLevel="1" x14ac:dyDescent="0.2"/>
    <row r="104" spans="2:8" hidden="1" outlineLevel="1" x14ac:dyDescent="0.2">
      <c r="B104" s="1622" t="s">
        <v>550</v>
      </c>
    </row>
    <row r="105" spans="2:8" ht="34" hidden="1" outlineLevel="1" x14ac:dyDescent="0.2">
      <c r="B105" s="1014" t="s">
        <v>551</v>
      </c>
      <c r="C105" s="1569" t="s">
        <v>552</v>
      </c>
    </row>
    <row r="106" spans="2:8" hidden="1" outlineLevel="1" x14ac:dyDescent="0.2">
      <c r="B106" s="1014">
        <v>0.7</v>
      </c>
      <c r="C106" s="1014">
        <v>25.5</v>
      </c>
    </row>
    <row r="107" spans="2:8" hidden="1" outlineLevel="1" x14ac:dyDescent="0.2">
      <c r="B107" s="1014">
        <v>0.14000000000000001</v>
      </c>
      <c r="C107" s="1014">
        <f>(B107*C106)/B106</f>
        <v>5.1000000000000005</v>
      </c>
    </row>
    <row r="108" spans="2:8" hidden="1" outlineLevel="1" x14ac:dyDescent="0.2"/>
    <row r="109" spans="2:8" hidden="1" outlineLevel="1" x14ac:dyDescent="0.2"/>
    <row r="110" spans="2:8" ht="18" hidden="1" outlineLevel="1" x14ac:dyDescent="0.2">
      <c r="B110" s="1597" t="s">
        <v>553</v>
      </c>
    </row>
    <row r="111" spans="2:8" hidden="1" outlineLevel="1" x14ac:dyDescent="0.2">
      <c r="B111" s="656"/>
    </row>
    <row r="112" spans="2:8" hidden="1" outlineLevel="1" x14ac:dyDescent="0.2">
      <c r="B112" s="656" t="s">
        <v>554</v>
      </c>
      <c r="C112" s="2">
        <v>25000</v>
      </c>
      <c r="D112" s="2" t="s">
        <v>555</v>
      </c>
      <c r="E112" s="2" t="s">
        <v>556</v>
      </c>
      <c r="F112" s="2">
        <f>(C112*C93)/1000</f>
        <v>137.5</v>
      </c>
      <c r="G112" s="2" t="s">
        <v>19</v>
      </c>
      <c r="H112" s="2" t="s">
        <v>557</v>
      </c>
    </row>
    <row r="113" spans="2:6" hidden="1" outlineLevel="1" x14ac:dyDescent="0.2">
      <c r="E113" s="2" t="s">
        <v>436</v>
      </c>
      <c r="F113" s="220"/>
    </row>
    <row r="114" spans="2:6" ht="17" hidden="1" customHeight="1" outlineLevel="1" x14ac:dyDescent="0.2">
      <c r="B114" s="656" t="s">
        <v>558</v>
      </c>
    </row>
    <row r="115" spans="2:6" hidden="1" outlineLevel="1" x14ac:dyDescent="0.2">
      <c r="B115" s="656" t="s">
        <v>559</v>
      </c>
      <c r="C115" s="2">
        <v>16405</v>
      </c>
    </row>
    <row r="116" spans="2:6" hidden="1" outlineLevel="1" x14ac:dyDescent="0.2"/>
    <row r="117" spans="2:6" hidden="1" outlineLevel="1" x14ac:dyDescent="0.2">
      <c r="B117" s="1628" t="s">
        <v>560</v>
      </c>
      <c r="C117" s="1509">
        <v>78</v>
      </c>
      <c r="D117" s="1509" t="s">
        <v>555</v>
      </c>
    </row>
    <row r="118" spans="2:6" hidden="1" outlineLevel="1" x14ac:dyDescent="0.2">
      <c r="B118" s="1628" t="s">
        <v>561</v>
      </c>
      <c r="C118" s="1509">
        <v>43</v>
      </c>
      <c r="D118" s="1509" t="s">
        <v>555</v>
      </c>
    </row>
    <row r="119" spans="2:6" hidden="1" outlineLevel="1" x14ac:dyDescent="0.2">
      <c r="B119" s="1628" t="s">
        <v>562</v>
      </c>
      <c r="C119" s="1509">
        <v>17</v>
      </c>
      <c r="D119" s="1509" t="s">
        <v>555</v>
      </c>
    </row>
    <row r="120" spans="2:6" hidden="1" outlineLevel="1" x14ac:dyDescent="0.2">
      <c r="B120" s="1628" t="s">
        <v>563</v>
      </c>
      <c r="C120" s="1509">
        <v>33</v>
      </c>
      <c r="D120" s="1509" t="s">
        <v>555</v>
      </c>
    </row>
    <row r="121" spans="2:6" hidden="1" outlineLevel="1" x14ac:dyDescent="0.2">
      <c r="B121" s="1628" t="s">
        <v>564</v>
      </c>
      <c r="C121" s="1509">
        <v>27</v>
      </c>
      <c r="D121" s="1509" t="s">
        <v>555</v>
      </c>
    </row>
    <row r="122" spans="2:6" hidden="1" outlineLevel="1" x14ac:dyDescent="0.2">
      <c r="B122" s="1628" t="s">
        <v>565</v>
      </c>
      <c r="C122" s="1509">
        <v>70</v>
      </c>
      <c r="D122" s="1509" t="s">
        <v>555</v>
      </c>
    </row>
    <row r="123" spans="2:6" hidden="1" outlineLevel="1" x14ac:dyDescent="0.2">
      <c r="B123" s="1628" t="s">
        <v>566</v>
      </c>
      <c r="C123" s="1509">
        <v>17</v>
      </c>
      <c r="D123" s="1509" t="s">
        <v>555</v>
      </c>
    </row>
    <row r="124" spans="2:6" hidden="1" outlineLevel="1" x14ac:dyDescent="0.2">
      <c r="B124" s="1628" t="s">
        <v>567</v>
      </c>
      <c r="C124" s="1509">
        <v>45</v>
      </c>
      <c r="D124" s="1509" t="s">
        <v>555</v>
      </c>
    </row>
    <row r="125" spans="2:6" hidden="1" outlineLevel="1" x14ac:dyDescent="0.2">
      <c r="B125" s="1628" t="s">
        <v>568</v>
      </c>
      <c r="C125" s="1509">
        <v>23</v>
      </c>
      <c r="D125" s="1509" t="s">
        <v>555</v>
      </c>
    </row>
    <row r="126" spans="2:6" hidden="1" outlineLevel="1" x14ac:dyDescent="0.2">
      <c r="B126" s="1628" t="s">
        <v>569</v>
      </c>
      <c r="C126" s="1509">
        <v>26</v>
      </c>
      <c r="D126" s="1509" t="s">
        <v>555</v>
      </c>
    </row>
    <row r="127" spans="2:6" hidden="1" outlineLevel="1" x14ac:dyDescent="0.2">
      <c r="B127" s="1628" t="s">
        <v>570</v>
      </c>
      <c r="C127" s="1509">
        <v>50</v>
      </c>
      <c r="D127" s="1509" t="s">
        <v>555</v>
      </c>
    </row>
    <row r="128" spans="2:6" hidden="1" outlineLevel="1" x14ac:dyDescent="0.2">
      <c r="B128" s="1628" t="s">
        <v>571</v>
      </c>
      <c r="C128" s="1509">
        <v>74</v>
      </c>
      <c r="D128" s="1509" t="s">
        <v>555</v>
      </c>
    </row>
    <row r="129" spans="2:8" hidden="1" outlineLevel="1" x14ac:dyDescent="0.2">
      <c r="B129" s="1628" t="s">
        <v>572</v>
      </c>
      <c r="C129" s="1509">
        <v>83</v>
      </c>
      <c r="D129" s="1509" t="s">
        <v>555</v>
      </c>
    </row>
    <row r="130" spans="2:8" hidden="1" outlineLevel="1" x14ac:dyDescent="0.2">
      <c r="B130" s="1628" t="s">
        <v>573</v>
      </c>
      <c r="C130" s="1509">
        <v>50</v>
      </c>
      <c r="D130" s="1509" t="s">
        <v>555</v>
      </c>
    </row>
    <row r="131" spans="2:8" hidden="1" outlineLevel="1" x14ac:dyDescent="0.2">
      <c r="B131" s="1628" t="s">
        <v>374</v>
      </c>
      <c r="C131" s="1629">
        <f>AVERAGE(C117:C130)</f>
        <v>45.428571428571431</v>
      </c>
      <c r="D131" s="1509" t="s">
        <v>555</v>
      </c>
    </row>
    <row r="132" spans="2:8" hidden="1" outlineLevel="1" x14ac:dyDescent="0.2">
      <c r="B132" s="1630" t="s">
        <v>434</v>
      </c>
      <c r="C132" s="1631">
        <f>C131/C115</f>
        <v>2.7691905777855186E-3</v>
      </c>
      <c r="D132" s="1632" t="s">
        <v>574</v>
      </c>
      <c r="H132" s="2" t="s">
        <v>575</v>
      </c>
    </row>
    <row r="133" spans="2:8" hidden="1" outlineLevel="1" x14ac:dyDescent="0.2"/>
    <row r="134" spans="2:8" hidden="1" outlineLevel="1" x14ac:dyDescent="0.2">
      <c r="B134" s="656" t="s">
        <v>576</v>
      </c>
      <c r="H134" s="2" t="s">
        <v>577</v>
      </c>
    </row>
    <row r="135" spans="2:8" hidden="1" outlineLevel="1" x14ac:dyDescent="0.2">
      <c r="B135" s="656" t="s">
        <v>578</v>
      </c>
      <c r="C135" s="2">
        <v>11095</v>
      </c>
      <c r="D135" s="2" t="s">
        <v>579</v>
      </c>
      <c r="E135" s="2">
        <v>15</v>
      </c>
      <c r="F135" s="2" t="s">
        <v>580</v>
      </c>
    </row>
    <row r="136" spans="2:8" hidden="1" outlineLevel="1" x14ac:dyDescent="0.2">
      <c r="B136" s="1624" t="s">
        <v>581</v>
      </c>
      <c r="C136" s="858">
        <v>600</v>
      </c>
      <c r="D136" s="2" t="s">
        <v>555</v>
      </c>
    </row>
    <row r="137" spans="2:8" hidden="1" outlineLevel="1" x14ac:dyDescent="0.2">
      <c r="B137" s="646" t="s">
        <v>434</v>
      </c>
      <c r="C137" s="1623">
        <f>(C136/E135)/C135</f>
        <v>3.605227579990987E-3</v>
      </c>
      <c r="D137" s="646" t="s">
        <v>574</v>
      </c>
    </row>
    <row r="138" spans="2:8" hidden="1" outlineLevel="1" x14ac:dyDescent="0.2"/>
    <row r="139" spans="2:8" hidden="1" outlineLevel="1" x14ac:dyDescent="0.2">
      <c r="C139" s="1625"/>
    </row>
    <row r="140" spans="2:8" hidden="1" outlineLevel="1" x14ac:dyDescent="0.2">
      <c r="B140" s="2754" t="s">
        <v>582</v>
      </c>
      <c r="C140" s="2755"/>
    </row>
    <row r="141" spans="2:8" hidden="1" outlineLevel="1" x14ac:dyDescent="0.2">
      <c r="B141" s="5" t="s">
        <v>583</v>
      </c>
      <c r="C141" s="1626">
        <f>C132</f>
        <v>2.7691905777855186E-3</v>
      </c>
    </row>
    <row r="142" spans="2:8" hidden="1" outlineLevel="1" x14ac:dyDescent="0.2">
      <c r="B142" s="5" t="s">
        <v>584</v>
      </c>
      <c r="C142" s="1626">
        <f>C137</f>
        <v>3.605227579990987E-3</v>
      </c>
    </row>
    <row r="143" spans="2:8" hidden="1" outlineLevel="1" x14ac:dyDescent="0.2">
      <c r="B143" s="922" t="s">
        <v>374</v>
      </c>
      <c r="C143" s="1627">
        <f>AVERAGE(C141:C142)</f>
        <v>3.1872090788882526E-3</v>
      </c>
    </row>
    <row r="144" spans="2:8" hidden="1" outlineLevel="1" x14ac:dyDescent="0.2"/>
    <row r="145" spans="2:3" hidden="1" outlineLevel="1" x14ac:dyDescent="0.2">
      <c r="B145" s="558" t="s">
        <v>1315</v>
      </c>
    </row>
    <row r="146" spans="2:3" hidden="1" outlineLevel="1" x14ac:dyDescent="0.2">
      <c r="B146" s="2" t="s">
        <v>1314</v>
      </c>
    </row>
    <row r="147" spans="2:3" hidden="1" outlineLevel="1" x14ac:dyDescent="0.2">
      <c r="B147" s="858">
        <f>1100000*C93/1000</f>
        <v>6050</v>
      </c>
      <c r="C147" s="2" t="s">
        <v>71</v>
      </c>
    </row>
    <row r="148" spans="2:3" hidden="1" outlineLevel="1" x14ac:dyDescent="0.2"/>
    <row r="149" spans="2:3" ht="170" hidden="1" outlineLevel="1" x14ac:dyDescent="0.2">
      <c r="B149" s="374" t="s">
        <v>1316</v>
      </c>
    </row>
    <row r="150" spans="2:3" hidden="1" outlineLevel="1" x14ac:dyDescent="0.2">
      <c r="B150" s="858">
        <f>(1790000+1730000+1450000+1410000+1400000)*C93/1000</f>
        <v>42790</v>
      </c>
    </row>
    <row r="151" spans="2:3" hidden="1" outlineLevel="1" x14ac:dyDescent="0.2"/>
    <row r="152" spans="2:3" collapsed="1" x14ac:dyDescent="0.2"/>
    <row r="170" spans="9:10" x14ac:dyDescent="0.2">
      <c r="I170" s="323"/>
      <c r="J170" s="323"/>
    </row>
    <row r="171" spans="9:10" x14ac:dyDescent="0.2">
      <c r="I171" s="323"/>
      <c r="J171" s="323"/>
    </row>
    <row r="172" spans="9:10" x14ac:dyDescent="0.2">
      <c r="I172" s="323"/>
      <c r="J172" s="323"/>
    </row>
    <row r="173" spans="9:10" x14ac:dyDescent="0.2">
      <c r="I173" s="323"/>
      <c r="J173" s="323"/>
    </row>
    <row r="174" spans="9:10" x14ac:dyDescent="0.2">
      <c r="I174" s="323"/>
      <c r="J174" s="323"/>
    </row>
    <row r="175" spans="9:10" x14ac:dyDescent="0.2">
      <c r="I175" s="323"/>
      <c r="J175" s="323"/>
    </row>
    <row r="176" spans="9:10" x14ac:dyDescent="0.2">
      <c r="I176" s="323"/>
      <c r="J176" s="323"/>
    </row>
    <row r="181" spans="9:10" x14ac:dyDescent="0.2">
      <c r="I181" s="323"/>
      <c r="J181" s="323"/>
    </row>
    <row r="182" spans="9:10" x14ac:dyDescent="0.2">
      <c r="I182" s="323"/>
      <c r="J182" s="323"/>
    </row>
    <row r="183" spans="9:10" x14ac:dyDescent="0.2">
      <c r="I183" s="323"/>
      <c r="J183" s="323"/>
    </row>
    <row r="184" spans="9:10" x14ac:dyDescent="0.2">
      <c r="I184" s="323"/>
      <c r="J184" s="323"/>
    </row>
    <row r="185" spans="9:10" x14ac:dyDescent="0.2">
      <c r="I185" s="323"/>
      <c r="J185" s="323"/>
    </row>
    <row r="191" spans="9:10" x14ac:dyDescent="0.2">
      <c r="I191" s="323"/>
      <c r="J191" s="323"/>
    </row>
    <row r="192" spans="9:10" x14ac:dyDescent="0.2">
      <c r="I192" s="323"/>
      <c r="J192" s="323"/>
    </row>
    <row r="193" spans="2:11" x14ac:dyDescent="0.2">
      <c r="B193" s="323"/>
      <c r="I193" s="323"/>
      <c r="J193" s="323"/>
    </row>
    <row r="204" spans="2:11" x14ac:dyDescent="0.2">
      <c r="I204" s="323"/>
      <c r="J204" s="323"/>
    </row>
    <row r="205" spans="2:11" x14ac:dyDescent="0.2">
      <c r="I205" s="323"/>
      <c r="J205" s="323"/>
    </row>
    <row r="206" spans="2:11" x14ac:dyDescent="0.2">
      <c r="K206" s="323"/>
    </row>
    <row r="207" spans="2:11" x14ac:dyDescent="0.2">
      <c r="K207" s="323"/>
    </row>
    <row r="219" spans="2:6" x14ac:dyDescent="0.2">
      <c r="D219" s="323"/>
      <c r="E219" s="323"/>
    </row>
    <row r="220" spans="2:6" x14ac:dyDescent="0.2">
      <c r="B220" s="323"/>
      <c r="F220" s="323"/>
    </row>
    <row r="221" spans="2:6" x14ac:dyDescent="0.2">
      <c r="B221" s="323"/>
    </row>
    <row r="222" spans="2:6" x14ac:dyDescent="0.2">
      <c r="B222" s="323"/>
    </row>
    <row r="226" spans="2:11" x14ac:dyDescent="0.2">
      <c r="K226" s="323"/>
    </row>
    <row r="227" spans="2:11" x14ac:dyDescent="0.2">
      <c r="K227" s="323"/>
    </row>
    <row r="233" spans="2:11" x14ac:dyDescent="0.2">
      <c r="B233" s="323"/>
    </row>
    <row r="234" spans="2:11" x14ac:dyDescent="0.2">
      <c r="B234" s="323"/>
    </row>
    <row r="239" spans="2:11" x14ac:dyDescent="0.2">
      <c r="C239" s="323"/>
    </row>
    <row r="240" spans="2:11" x14ac:dyDescent="0.2">
      <c r="G240" s="323"/>
    </row>
    <row r="246" spans="2:16" x14ac:dyDescent="0.2">
      <c r="B246" s="656"/>
      <c r="H246" s="323"/>
    </row>
    <row r="251" spans="2:16" x14ac:dyDescent="0.2">
      <c r="M251" s="323"/>
      <c r="N251" s="323"/>
      <c r="O251" s="323"/>
    </row>
    <row r="252" spans="2:16" x14ac:dyDescent="0.2">
      <c r="M252" s="323"/>
      <c r="N252" s="323"/>
      <c r="O252" s="323"/>
      <c r="P252" s="323"/>
    </row>
    <row r="253" spans="2:16" x14ac:dyDescent="0.2">
      <c r="B253" s="323"/>
      <c r="P253" s="323"/>
    </row>
    <row r="254" spans="2:16" x14ac:dyDescent="0.2">
      <c r="B254" s="323"/>
    </row>
    <row r="269" spans="5:12" x14ac:dyDescent="0.2">
      <c r="E269" s="1613"/>
    </row>
    <row r="271" spans="5:12" x14ac:dyDescent="0.2">
      <c r="L271" s="323"/>
    </row>
    <row r="272" spans="5:12" x14ac:dyDescent="0.2">
      <c r="L272" s="323"/>
    </row>
    <row r="278" spans="17:17" x14ac:dyDescent="0.2">
      <c r="Q278" s="323"/>
    </row>
    <row r="279" spans="17:17" x14ac:dyDescent="0.2">
      <c r="Q279" s="323"/>
    </row>
  </sheetData>
  <mergeCells count="23">
    <mergeCell ref="H33:H36"/>
    <mergeCell ref="B140:C140"/>
    <mergeCell ref="D26:E26"/>
    <mergeCell ref="D27:E27"/>
    <mergeCell ref="B56:E56"/>
    <mergeCell ref="F56:G56"/>
    <mergeCell ref="B62:E62"/>
    <mergeCell ref="F62:G62"/>
    <mergeCell ref="B51:B55"/>
    <mergeCell ref="B57:B61"/>
    <mergeCell ref="C16:Q16"/>
    <mergeCell ref="C17:Q17"/>
    <mergeCell ref="C18:Q18"/>
    <mergeCell ref="C19:Q19"/>
    <mergeCell ref="B12:Q12"/>
    <mergeCell ref="C13:Q13"/>
    <mergeCell ref="C14:Q14"/>
    <mergeCell ref="C15:Q15"/>
    <mergeCell ref="C6:D6"/>
    <mergeCell ref="C7:D7"/>
    <mergeCell ref="C9:D9"/>
    <mergeCell ref="B2:C2"/>
    <mergeCell ref="B4:D4"/>
  </mergeCells>
  <conditionalFormatting sqref="C7">
    <cfRule type="containsText" dxfId="145" priority="21" operator="containsText" text="Pas ok">
      <formula>NOT(ISERROR(SEARCH("Pas ok",C7)))</formula>
    </cfRule>
    <cfRule type="containsText" dxfId="144" priority="22" operator="containsText" text="Calcul brouillon, ordre de grandeur">
      <formula>NOT(ISERROR(SEARCH("Calcul brouillon, ordre de grandeur",C7)))</formula>
    </cfRule>
    <cfRule type="containsText" dxfId="143" priority="23" operator="containsText" text="Bon ordre de grandeur">
      <formula>NOT(ISERROR(SEARCH("Bon ordre de grandeur",C7)))</formula>
    </cfRule>
    <cfRule type="containsText" dxfId="142" priority="24" operator="containsText" text="Calcul validé">
      <formula>NOT(ISERROR(SEARCH("Calcul validé",C7)))</formula>
    </cfRule>
    <cfRule type="containsText" dxfId="141" priority="26" operator="containsText" text="Pas ok">
      <formula>NOT(ISERROR(SEARCH("Pas ok",C7)))</formula>
    </cfRule>
    <cfRule type="containsText" dxfId="140" priority="27" operator="containsText" text="Calcul brouillon, ordre de grandeur">
      <formula>NOT(ISERROR(SEARCH("Calcul brouillon, ordre de grandeur",C7)))</formula>
    </cfRule>
    <cfRule type="containsText" dxfId="139" priority="28" operator="containsText" text="Bon ordre de grandeur">
      <formula>NOT(ISERROR(SEARCH("Bon ordre de grandeur",C7)))</formula>
    </cfRule>
    <cfRule type="containsText" dxfId="138" priority="29" operator="containsText" text="Calcul validé">
      <formula>NOT(ISERROR(SEARCH("Calcul validé",C7)))</formula>
    </cfRule>
  </conditionalFormatting>
  <conditionalFormatting sqref="C7:D7">
    <cfRule type="containsText" dxfId="137" priority="30" operator="containsText" text="Calcul brouillon, odg">
      <formula>NOT(ISERROR(SEARCH("Calcul brouillon, odg",C7)))</formula>
    </cfRule>
  </conditionalFormatting>
  <conditionalFormatting sqref="D8">
    <cfRule type="containsText" dxfId="136" priority="11" operator="containsText" text="Pas ok">
      <formula>NOT(ISERROR(SEARCH("Pas ok",D8)))</formula>
    </cfRule>
    <cfRule type="containsText" dxfId="135" priority="12" operator="containsText" text="Calcul brouillon, ordre de grandeur">
      <formula>NOT(ISERROR(SEARCH("Calcul brouillon, ordre de grandeur",D8)))</formula>
    </cfRule>
    <cfRule type="containsText" dxfId="134" priority="13" operator="containsText" text="Bon ordre de grandeur">
      <formula>NOT(ISERROR(SEARCH("Bon ordre de grandeur",D8)))</formula>
    </cfRule>
    <cfRule type="containsText" dxfId="133" priority="14" operator="containsText" text="Calcul validé">
      <formula>NOT(ISERROR(SEARCH("Calcul validé",D8)))</formula>
    </cfRule>
    <cfRule type="containsText" dxfId="132" priority="16" operator="containsText" text="Pas ok">
      <formula>NOT(ISERROR(SEARCH("Pas ok",D8)))</formula>
    </cfRule>
    <cfRule type="containsText" dxfId="131" priority="17" operator="containsText" text="Calcul brouillon, ordre de grandeur">
      <formula>NOT(ISERROR(SEARCH("Calcul brouillon, ordre de grandeur",D8)))</formula>
    </cfRule>
    <cfRule type="containsText" dxfId="130" priority="18" operator="containsText" text="Bon ordre de grandeur">
      <formula>NOT(ISERROR(SEARCH("Bon ordre de grandeur",D8)))</formula>
    </cfRule>
    <cfRule type="containsText" dxfId="129" priority="19" operator="containsText" text="Calcul validé">
      <formula>NOT(ISERROR(SEARCH("Calcul validé",D8)))</formula>
    </cfRule>
  </conditionalFormatting>
  <conditionalFormatting sqref="D8:E8">
    <cfRule type="containsText" dxfId="128" priority="20" operator="containsText" text="Calcul brouillon, odg">
      <formula>NOT(ISERROR(SEARCH("Calcul brouillon, odg",D8)))</formula>
    </cfRule>
  </conditionalFormatting>
  <hyperlinks>
    <hyperlink ref="E94" r:id="rId1" xr:uid="{00000000-0004-0000-0900-000000000000}"/>
  </hyperlinks>
  <pageMargins left="0.7" right="0.7" top="0.75" bottom="0.75" header="0.3" footer="0.3"/>
  <pageSetup paperSize="9" orientation="portrait" horizontalDpi="0" verticalDpi="0"/>
  <ignoredErrors>
    <ignoredError sqref="D57:D61 F57:F59 F60:F6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AN373"/>
  <sheetViews>
    <sheetView zoomScale="40" zoomScaleNormal="106" workbookViewId="0">
      <selection activeCell="A62" sqref="A62:XFD372"/>
    </sheetView>
  </sheetViews>
  <sheetFormatPr baseColWidth="10" defaultRowHeight="16" outlineLevelRow="1" x14ac:dyDescent="0.2"/>
  <cols>
    <col min="1" max="1" width="12.7109375" style="55" customWidth="1"/>
    <col min="2" max="2" width="32.7109375" style="55" customWidth="1"/>
    <col min="3" max="3" width="22.42578125" style="55" customWidth="1"/>
    <col min="4" max="4" width="14.85546875" style="55" customWidth="1"/>
    <col min="5" max="5" width="32.28515625" style="55" customWidth="1"/>
    <col min="6" max="6" width="23.28515625" style="55" customWidth="1"/>
    <col min="7" max="7" width="16.85546875" style="55" customWidth="1"/>
    <col min="8" max="8" width="17.5703125" style="55" customWidth="1"/>
    <col min="9" max="9" width="20" style="55" customWidth="1"/>
    <col min="10" max="10" width="15.85546875" style="55" customWidth="1"/>
    <col min="11" max="11" width="16.5703125" style="55" customWidth="1"/>
    <col min="12" max="12" width="16.28515625" style="55" customWidth="1"/>
    <col min="13" max="14" width="12.42578125" style="55" customWidth="1"/>
    <col min="15" max="15" width="10.7109375" style="55"/>
    <col min="16" max="16" width="14" style="55" customWidth="1"/>
    <col min="17" max="17" width="18.5703125" style="55" customWidth="1"/>
    <col min="18" max="18" width="14.5703125" style="55" customWidth="1"/>
    <col min="19" max="19" width="24.5703125" style="55" customWidth="1"/>
    <col min="20" max="27" width="10.7109375" style="55"/>
    <col min="28" max="28" width="13.140625" style="55" customWidth="1"/>
    <col min="29" max="16384" width="10.7109375" style="55"/>
  </cols>
  <sheetData>
    <row r="1" spans="2:18" ht="20" customHeight="1" thickBot="1" x14ac:dyDescent="0.25"/>
    <row r="2" spans="2:18" ht="31" customHeight="1" thickBot="1" x14ac:dyDescent="0.25">
      <c r="B2" s="2795" t="s">
        <v>585</v>
      </c>
      <c r="C2" s="2796"/>
    </row>
    <row r="3" spans="2:18" ht="21" customHeight="1" thickBot="1" x14ac:dyDescent="0.25"/>
    <row r="4" spans="2:18" ht="22" customHeight="1" thickBot="1" x14ac:dyDescent="0.25">
      <c r="B4" s="2607" t="s">
        <v>17</v>
      </c>
      <c r="C4" s="2608"/>
      <c r="D4" s="2609"/>
    </row>
    <row r="5" spans="2:18" ht="21" customHeight="1" x14ac:dyDescent="0.2">
      <c r="B5" s="320" t="s">
        <v>18</v>
      </c>
      <c r="C5" s="1015">
        <f>C58</f>
        <v>34081.528383939003</v>
      </c>
      <c r="D5" s="57" t="s">
        <v>19</v>
      </c>
    </row>
    <row r="6" spans="2:18" ht="21" customHeight="1" x14ac:dyDescent="0.2">
      <c r="B6" s="442" t="s">
        <v>20</v>
      </c>
      <c r="C6" s="2800" t="str">
        <f>C9</f>
        <v>vFinale</v>
      </c>
      <c r="D6" s="2801"/>
    </row>
    <row r="7" spans="2:18" ht="21" customHeight="1" thickBot="1" x14ac:dyDescent="0.25">
      <c r="B7" s="321" t="s">
        <v>21</v>
      </c>
      <c r="C7" s="2802"/>
      <c r="D7" s="2803"/>
    </row>
    <row r="8" spans="2:18" ht="21" customHeight="1" thickBot="1" x14ac:dyDescent="0.25">
      <c r="B8" s="328"/>
    </row>
    <row r="9" spans="2:18" ht="21" customHeight="1" x14ac:dyDescent="0.2">
      <c r="B9" s="974" t="s">
        <v>22</v>
      </c>
      <c r="C9" s="2661" t="s">
        <v>1602</v>
      </c>
      <c r="D9" s="2662"/>
      <c r="E9" s="62"/>
      <c r="F9" s="62"/>
      <c r="G9" s="62"/>
      <c r="H9" s="62"/>
      <c r="I9" s="62"/>
      <c r="J9" s="62"/>
      <c r="K9" s="62"/>
      <c r="L9" s="62"/>
      <c r="M9" s="62"/>
      <c r="N9" s="62"/>
      <c r="O9" s="62"/>
      <c r="P9" s="62"/>
      <c r="Q9" s="62"/>
      <c r="R9" s="63"/>
    </row>
    <row r="10" spans="2:18" ht="21" customHeight="1" thickBot="1" x14ac:dyDescent="0.25">
      <c r="B10" s="980" t="s">
        <v>1905</v>
      </c>
      <c r="C10" s="1016">
        <f>C5/'ANNEXE A'!$C$248</f>
        <v>23.407643120837228</v>
      </c>
      <c r="D10" s="977" t="s">
        <v>24</v>
      </c>
      <c r="E10" s="64"/>
      <c r="F10" s="64"/>
      <c r="G10" s="64"/>
      <c r="H10" s="64"/>
      <c r="I10" s="64"/>
      <c r="J10" s="64"/>
      <c r="K10" s="64"/>
      <c r="L10" s="64"/>
      <c r="M10" s="64"/>
      <c r="N10" s="64"/>
      <c r="O10" s="64"/>
      <c r="P10" s="64"/>
      <c r="Q10" s="64"/>
      <c r="R10" s="65"/>
    </row>
    <row r="11" spans="2:18" ht="21" customHeight="1" thickBot="1" x14ac:dyDescent="0.25">
      <c r="B11" s="66"/>
      <c r="C11" s="67"/>
      <c r="D11" s="67"/>
      <c r="E11" s="67"/>
      <c r="F11" s="67"/>
      <c r="G11" s="67"/>
      <c r="H11" s="67"/>
      <c r="I11" s="67"/>
      <c r="J11" s="67"/>
      <c r="K11" s="67"/>
      <c r="L11" s="67"/>
      <c r="M11" s="67"/>
      <c r="N11" s="67"/>
      <c r="O11" s="67"/>
      <c r="P11" s="67"/>
      <c r="Q11" s="67"/>
      <c r="R11" s="68"/>
    </row>
    <row r="12" spans="2:18" ht="21" customHeight="1" thickBot="1" x14ac:dyDescent="0.25">
      <c r="B12" s="2791" t="s">
        <v>25</v>
      </c>
      <c r="C12" s="2792"/>
      <c r="D12" s="2792"/>
      <c r="E12" s="2792"/>
      <c r="F12" s="2792"/>
      <c r="G12" s="2792"/>
      <c r="H12" s="2792"/>
      <c r="I12" s="2792"/>
      <c r="J12" s="2792"/>
      <c r="K12" s="2792"/>
      <c r="L12" s="2792"/>
      <c r="M12" s="2792"/>
      <c r="N12" s="2792"/>
      <c r="O12" s="2792"/>
      <c r="P12" s="2792"/>
      <c r="Q12" s="2792"/>
      <c r="R12" s="2793"/>
    </row>
    <row r="13" spans="2:18" ht="78" customHeight="1" x14ac:dyDescent="0.2">
      <c r="B13" s="69" t="s">
        <v>26</v>
      </c>
      <c r="C13" s="2574" t="s">
        <v>2588</v>
      </c>
      <c r="D13" s="2575"/>
      <c r="E13" s="2575"/>
      <c r="F13" s="2575"/>
      <c r="G13" s="2575"/>
      <c r="H13" s="2575"/>
      <c r="I13" s="2575"/>
      <c r="J13" s="2575"/>
      <c r="K13" s="2575"/>
      <c r="L13" s="2575"/>
      <c r="M13" s="2575"/>
      <c r="N13" s="2575"/>
      <c r="O13" s="2575"/>
      <c r="P13" s="2575"/>
      <c r="Q13" s="2575"/>
      <c r="R13" s="2576"/>
    </row>
    <row r="14" spans="2:18" ht="47" customHeight="1" x14ac:dyDescent="0.2">
      <c r="B14" s="70" t="s">
        <v>27</v>
      </c>
      <c r="C14" s="2577" t="s">
        <v>2599</v>
      </c>
      <c r="D14" s="2578"/>
      <c r="E14" s="2578"/>
      <c r="F14" s="2578"/>
      <c r="G14" s="2578"/>
      <c r="H14" s="2578"/>
      <c r="I14" s="2578"/>
      <c r="J14" s="2578"/>
      <c r="K14" s="2578"/>
      <c r="L14" s="2578"/>
      <c r="M14" s="2578"/>
      <c r="N14" s="2578"/>
      <c r="O14" s="2578"/>
      <c r="P14" s="2578"/>
      <c r="Q14" s="2578"/>
      <c r="R14" s="2579"/>
    </row>
    <row r="15" spans="2:18" ht="47" customHeight="1" x14ac:dyDescent="0.2">
      <c r="B15" s="70" t="s">
        <v>28</v>
      </c>
      <c r="C15" s="2794"/>
      <c r="D15" s="2584"/>
      <c r="E15" s="2584"/>
      <c r="F15" s="2584"/>
      <c r="G15" s="2584"/>
      <c r="H15" s="2584"/>
      <c r="I15" s="2584"/>
      <c r="J15" s="2584"/>
      <c r="K15" s="2584"/>
      <c r="L15" s="2584"/>
      <c r="M15" s="2584"/>
      <c r="N15" s="2584"/>
      <c r="O15" s="2584"/>
      <c r="P15" s="2584"/>
      <c r="Q15" s="2584"/>
      <c r="R15" s="2585"/>
    </row>
    <row r="16" spans="2:18" ht="29" customHeight="1" x14ac:dyDescent="0.2">
      <c r="B16" s="70" t="s">
        <v>29</v>
      </c>
      <c r="C16" s="2600"/>
      <c r="D16" s="2578"/>
      <c r="E16" s="2578"/>
      <c r="F16" s="2578"/>
      <c r="G16" s="2578"/>
      <c r="H16" s="2578"/>
      <c r="I16" s="2578"/>
      <c r="J16" s="2578"/>
      <c r="K16" s="2578"/>
      <c r="L16" s="2578"/>
      <c r="M16" s="2578"/>
      <c r="N16" s="2578"/>
      <c r="O16" s="2578"/>
      <c r="P16" s="2578"/>
      <c r="Q16" s="2578"/>
      <c r="R16" s="2579"/>
    </row>
    <row r="17" spans="2:18" ht="25" customHeight="1" x14ac:dyDescent="0.2">
      <c r="B17" s="70" t="s">
        <v>30</v>
      </c>
      <c r="C17" s="2600" t="s">
        <v>586</v>
      </c>
      <c r="D17" s="2578"/>
      <c r="E17" s="2578"/>
      <c r="F17" s="2578"/>
      <c r="G17" s="2578"/>
      <c r="H17" s="2578"/>
      <c r="I17" s="2578"/>
      <c r="J17" s="2578"/>
      <c r="K17" s="2578"/>
      <c r="L17" s="2578"/>
      <c r="M17" s="2578"/>
      <c r="N17" s="2578"/>
      <c r="O17" s="2578"/>
      <c r="P17" s="2578"/>
      <c r="Q17" s="2578"/>
      <c r="R17" s="2579"/>
    </row>
    <row r="18" spans="2:18" ht="22" customHeight="1" x14ac:dyDescent="0.2">
      <c r="B18" s="70" t="s">
        <v>31</v>
      </c>
      <c r="C18" s="2600" t="s">
        <v>587</v>
      </c>
      <c r="D18" s="2578"/>
      <c r="E18" s="2578"/>
      <c r="F18" s="2578"/>
      <c r="G18" s="2578"/>
      <c r="H18" s="2578"/>
      <c r="I18" s="2578"/>
      <c r="J18" s="2578"/>
      <c r="K18" s="2578"/>
      <c r="L18" s="2578"/>
      <c r="M18" s="2578"/>
      <c r="N18" s="2578"/>
      <c r="O18" s="2578"/>
      <c r="P18" s="2578"/>
      <c r="Q18" s="2578"/>
      <c r="R18" s="2579"/>
    </row>
    <row r="19" spans="2:18" ht="23" customHeight="1" thickBot="1" x14ac:dyDescent="0.25">
      <c r="B19" s="71" t="s">
        <v>33</v>
      </c>
      <c r="C19" s="2580"/>
      <c r="D19" s="2581"/>
      <c r="E19" s="2581"/>
      <c r="F19" s="2581"/>
      <c r="G19" s="2581"/>
      <c r="H19" s="2581"/>
      <c r="I19" s="2581"/>
      <c r="J19" s="2581"/>
      <c r="K19" s="2581"/>
      <c r="L19" s="2581"/>
      <c r="M19" s="2581"/>
      <c r="N19" s="2581"/>
      <c r="O19" s="2581"/>
      <c r="P19" s="2581"/>
      <c r="Q19" s="2581"/>
      <c r="R19" s="2582"/>
    </row>
    <row r="20" spans="2:18" ht="24" customHeight="1" x14ac:dyDescent="0.2"/>
    <row r="21" spans="2:18" ht="27" customHeight="1" x14ac:dyDescent="0.2">
      <c r="B21" s="433" t="s">
        <v>1353</v>
      </c>
    </row>
    <row r="22" spans="2:18" ht="27" customHeight="1" thickBot="1" x14ac:dyDescent="0.25">
      <c r="B22" s="433"/>
    </row>
    <row r="23" spans="2:18" ht="27" customHeight="1" x14ac:dyDescent="0.2">
      <c r="B23" s="2772" t="s">
        <v>2585</v>
      </c>
      <c r="C23" s="2773"/>
      <c r="D23" s="2773"/>
      <c r="E23" s="2773"/>
      <c r="F23" s="2773"/>
      <c r="G23" s="2773"/>
      <c r="H23" s="2773"/>
      <c r="I23" s="2773"/>
      <c r="J23" s="2774"/>
    </row>
    <row r="24" spans="2:18" ht="27" customHeight="1" thickBot="1" x14ac:dyDescent="0.25">
      <c r="B24" s="2775"/>
      <c r="C24" s="2776"/>
      <c r="D24" s="2776"/>
      <c r="E24" s="2776"/>
      <c r="F24" s="2776"/>
      <c r="G24" s="2776"/>
      <c r="H24" s="2776"/>
      <c r="I24" s="2776"/>
      <c r="J24" s="2777"/>
    </row>
    <row r="25" spans="2:18" ht="27" customHeight="1" x14ac:dyDescent="0.2"/>
    <row r="26" spans="2:18" ht="26" customHeight="1" x14ac:dyDescent="0.2">
      <c r="B26" s="325" t="s">
        <v>2557</v>
      </c>
      <c r="C26" s="2"/>
      <c r="D26" s="2"/>
      <c r="I26" s="86"/>
    </row>
    <row r="27" spans="2:18" ht="26" customHeight="1" x14ac:dyDescent="0.2">
      <c r="B27" s="430"/>
      <c r="D27" s="2348"/>
      <c r="E27" s="322"/>
      <c r="I27" s="86"/>
    </row>
    <row r="28" spans="2:18" ht="26" customHeight="1" x14ac:dyDescent="0.2">
      <c r="B28" s="7" t="s">
        <v>124</v>
      </c>
      <c r="C28" s="60" t="s">
        <v>36</v>
      </c>
      <c r="D28" s="60" t="s">
        <v>59</v>
      </c>
      <c r="E28" s="2781" t="s">
        <v>0</v>
      </c>
      <c r="F28" s="2781"/>
      <c r="G28" s="2781"/>
    </row>
    <row r="29" spans="2:18" ht="26" customHeight="1" x14ac:dyDescent="0.2">
      <c r="B29" s="81" t="s">
        <v>2551</v>
      </c>
      <c r="C29" s="344">
        <f>'ANNEXE A'!C241</f>
        <v>1570865</v>
      </c>
      <c r="D29" s="81" t="s">
        <v>1345</v>
      </c>
      <c r="E29" s="2657" t="s">
        <v>2584</v>
      </c>
      <c r="F29" s="2657"/>
      <c r="G29" s="2657"/>
    </row>
    <row r="30" spans="2:18" ht="26" customHeight="1" x14ac:dyDescent="0.2">
      <c r="B30" s="2346" t="s">
        <v>2550</v>
      </c>
      <c r="C30" s="2392">
        <f>D280</f>
        <v>0.44444444444444442</v>
      </c>
      <c r="D30" s="2346"/>
      <c r="E30" s="2744" t="s">
        <v>2600</v>
      </c>
      <c r="F30" s="2744"/>
      <c r="G30" s="2744"/>
    </row>
    <row r="31" spans="2:18" ht="26" customHeight="1" x14ac:dyDescent="0.2">
      <c r="B31" s="76" t="s">
        <v>2552</v>
      </c>
      <c r="C31" s="2393">
        <f>C30*C29</f>
        <v>698162.22222222213</v>
      </c>
      <c r="D31" s="81" t="s">
        <v>1345</v>
      </c>
      <c r="E31" s="2778"/>
      <c r="F31" s="2779"/>
      <c r="G31" s="2780"/>
    </row>
    <row r="32" spans="2:18" ht="26" customHeight="1" x14ac:dyDescent="0.2">
      <c r="C32" s="2390"/>
      <c r="E32"/>
      <c r="F32"/>
      <c r="G32"/>
    </row>
    <row r="33" spans="2:12" ht="26" customHeight="1" x14ac:dyDescent="0.2">
      <c r="B33" s="1633" t="s">
        <v>1357</v>
      </c>
      <c r="C33" s="2390"/>
      <c r="E33"/>
      <c r="F33"/>
      <c r="G33"/>
    </row>
    <row r="34" spans="2:12" ht="26" customHeight="1" x14ac:dyDescent="0.2">
      <c r="B34" s="55" t="s">
        <v>2556</v>
      </c>
      <c r="C34" s="2390"/>
      <c r="E34"/>
      <c r="F34"/>
      <c r="G34"/>
    </row>
    <row r="35" spans="2:12" ht="26" customHeight="1" x14ac:dyDescent="0.2">
      <c r="B35" s="60" t="s">
        <v>612</v>
      </c>
      <c r="C35" s="60" t="s">
        <v>148</v>
      </c>
      <c r="D35" s="60" t="s">
        <v>59</v>
      </c>
      <c r="E35" s="79" t="s">
        <v>613</v>
      </c>
      <c r="F35" s="74" t="s">
        <v>106</v>
      </c>
      <c r="G35" s="60" t="s">
        <v>615</v>
      </c>
      <c r="H35" s="60" t="s">
        <v>59</v>
      </c>
    </row>
    <row r="36" spans="2:12" ht="26" customHeight="1" x14ac:dyDescent="0.2">
      <c r="B36" s="89" t="s">
        <v>2553</v>
      </c>
      <c r="C36" s="2391">
        <f>C204*1000</f>
        <v>1522.2380054015412</v>
      </c>
      <c r="D36" s="89" t="s">
        <v>2106</v>
      </c>
      <c r="E36" s="77">
        <v>50</v>
      </c>
      <c r="F36" s="78">
        <f>C31</f>
        <v>698162.22222222213</v>
      </c>
      <c r="G36" s="91">
        <f>C36*F36/E36</f>
        <v>21255381.37204526</v>
      </c>
      <c r="H36" s="89" t="s">
        <v>67</v>
      </c>
    </row>
    <row r="37" spans="2:12" ht="26" customHeight="1" x14ac:dyDescent="0.2">
      <c r="B37" s="89" t="s">
        <v>2554</v>
      </c>
      <c r="C37" s="2391">
        <f>C36*(1+C216)</f>
        <v>515.85196440842242</v>
      </c>
      <c r="D37" s="89" t="s">
        <v>2106</v>
      </c>
      <c r="E37" s="77">
        <v>50</v>
      </c>
      <c r="F37" s="78">
        <f>C29-F36</f>
        <v>872702.77777777787</v>
      </c>
      <c r="G37" s="91">
        <f>C37*F37/E37</f>
        <v>9003708.8452270739</v>
      </c>
      <c r="H37" s="89" t="s">
        <v>67</v>
      </c>
    </row>
    <row r="38" spans="2:12" ht="26" customHeight="1" x14ac:dyDescent="0.2">
      <c r="F38" s="336" t="s">
        <v>198</v>
      </c>
      <c r="G38" s="352">
        <f>SUM(G36:G37)</f>
        <v>30259090.217272334</v>
      </c>
      <c r="H38" s="7" t="s">
        <v>71</v>
      </c>
    </row>
    <row r="39" spans="2:12" ht="23" customHeight="1" x14ac:dyDescent="0.2">
      <c r="B39" s="102"/>
      <c r="C39" s="2349"/>
      <c r="D39" s="2350"/>
      <c r="E39" s="2351"/>
    </row>
    <row r="40" spans="2:12" ht="27" customHeight="1" x14ac:dyDescent="0.2">
      <c r="B40" s="325" t="s">
        <v>2558</v>
      </c>
    </row>
    <row r="41" spans="2:12" ht="27" customHeight="1" x14ac:dyDescent="0.2">
      <c r="B41" s="325"/>
    </row>
    <row r="42" spans="2:12" ht="22" customHeight="1" x14ac:dyDescent="0.2">
      <c r="B42" s="1633" t="s">
        <v>1357</v>
      </c>
    </row>
    <row r="43" spans="2:12" ht="21" customHeight="1" x14ac:dyDescent="0.2">
      <c r="B43" s="1999" t="s">
        <v>2586</v>
      </c>
    </row>
    <row r="44" spans="2:12" ht="21" customHeight="1" x14ac:dyDescent="0.2">
      <c r="B44" s="1999" t="s">
        <v>2587</v>
      </c>
    </row>
    <row r="45" spans="2:12" ht="27" customHeight="1" x14ac:dyDescent="0.2">
      <c r="B45" s="60" t="s">
        <v>612</v>
      </c>
      <c r="C45" s="60" t="s">
        <v>148</v>
      </c>
      <c r="D45" s="60" t="s">
        <v>59</v>
      </c>
      <c r="E45" s="79" t="s">
        <v>613</v>
      </c>
      <c r="F45" s="74" t="s">
        <v>614</v>
      </c>
      <c r="G45" s="60" t="s">
        <v>615</v>
      </c>
      <c r="H45" s="60" t="s">
        <v>59</v>
      </c>
      <c r="I45" s="86"/>
    </row>
    <row r="46" spans="2:12" ht="25" x14ac:dyDescent="0.2">
      <c r="B46" s="89" t="s">
        <v>595</v>
      </c>
      <c r="C46" s="88">
        <v>73</v>
      </c>
      <c r="D46" s="89" t="s">
        <v>596</v>
      </c>
      <c r="E46" s="77">
        <v>30</v>
      </c>
      <c r="F46" s="78">
        <f>C100</f>
        <v>1963581.25</v>
      </c>
      <c r="G46" s="91">
        <f>(F46*C46)/E46</f>
        <v>4778047.708333333</v>
      </c>
      <c r="H46" s="89" t="s">
        <v>67</v>
      </c>
      <c r="L46" s="2352"/>
    </row>
    <row r="47" spans="2:12" ht="23" customHeight="1" x14ac:dyDescent="0.2">
      <c r="F47" s="336" t="s">
        <v>198</v>
      </c>
      <c r="G47" s="352">
        <f>G46/1000</f>
        <v>4778.0477083333326</v>
      </c>
      <c r="H47" s="7" t="s">
        <v>71</v>
      </c>
      <c r="J47" s="86"/>
    </row>
    <row r="48" spans="2:12" ht="21" customHeight="1" x14ac:dyDescent="0.2">
      <c r="J48" s="86"/>
    </row>
    <row r="49" spans="2:8" ht="28" customHeight="1" x14ac:dyDescent="0.2">
      <c r="B49" s="325" t="s">
        <v>1358</v>
      </c>
    </row>
    <row r="50" spans="2:8" ht="28" customHeight="1" thickBot="1" x14ac:dyDescent="0.25">
      <c r="B50" s="325"/>
    </row>
    <row r="51" spans="2:8" ht="43" customHeight="1" thickBot="1" x14ac:dyDescent="0.25">
      <c r="B51" s="2353"/>
      <c r="C51" s="2354" t="s">
        <v>124</v>
      </c>
      <c r="D51" s="2355" t="s">
        <v>106</v>
      </c>
      <c r="E51" s="2356" t="s">
        <v>148</v>
      </c>
      <c r="F51" s="2355" t="s">
        <v>59</v>
      </c>
      <c r="G51" s="2357" t="s">
        <v>1613</v>
      </c>
      <c r="H51" s="2358" t="s">
        <v>1610</v>
      </c>
    </row>
    <row r="52" spans="2:8" ht="29" customHeight="1" x14ac:dyDescent="0.2">
      <c r="B52" s="2788" t="s">
        <v>1594</v>
      </c>
      <c r="C52" s="995" t="s">
        <v>2547</v>
      </c>
      <c r="D52" s="1001">
        <f>F36</f>
        <v>698162.22222222213</v>
      </c>
      <c r="E52" s="2361">
        <f>C36</f>
        <v>1522.2380054015412</v>
      </c>
      <c r="F52" s="996" t="str">
        <f>D36</f>
        <v>kgCO2e/place</v>
      </c>
      <c r="G52" s="2359">
        <f>E36</f>
        <v>50</v>
      </c>
      <c r="H52" s="880">
        <f>D52*E52/G52/1000</f>
        <v>21255.38137204526</v>
      </c>
    </row>
    <row r="53" spans="2:8" ht="29" customHeight="1" x14ac:dyDescent="0.2">
      <c r="B53" s="2789"/>
      <c r="C53" s="2384" t="s">
        <v>2548</v>
      </c>
      <c r="D53" s="2385">
        <f>F37</f>
        <v>872702.77777777787</v>
      </c>
      <c r="E53" s="2387">
        <f>C37</f>
        <v>515.85196440842242</v>
      </c>
      <c r="F53" s="2386" t="str">
        <f>D36</f>
        <v>kgCO2e/place</v>
      </c>
      <c r="G53" s="2388">
        <f>E37</f>
        <v>50</v>
      </c>
      <c r="H53" s="881">
        <f>D53*E53/G53/1000</f>
        <v>9003.7088452270746</v>
      </c>
    </row>
    <row r="54" spans="2:8" ht="29" customHeight="1" thickBot="1" x14ac:dyDescent="0.25">
      <c r="B54" s="2790"/>
      <c r="C54" s="998" t="s">
        <v>2549</v>
      </c>
      <c r="D54" s="1003">
        <f>'ANNEXE A'!$C$241</f>
        <v>1570865</v>
      </c>
      <c r="E54" s="2362">
        <f>C46</f>
        <v>73</v>
      </c>
      <c r="F54" s="999" t="str">
        <f>D46</f>
        <v>kgCO2e/m²</v>
      </c>
      <c r="G54" s="2360">
        <f>E46</f>
        <v>30</v>
      </c>
      <c r="H54" s="882">
        <f>D54*E54/G54/1000</f>
        <v>3822.4381666666663</v>
      </c>
    </row>
    <row r="55" spans="2:8" ht="29" customHeight="1" thickBot="1" x14ac:dyDescent="0.25">
      <c r="B55" s="2603"/>
      <c r="C55" s="2763"/>
      <c r="D55" s="2763"/>
      <c r="E55" s="2763"/>
      <c r="F55" s="2399" t="s">
        <v>1595</v>
      </c>
      <c r="G55" s="2400"/>
      <c r="H55" s="989">
        <f>SUM(H52:H54)</f>
        <v>34081.528383939003</v>
      </c>
    </row>
    <row r="56" spans="2:8" ht="28" customHeight="1" x14ac:dyDescent="0.2">
      <c r="B56" s="328"/>
      <c r="C56" s="525"/>
      <c r="D56" s="525"/>
    </row>
    <row r="57" spans="2:8" ht="28" customHeight="1" thickBot="1" x14ac:dyDescent="0.25"/>
    <row r="58" spans="2:8" ht="39" customHeight="1" thickBot="1" x14ac:dyDescent="0.25">
      <c r="B58" s="862" t="s">
        <v>765</v>
      </c>
      <c r="C58" s="863">
        <f>H55</f>
        <v>34081.528383939003</v>
      </c>
      <c r="D58" s="864" t="s">
        <v>71</v>
      </c>
    </row>
    <row r="59" spans="2:8" ht="22" customHeight="1" x14ac:dyDescent="0.2"/>
    <row r="60" spans="2:8" ht="22" customHeight="1" x14ac:dyDescent="0.2"/>
    <row r="61" spans="2:8" ht="23" x14ac:dyDescent="0.2">
      <c r="B61" s="433" t="s">
        <v>1352</v>
      </c>
    </row>
    <row r="62" spans="2:8" hidden="1" outlineLevel="1" x14ac:dyDescent="0.2"/>
    <row r="63" spans="2:8" ht="18" hidden="1" outlineLevel="1" x14ac:dyDescent="0.2">
      <c r="B63" s="1634" t="s">
        <v>588</v>
      </c>
    </row>
    <row r="64" spans="2:8" hidden="1" outlineLevel="1" x14ac:dyDescent="0.2"/>
    <row r="65" spans="2:5" hidden="1" outlineLevel="1" x14ac:dyDescent="0.2">
      <c r="B65" s="60" t="s">
        <v>124</v>
      </c>
      <c r="C65" s="60" t="s">
        <v>36</v>
      </c>
      <c r="D65" s="60" t="s">
        <v>59</v>
      </c>
      <c r="E65" s="60" t="s">
        <v>125</v>
      </c>
    </row>
    <row r="66" spans="2:5" hidden="1" outlineLevel="1" x14ac:dyDescent="0.2">
      <c r="B66" s="81" t="s">
        <v>590</v>
      </c>
      <c r="C66" s="347">
        <v>155</v>
      </c>
      <c r="D66" s="89" t="s">
        <v>591</v>
      </c>
      <c r="E66" s="81" t="s">
        <v>592</v>
      </c>
    </row>
    <row r="67" spans="2:5" hidden="1" outlineLevel="1" x14ac:dyDescent="0.2">
      <c r="B67" s="81" t="s">
        <v>593</v>
      </c>
      <c r="C67" s="347">
        <v>88</v>
      </c>
      <c r="D67" s="89" t="s">
        <v>591</v>
      </c>
      <c r="E67" s="81" t="s">
        <v>592</v>
      </c>
    </row>
    <row r="68" spans="2:5" hidden="1" outlineLevel="1" x14ac:dyDescent="0.2">
      <c r="B68" s="89" t="s">
        <v>508</v>
      </c>
      <c r="C68" s="347">
        <f>2.21*10^3</f>
        <v>2210</v>
      </c>
      <c r="D68" s="89" t="s">
        <v>591</v>
      </c>
      <c r="E68" s="81" t="s">
        <v>592</v>
      </c>
    </row>
    <row r="69" spans="2:5" hidden="1" outlineLevel="1" x14ac:dyDescent="0.2">
      <c r="B69" s="81" t="s">
        <v>594</v>
      </c>
      <c r="C69" s="347">
        <v>938</v>
      </c>
      <c r="D69" s="89" t="s">
        <v>591</v>
      </c>
      <c r="E69" s="81" t="s">
        <v>592</v>
      </c>
    </row>
    <row r="70" spans="2:5" hidden="1" outlineLevel="1" x14ac:dyDescent="0.2">
      <c r="B70" s="89" t="s">
        <v>595</v>
      </c>
      <c r="C70" s="2363">
        <v>73</v>
      </c>
      <c r="D70" s="89" t="s">
        <v>596</v>
      </c>
      <c r="E70" s="81" t="s">
        <v>592</v>
      </c>
    </row>
    <row r="71" spans="2:5" hidden="1" outlineLevel="1" x14ac:dyDescent="0.2">
      <c r="B71" s="89" t="s">
        <v>597</v>
      </c>
      <c r="C71" s="2363">
        <v>506</v>
      </c>
      <c r="D71" s="89" t="s">
        <v>596</v>
      </c>
      <c r="E71" s="81" t="s">
        <v>592</v>
      </c>
    </row>
    <row r="72" spans="2:5" hidden="1" outlineLevel="1" x14ac:dyDescent="0.2">
      <c r="B72" s="89" t="s">
        <v>599</v>
      </c>
      <c r="C72" s="347">
        <v>169</v>
      </c>
      <c r="D72" s="89" t="s">
        <v>596</v>
      </c>
      <c r="E72" s="81" t="s">
        <v>592</v>
      </c>
    </row>
    <row r="73" spans="2:5" s="2" customFormat="1" hidden="1" outlineLevel="1" x14ac:dyDescent="0.2"/>
    <row r="74" spans="2:5" hidden="1" outlineLevel="1" x14ac:dyDescent="0.2"/>
    <row r="75" spans="2:5" ht="18" hidden="1" outlineLevel="1" x14ac:dyDescent="0.2">
      <c r="B75" s="1634" t="s">
        <v>600</v>
      </c>
    </row>
    <row r="76" spans="2:5" hidden="1" outlineLevel="1" x14ac:dyDescent="0.2"/>
    <row r="77" spans="2:5" hidden="1" outlineLevel="1" x14ac:dyDescent="0.2">
      <c r="B77" s="328" t="s">
        <v>601</v>
      </c>
    </row>
    <row r="78" spans="2:5" hidden="1" outlineLevel="1" x14ac:dyDescent="0.2">
      <c r="B78" s="575" t="s">
        <v>602</v>
      </c>
      <c r="C78" s="575" t="s">
        <v>603</v>
      </c>
      <c r="D78" s="575" t="s">
        <v>7</v>
      </c>
    </row>
    <row r="79" spans="2:5" hidden="1" outlineLevel="1" x14ac:dyDescent="0.2">
      <c r="B79" s="81" t="s">
        <v>604</v>
      </c>
      <c r="C79" s="77">
        <v>17282</v>
      </c>
      <c r="D79" s="369">
        <f>C79/$C$81</f>
        <v>0.8914680697410502</v>
      </c>
    </row>
    <row r="80" spans="2:5" hidden="1" outlineLevel="1" x14ac:dyDescent="0.2">
      <c r="B80" s="9" t="s">
        <v>605</v>
      </c>
      <c r="C80" s="1014">
        <v>1964</v>
      </c>
      <c r="D80" s="369">
        <f>C80/$C$81</f>
        <v>0.10131022387289797</v>
      </c>
    </row>
    <row r="81" spans="2:4" hidden="1" outlineLevel="1" x14ac:dyDescent="0.2">
      <c r="B81" s="81" t="s">
        <v>606</v>
      </c>
      <c r="C81" s="77">
        <v>19386</v>
      </c>
      <c r="D81" s="369"/>
    </row>
    <row r="82" spans="2:4" hidden="1" outlineLevel="1" x14ac:dyDescent="0.2"/>
    <row r="83" spans="2:4" hidden="1" outlineLevel="1" x14ac:dyDescent="0.2">
      <c r="B83" s="328" t="s">
        <v>607</v>
      </c>
    </row>
    <row r="84" spans="2:4" hidden="1" outlineLevel="1" x14ac:dyDescent="0.2">
      <c r="B84" s="575" t="s">
        <v>608</v>
      </c>
      <c r="C84" s="575" t="s">
        <v>603</v>
      </c>
      <c r="D84" s="575" t="s">
        <v>7</v>
      </c>
    </row>
    <row r="85" spans="2:4" hidden="1" outlineLevel="1" x14ac:dyDescent="0.2">
      <c r="B85" s="81" t="s">
        <v>604</v>
      </c>
      <c r="C85" s="77">
        <v>8247</v>
      </c>
      <c r="D85" s="369">
        <f>C85/$C$87</f>
        <v>0.79642684693384835</v>
      </c>
    </row>
    <row r="86" spans="2:4" hidden="1" outlineLevel="1" x14ac:dyDescent="0.2">
      <c r="B86" s="9" t="s">
        <v>605</v>
      </c>
      <c r="C86" s="1014">
        <v>821</v>
      </c>
      <c r="D86" s="369">
        <f>C86/$C$87</f>
        <v>7.928536938676968E-2</v>
      </c>
    </row>
    <row r="87" spans="2:4" hidden="1" outlineLevel="1" x14ac:dyDescent="0.2">
      <c r="B87" s="81" t="s">
        <v>606</v>
      </c>
      <c r="C87" s="77">
        <v>10355</v>
      </c>
      <c r="D87" s="369"/>
    </row>
    <row r="88" spans="2:4" hidden="1" outlineLevel="1" x14ac:dyDescent="0.2"/>
    <row r="89" spans="2:4" hidden="1" outlineLevel="1" x14ac:dyDescent="0.2">
      <c r="B89" s="11" t="s">
        <v>609</v>
      </c>
    </row>
    <row r="90" spans="2:4" hidden="1" outlineLevel="1" x14ac:dyDescent="0.2"/>
    <row r="91" spans="2:4" hidden="1" outlineLevel="1" x14ac:dyDescent="0.2"/>
    <row r="92" spans="2:4" ht="18" hidden="1" outlineLevel="1" x14ac:dyDescent="0.2">
      <c r="B92" s="1634" t="s">
        <v>610</v>
      </c>
    </row>
    <row r="93" spans="2:4" hidden="1" outlineLevel="1" x14ac:dyDescent="0.2"/>
    <row r="94" spans="2:4" hidden="1" outlineLevel="1" x14ac:dyDescent="0.2">
      <c r="B94" s="1633" t="s">
        <v>1926</v>
      </c>
    </row>
    <row r="95" spans="2:4" hidden="1" outlineLevel="1" x14ac:dyDescent="0.2">
      <c r="B95" s="86" t="s">
        <v>1923</v>
      </c>
    </row>
    <row r="96" spans="2:4" hidden="1" outlineLevel="1" x14ac:dyDescent="0.2">
      <c r="B96" s="86" t="s">
        <v>1924</v>
      </c>
    </row>
    <row r="97" spans="1:16" hidden="1" outlineLevel="1" x14ac:dyDescent="0.2">
      <c r="E97" s="86"/>
    </row>
    <row r="98" spans="1:16" ht="17" hidden="1" outlineLevel="1" x14ac:dyDescent="0.2">
      <c r="B98" s="60" t="s">
        <v>589</v>
      </c>
      <c r="C98" s="60" t="s">
        <v>611</v>
      </c>
      <c r="D98" s="73" t="s">
        <v>37</v>
      </c>
    </row>
    <row r="99" spans="1:16" hidden="1" outlineLevel="1" x14ac:dyDescent="0.2">
      <c r="B99" s="77">
        <v>1</v>
      </c>
      <c r="C99" s="77">
        <v>25</v>
      </c>
      <c r="D99" s="76"/>
    </row>
    <row r="100" spans="1:16" ht="17" hidden="1" customHeight="1" outlineLevel="1" x14ac:dyDescent="0.2">
      <c r="B100" s="457">
        <f>$C$29*5%</f>
        <v>78543.25</v>
      </c>
      <c r="C100" s="457">
        <f>B100*C99/B99</f>
        <v>1963581.25</v>
      </c>
      <c r="D100" s="292" t="s">
        <v>1925</v>
      </c>
    </row>
    <row r="101" spans="1:16" hidden="1" outlineLevel="1" x14ac:dyDescent="0.2"/>
    <row r="102" spans="1:16" hidden="1" outlineLevel="1" x14ac:dyDescent="0.2">
      <c r="A102" s="2"/>
      <c r="B102" s="2"/>
      <c r="C102" s="2"/>
      <c r="D102" s="2"/>
      <c r="E102" s="2"/>
      <c r="F102" s="2"/>
      <c r="G102" s="2"/>
      <c r="H102" s="2"/>
      <c r="I102" s="2"/>
      <c r="J102" s="2"/>
      <c r="K102" s="2364"/>
      <c r="L102" s="2"/>
    </row>
    <row r="103" spans="1:16" ht="20" hidden="1" outlineLevel="1" x14ac:dyDescent="0.2">
      <c r="A103" s="2"/>
      <c r="B103" s="1634" t="s">
        <v>2085</v>
      </c>
      <c r="C103" s="2"/>
      <c r="D103" s="2"/>
      <c r="E103" s="2"/>
      <c r="F103" s="2"/>
      <c r="G103" s="325"/>
      <c r="K103" s="463"/>
      <c r="L103" s="362"/>
      <c r="P103" s="346"/>
    </row>
    <row r="104" spans="1:16" hidden="1" outlineLevel="1" x14ac:dyDescent="0.2">
      <c r="A104" s="2"/>
      <c r="B104" s="2"/>
      <c r="C104" s="2"/>
      <c r="D104" s="2"/>
      <c r="E104" s="2"/>
      <c r="F104" s="2"/>
      <c r="G104" s="328"/>
      <c r="P104" s="346"/>
    </row>
    <row r="105" spans="1:16" ht="18" hidden="1" outlineLevel="1" x14ac:dyDescent="0.2">
      <c r="A105" s="2"/>
      <c r="B105" s="2365" t="s">
        <v>2099</v>
      </c>
      <c r="C105" s="2"/>
      <c r="D105" s="2"/>
      <c r="E105" s="2"/>
      <c r="F105" s="2"/>
      <c r="G105" s="2"/>
      <c r="H105" s="2"/>
      <c r="I105" s="2"/>
      <c r="J105" s="2"/>
      <c r="K105" s="2364"/>
      <c r="L105" s="2"/>
    </row>
    <row r="106" spans="1:16" ht="18" hidden="1" outlineLevel="1" x14ac:dyDescent="0.2">
      <c r="A106" s="2"/>
      <c r="B106" s="2190"/>
      <c r="C106" s="2"/>
      <c r="D106" s="2"/>
      <c r="E106" s="2"/>
      <c r="F106" s="2"/>
      <c r="G106" s="2"/>
      <c r="H106" s="2"/>
      <c r="I106" s="2"/>
      <c r="J106" s="2"/>
      <c r="K106" s="2364"/>
      <c r="L106" s="2"/>
    </row>
    <row r="107" spans="1:16" hidden="1" outlineLevel="1" x14ac:dyDescent="0.2">
      <c r="A107" s="2"/>
      <c r="B107" s="2366" t="s">
        <v>2078</v>
      </c>
      <c r="C107" s="2367">
        <v>25178</v>
      </c>
      <c r="D107" s="2368" t="s">
        <v>1345</v>
      </c>
      <c r="E107" s="2"/>
      <c r="F107" s="2"/>
      <c r="G107" s="2"/>
      <c r="H107" s="2"/>
      <c r="I107" s="2"/>
      <c r="J107" s="2"/>
      <c r="K107" s="2364"/>
      <c r="L107" s="2"/>
    </row>
    <row r="108" spans="1:16" hidden="1" outlineLevel="1" x14ac:dyDescent="0.2">
      <c r="A108" s="2"/>
      <c r="B108" s="2369" t="s">
        <v>2100</v>
      </c>
      <c r="C108" s="2"/>
      <c r="D108" s="2370"/>
      <c r="E108" s="2"/>
      <c r="F108" s="2"/>
      <c r="G108" s="2"/>
      <c r="H108" s="2"/>
      <c r="I108" s="2"/>
      <c r="J108" s="2"/>
      <c r="K108" s="2364"/>
      <c r="L108" s="2"/>
    </row>
    <row r="109" spans="1:16" hidden="1" outlineLevel="1" x14ac:dyDescent="0.2">
      <c r="A109" s="2"/>
      <c r="B109" s="448" t="s">
        <v>2104</v>
      </c>
      <c r="C109" s="2"/>
      <c r="D109" s="2370"/>
      <c r="E109" s="2"/>
      <c r="F109" s="2"/>
      <c r="G109" s="2"/>
      <c r="H109" s="2"/>
      <c r="I109" s="2"/>
      <c r="J109" s="2"/>
      <c r="K109" s="2364"/>
      <c r="L109" s="2"/>
    </row>
    <row r="110" spans="1:16" ht="39" hidden="1" customHeight="1" outlineLevel="1" x14ac:dyDescent="0.2">
      <c r="A110" s="2"/>
      <c r="B110" s="2785" t="s">
        <v>2105</v>
      </c>
      <c r="C110" s="2786"/>
      <c r="D110" s="2787"/>
      <c r="E110" s="2"/>
      <c r="F110" s="2"/>
      <c r="G110" s="2"/>
      <c r="H110" s="2"/>
      <c r="I110" s="2"/>
      <c r="J110" s="2"/>
      <c r="K110" s="2364"/>
      <c r="L110" s="2"/>
    </row>
    <row r="111" spans="1:16" hidden="1" outlineLevel="1" x14ac:dyDescent="0.2">
      <c r="A111" s="2"/>
      <c r="B111" s="2"/>
      <c r="C111" s="2"/>
      <c r="D111" s="2"/>
      <c r="E111" s="2"/>
      <c r="F111" s="2"/>
      <c r="G111" s="2"/>
      <c r="H111" s="2"/>
      <c r="I111" s="2"/>
      <c r="J111" s="2"/>
      <c r="K111" s="2364"/>
      <c r="L111" s="2"/>
    </row>
    <row r="112" spans="1:16" hidden="1" outlineLevel="1" x14ac:dyDescent="0.2">
      <c r="A112" s="2"/>
      <c r="B112" s="644" t="s">
        <v>2101</v>
      </c>
      <c r="C112" s="2"/>
      <c r="D112" s="2"/>
      <c r="E112" s="2"/>
      <c r="F112" s="2"/>
      <c r="G112" s="2"/>
      <c r="H112" s="2"/>
      <c r="I112" s="2"/>
      <c r="J112" s="2"/>
      <c r="K112" s="2364"/>
      <c r="L112" s="2"/>
    </row>
    <row r="113" spans="1:13" hidden="1" outlineLevel="1" x14ac:dyDescent="0.2">
      <c r="C113" s="2"/>
      <c r="D113" s="2"/>
      <c r="E113" s="2"/>
      <c r="F113" s="2"/>
      <c r="G113" s="2"/>
      <c r="H113" s="2"/>
      <c r="I113" s="2"/>
      <c r="J113" s="2"/>
      <c r="K113" s="2364"/>
      <c r="L113" s="2"/>
    </row>
    <row r="114" spans="1:13" hidden="1" outlineLevel="1" x14ac:dyDescent="0.2">
      <c r="A114" s="2"/>
      <c r="B114" s="81"/>
      <c r="C114" s="60" t="s">
        <v>2050</v>
      </c>
      <c r="D114" s="60" t="s">
        <v>59</v>
      </c>
      <c r="E114" s="7" t="s">
        <v>2053</v>
      </c>
      <c r="F114" s="60" t="s">
        <v>67</v>
      </c>
      <c r="G114" s="60" t="s">
        <v>922</v>
      </c>
      <c r="H114" s="2"/>
      <c r="I114" s="2"/>
      <c r="J114" s="2"/>
      <c r="K114" s="2364"/>
      <c r="L114" s="2"/>
    </row>
    <row r="115" spans="1:13" hidden="1" outlineLevel="1" x14ac:dyDescent="0.2">
      <c r="A115" s="2"/>
      <c r="B115" s="81" t="s">
        <v>2043</v>
      </c>
      <c r="C115" s="81">
        <v>76657</v>
      </c>
      <c r="D115" s="81" t="s">
        <v>2051</v>
      </c>
      <c r="E115" s="428">
        <f>38*3.67</f>
        <v>139.46</v>
      </c>
      <c r="F115" s="91">
        <f t="shared" ref="F115:F122" si="0">E115*C115</f>
        <v>10690585.220000001</v>
      </c>
      <c r="G115" s="416">
        <f t="shared" ref="G115:G122" si="1">F115/$F$123</f>
        <v>0.31714831021016088</v>
      </c>
      <c r="H115" s="286"/>
      <c r="I115" s="2"/>
      <c r="J115" s="2"/>
      <c r="K115" s="2364"/>
      <c r="L115" s="2"/>
    </row>
    <row r="116" spans="1:13" hidden="1" outlineLevel="1" x14ac:dyDescent="0.2">
      <c r="A116" s="2"/>
      <c r="B116" s="81" t="s">
        <v>2045</v>
      </c>
      <c r="C116" s="81">
        <v>1550</v>
      </c>
      <c r="D116" s="81" t="s">
        <v>2051</v>
      </c>
      <c r="E116" s="428">
        <f>870*3.67</f>
        <v>3192.9</v>
      </c>
      <c r="F116" s="91">
        <f t="shared" si="0"/>
        <v>4948995</v>
      </c>
      <c r="G116" s="416">
        <f t="shared" si="1"/>
        <v>0.1468175379727748</v>
      </c>
      <c r="H116" s="286"/>
      <c r="L116" s="2364"/>
      <c r="M116" s="2"/>
    </row>
    <row r="117" spans="1:13" hidden="1" outlineLevel="1" x14ac:dyDescent="0.2">
      <c r="B117" s="81" t="s">
        <v>2046</v>
      </c>
      <c r="C117" s="81">
        <v>30800</v>
      </c>
      <c r="D117" s="81" t="s">
        <v>2052</v>
      </c>
      <c r="E117" s="428">
        <f>0.14*3.67</f>
        <v>0.51380000000000003</v>
      </c>
      <c r="F117" s="91">
        <f t="shared" si="0"/>
        <v>15825.04</v>
      </c>
      <c r="G117" s="416">
        <f t="shared" si="1"/>
        <v>4.694677224609603E-4</v>
      </c>
      <c r="H117" s="286"/>
    </row>
    <row r="118" spans="1:13" hidden="1" outlineLevel="1" x14ac:dyDescent="0.2">
      <c r="B118" s="81" t="s">
        <v>2047</v>
      </c>
      <c r="C118" s="81">
        <v>2300</v>
      </c>
      <c r="D118" s="81" t="s">
        <v>2051</v>
      </c>
      <c r="E118" s="428">
        <f>38*3.67</f>
        <v>139.46</v>
      </c>
      <c r="F118" s="91">
        <f t="shared" si="0"/>
        <v>320758</v>
      </c>
      <c r="G118" s="416">
        <f t="shared" si="1"/>
        <v>9.5156491055398713E-3</v>
      </c>
      <c r="H118" s="286"/>
    </row>
    <row r="119" spans="1:13" hidden="1" outlineLevel="1" x14ac:dyDescent="0.2">
      <c r="B119" s="81" t="s">
        <v>2044</v>
      </c>
      <c r="C119" s="81">
        <v>3000</v>
      </c>
      <c r="D119" s="81" t="s">
        <v>2051</v>
      </c>
      <c r="E119" s="428">
        <f>870*3.67</f>
        <v>3192.9</v>
      </c>
      <c r="F119" s="91">
        <f t="shared" si="0"/>
        <v>9578700</v>
      </c>
      <c r="G119" s="416">
        <f t="shared" si="1"/>
        <v>0.28416297672149959</v>
      </c>
      <c r="H119" s="286"/>
    </row>
    <row r="120" spans="1:13" hidden="1" outlineLevel="1" x14ac:dyDescent="0.2">
      <c r="B120" s="81" t="s">
        <v>2048</v>
      </c>
      <c r="C120" s="81">
        <v>12</v>
      </c>
      <c r="D120" s="81" t="s">
        <v>2051</v>
      </c>
      <c r="E120" s="428">
        <f>41*3.67</f>
        <v>150.47</v>
      </c>
      <c r="F120" s="91">
        <f t="shared" si="0"/>
        <v>1805.6399999999999</v>
      </c>
      <c r="G120" s="416">
        <f t="shared" si="1"/>
        <v>5.3566354232558544E-5</v>
      </c>
      <c r="H120" s="286"/>
    </row>
    <row r="121" spans="1:13" hidden="1" outlineLevel="1" x14ac:dyDescent="0.2">
      <c r="B121" s="81" t="s">
        <v>2049</v>
      </c>
      <c r="C121" s="81">
        <v>10800</v>
      </c>
      <c r="D121" s="81" t="s">
        <v>2052</v>
      </c>
      <c r="E121" s="428">
        <f>14*3.67</f>
        <v>51.379999999999995</v>
      </c>
      <c r="F121" s="91">
        <f t="shared" si="0"/>
        <v>554904</v>
      </c>
      <c r="G121" s="416">
        <f t="shared" si="1"/>
        <v>1.6461855203176529E-2</v>
      </c>
      <c r="H121" s="286"/>
    </row>
    <row r="122" spans="1:13" ht="34" hidden="1" outlineLevel="1" x14ac:dyDescent="0.2">
      <c r="B122" s="76" t="s">
        <v>2057</v>
      </c>
      <c r="C122" s="81">
        <v>15000</v>
      </c>
      <c r="D122" s="81" t="s">
        <v>2052</v>
      </c>
      <c r="E122" s="428">
        <f>138*3.67</f>
        <v>506.46</v>
      </c>
      <c r="F122" s="91">
        <f t="shared" si="0"/>
        <v>7596900</v>
      </c>
      <c r="G122" s="416">
        <f t="shared" si="1"/>
        <v>0.22537063671015486</v>
      </c>
      <c r="H122" s="286"/>
    </row>
    <row r="123" spans="1:13" hidden="1" outlineLevel="1" x14ac:dyDescent="0.2">
      <c r="E123" s="7" t="s">
        <v>198</v>
      </c>
      <c r="F123" s="352">
        <f>SUM(F115:F122)</f>
        <v>33708472.899999999</v>
      </c>
      <c r="G123" s="7" t="s">
        <v>67</v>
      </c>
    </row>
    <row r="124" spans="1:13" ht="17" hidden="1" outlineLevel="1" x14ac:dyDescent="0.2">
      <c r="B124" s="707" t="s">
        <v>2098</v>
      </c>
      <c r="E124" s="328"/>
      <c r="F124" s="525"/>
      <c r="G124" s="558"/>
    </row>
    <row r="125" spans="1:13" hidden="1" outlineLevel="1" x14ac:dyDescent="0.2">
      <c r="B125" s="707"/>
      <c r="E125" s="328"/>
      <c r="F125" s="525"/>
      <c r="G125" s="558"/>
    </row>
    <row r="126" spans="1:13" hidden="1" outlineLevel="1" x14ac:dyDescent="0.2">
      <c r="B126" s="644" t="s">
        <v>2054</v>
      </c>
      <c r="E126" s="328"/>
      <c r="F126" s="525"/>
      <c r="G126" s="558"/>
    </row>
    <row r="127" spans="1:13" hidden="1" outlineLevel="1" x14ac:dyDescent="0.2">
      <c r="B127" s="558"/>
      <c r="E127" s="328"/>
      <c r="F127" s="525"/>
      <c r="G127" s="558"/>
    </row>
    <row r="128" spans="1:13" hidden="1" outlineLevel="1" x14ac:dyDescent="0.2">
      <c r="B128" s="81"/>
      <c r="C128" s="60" t="s">
        <v>2050</v>
      </c>
      <c r="D128" s="60" t="s">
        <v>59</v>
      </c>
      <c r="E128" s="7" t="s">
        <v>2053</v>
      </c>
      <c r="F128" s="60" t="s">
        <v>67</v>
      </c>
      <c r="G128" s="60" t="s">
        <v>922</v>
      </c>
      <c r="H128" s="475" t="s">
        <v>37</v>
      </c>
    </row>
    <row r="129" spans="2:8" hidden="1" outlineLevel="1" x14ac:dyDescent="0.2">
      <c r="B129" s="81" t="str">
        <f>B115</f>
        <v>Béton</v>
      </c>
      <c r="C129" s="81">
        <f t="shared" ref="C129:D129" si="2">C115</f>
        <v>76657</v>
      </c>
      <c r="D129" s="81" t="str">
        <f t="shared" si="2"/>
        <v>t</v>
      </c>
      <c r="E129" s="81">
        <f>$C$67</f>
        <v>88</v>
      </c>
      <c r="F129" s="81">
        <f t="shared" ref="F129:F136" si="3">C129*E129</f>
        <v>6745816</v>
      </c>
      <c r="G129" s="416">
        <f>F129/$F$137</f>
        <v>0.26797662659523713</v>
      </c>
      <c r="H129" s="1014"/>
    </row>
    <row r="130" spans="2:8" ht="16" hidden="1" customHeight="1" outlineLevel="1" x14ac:dyDescent="0.2">
      <c r="B130" s="81" t="str">
        <f t="shared" ref="B130:D136" si="4">B116</f>
        <v>Acier (ferraillage du béton armé)</v>
      </c>
      <c r="C130" s="81">
        <f t="shared" si="4"/>
        <v>1550</v>
      </c>
      <c r="D130" s="81" t="str">
        <f t="shared" si="4"/>
        <v>t</v>
      </c>
      <c r="E130" s="81">
        <f>$C$68</f>
        <v>2210</v>
      </c>
      <c r="F130" s="81">
        <f t="shared" si="3"/>
        <v>3425500</v>
      </c>
      <c r="G130" s="416">
        <f t="shared" ref="G130:G136" si="5">F130/$F$137</f>
        <v>0.13607752337181817</v>
      </c>
      <c r="H130" s="298" t="s">
        <v>2056</v>
      </c>
    </row>
    <row r="131" spans="2:8" ht="34" hidden="1" outlineLevel="1" x14ac:dyDescent="0.2">
      <c r="B131" s="81" t="str">
        <f t="shared" si="4"/>
        <v>Dalle alvéolaire</v>
      </c>
      <c r="C131" s="81">
        <f t="shared" si="4"/>
        <v>30800</v>
      </c>
      <c r="D131" s="81" t="str">
        <f t="shared" si="4"/>
        <v>m2</v>
      </c>
      <c r="E131" s="428">
        <f>E117</f>
        <v>0.51380000000000003</v>
      </c>
      <c r="F131" s="81">
        <f t="shared" si="3"/>
        <v>15825.04</v>
      </c>
      <c r="G131" s="416">
        <f t="shared" si="5"/>
        <v>6.2864756983212883E-4</v>
      </c>
      <c r="H131" s="298" t="s">
        <v>2055</v>
      </c>
    </row>
    <row r="132" spans="2:8" hidden="1" outlineLevel="1" x14ac:dyDescent="0.2">
      <c r="B132" s="81" t="str">
        <f t="shared" si="4"/>
        <v>Béton (gradins préfabriqués)</v>
      </c>
      <c r="C132" s="81">
        <f t="shared" si="4"/>
        <v>2300</v>
      </c>
      <c r="D132" s="81" t="str">
        <f t="shared" si="4"/>
        <v>t</v>
      </c>
      <c r="E132" s="81">
        <f>$C$67</f>
        <v>88</v>
      </c>
      <c r="F132" s="81">
        <f t="shared" si="3"/>
        <v>202400</v>
      </c>
      <c r="G132" s="416">
        <f t="shared" si="5"/>
        <v>8.0403125763993562E-3</v>
      </c>
      <c r="H132" s="1014"/>
    </row>
    <row r="133" spans="2:8" ht="15" hidden="1" customHeight="1" outlineLevel="1" x14ac:dyDescent="0.2">
      <c r="B133" s="81" t="str">
        <f t="shared" si="4"/>
        <v>Acier (charpente)</v>
      </c>
      <c r="C133" s="81">
        <f t="shared" si="4"/>
        <v>3000</v>
      </c>
      <c r="D133" s="81" t="str">
        <f t="shared" si="4"/>
        <v>t</v>
      </c>
      <c r="E133" s="81">
        <f>$C$68</f>
        <v>2210</v>
      </c>
      <c r="F133" s="81">
        <f t="shared" si="3"/>
        <v>6630000</v>
      </c>
      <c r="G133" s="416">
        <f t="shared" si="5"/>
        <v>0.26337585168738997</v>
      </c>
      <c r="H133" s="298" t="s">
        <v>2056</v>
      </c>
    </row>
    <row r="134" spans="2:8" ht="17" hidden="1" customHeight="1" outlineLevel="1" x14ac:dyDescent="0.2">
      <c r="B134" s="81" t="str">
        <f t="shared" si="4"/>
        <v>Toiture (membrane ETFE)</v>
      </c>
      <c r="C134" s="81">
        <f t="shared" si="4"/>
        <v>12</v>
      </c>
      <c r="D134" s="81" t="str">
        <f t="shared" si="4"/>
        <v>t</v>
      </c>
      <c r="E134" s="428">
        <f>E120</f>
        <v>150.47</v>
      </c>
      <c r="F134" s="81">
        <f t="shared" si="3"/>
        <v>1805.6399999999999</v>
      </c>
      <c r="G134" s="416">
        <f t="shared" si="5"/>
        <v>7.1728804350048089E-5</v>
      </c>
      <c r="H134" s="298" t="s">
        <v>2055</v>
      </c>
    </row>
    <row r="135" spans="2:8" ht="34" hidden="1" outlineLevel="1" x14ac:dyDescent="0.2">
      <c r="B135" s="81" t="str">
        <f t="shared" si="4"/>
        <v>Pelouse et terre</v>
      </c>
      <c r="C135" s="81">
        <f t="shared" si="4"/>
        <v>10800</v>
      </c>
      <c r="D135" s="81" t="str">
        <f t="shared" si="4"/>
        <v>m2</v>
      </c>
      <c r="E135" s="428">
        <f>E121</f>
        <v>51.379999999999995</v>
      </c>
      <c r="F135" s="81">
        <f t="shared" si="3"/>
        <v>554904</v>
      </c>
      <c r="G135" s="416">
        <f t="shared" si="5"/>
        <v>2.2043486214892827E-2</v>
      </c>
      <c r="H135" s="298" t="s">
        <v>2055</v>
      </c>
    </row>
    <row r="136" spans="2:8" ht="34" hidden="1" outlineLevel="1" x14ac:dyDescent="0.2">
      <c r="B136" s="81" t="str">
        <f t="shared" si="4"/>
        <v>*Divers éléments techniques, parachèvement</v>
      </c>
      <c r="C136" s="81">
        <f t="shared" si="4"/>
        <v>15000</v>
      </c>
      <c r="D136" s="81" t="str">
        <f t="shared" si="4"/>
        <v>m2</v>
      </c>
      <c r="E136" s="428">
        <f>E122</f>
        <v>506.46</v>
      </c>
      <c r="F136" s="81">
        <f t="shared" si="3"/>
        <v>7596900</v>
      </c>
      <c r="G136" s="416">
        <f t="shared" si="5"/>
        <v>0.3017858231800804</v>
      </c>
      <c r="H136" s="298" t="s">
        <v>2055</v>
      </c>
    </row>
    <row r="137" spans="2:8" hidden="1" outlineLevel="1" x14ac:dyDescent="0.2">
      <c r="E137" s="2373" t="s">
        <v>198</v>
      </c>
      <c r="F137" s="2374">
        <f>SUM(F129:F136)</f>
        <v>25173150.68</v>
      </c>
      <c r="G137" s="2373" t="s">
        <v>67</v>
      </c>
    </row>
    <row r="138" spans="2:8" hidden="1" outlineLevel="1" x14ac:dyDescent="0.2">
      <c r="E138" s="1750" t="s">
        <v>2073</v>
      </c>
      <c r="F138" s="2375">
        <f>F137/C107</f>
        <v>999.80739852251963</v>
      </c>
      <c r="G138" s="1750" t="s">
        <v>2106</v>
      </c>
    </row>
    <row r="139" spans="2:8" hidden="1" outlineLevel="1" x14ac:dyDescent="0.2">
      <c r="B139" s="81" t="s">
        <v>2043</v>
      </c>
      <c r="C139" s="673">
        <f>G129+G132</f>
        <v>0.2760169391716365</v>
      </c>
    </row>
    <row r="140" spans="2:8" hidden="1" outlineLevel="1" x14ac:dyDescent="0.2">
      <c r="B140" s="81" t="s">
        <v>508</v>
      </c>
      <c r="C140" s="673">
        <f>G130+G133</f>
        <v>0.39945337505920814</v>
      </c>
    </row>
    <row r="141" spans="2:8" hidden="1" outlineLevel="1" x14ac:dyDescent="0.2">
      <c r="B141" s="81" t="s">
        <v>2076</v>
      </c>
      <c r="C141" s="673">
        <f>G136+G131+G134+G135</f>
        <v>0.32452968576915536</v>
      </c>
    </row>
    <row r="142" spans="2:8" ht="16" hidden="1" customHeight="1" outlineLevel="1" x14ac:dyDescent="0.2">
      <c r="B142" s="7" t="s">
        <v>198</v>
      </c>
      <c r="C142" s="2321">
        <f>SUM(C139:C141)</f>
        <v>1</v>
      </c>
      <c r="D142" s="112"/>
      <c r="E142" s="112"/>
    </row>
    <row r="143" spans="2:8" hidden="1" outlineLevel="1" x14ac:dyDescent="0.2">
      <c r="D143" s="112"/>
      <c r="E143" s="112"/>
    </row>
    <row r="144" spans="2:8" s="409" customFormat="1" ht="68" hidden="1" customHeight="1" outlineLevel="1" x14ac:dyDescent="0.2">
      <c r="B144" s="2797" t="s">
        <v>2058</v>
      </c>
      <c r="C144" s="2797"/>
      <c r="D144" s="2797"/>
      <c r="E144" s="2797"/>
      <c r="F144" s="2797"/>
      <c r="G144" s="2797"/>
    </row>
    <row r="145" spans="2:7" s="409" customFormat="1" ht="24" hidden="1" customHeight="1" outlineLevel="1" x14ac:dyDescent="0.2">
      <c r="B145" s="707"/>
      <c r="C145" s="707"/>
      <c r="D145" s="707"/>
      <c r="E145" s="707"/>
      <c r="F145" s="707"/>
      <c r="G145" s="707"/>
    </row>
    <row r="146" spans="2:7" ht="17" hidden="1" outlineLevel="1" x14ac:dyDescent="0.2">
      <c r="B146" s="707" t="s">
        <v>2098</v>
      </c>
      <c r="C146" s="112"/>
      <c r="D146" s="112"/>
      <c r="E146" s="112"/>
    </row>
    <row r="147" spans="2:7" hidden="1" outlineLevel="1" x14ac:dyDescent="0.2">
      <c r="B147" s="707"/>
      <c r="C147" s="112"/>
      <c r="D147" s="112"/>
      <c r="E147" s="112"/>
    </row>
    <row r="148" spans="2:7" hidden="1" outlineLevel="1" x14ac:dyDescent="0.2">
      <c r="B148" s="644" t="s">
        <v>2059</v>
      </c>
      <c r="C148" s="112"/>
      <c r="D148" s="112"/>
      <c r="E148" s="112"/>
    </row>
    <row r="149" spans="2:7" hidden="1" outlineLevel="1" x14ac:dyDescent="0.2">
      <c r="B149" s="558"/>
      <c r="C149" s="112"/>
      <c r="D149" s="112"/>
      <c r="E149" s="112"/>
    </row>
    <row r="150" spans="2:7" ht="17" hidden="1" outlineLevel="1" x14ac:dyDescent="0.2">
      <c r="B150" s="922" t="s">
        <v>767</v>
      </c>
      <c r="C150" s="74" t="s">
        <v>71</v>
      </c>
      <c r="D150" s="74" t="s">
        <v>922</v>
      </c>
    </row>
    <row r="151" spans="2:7" hidden="1" outlineLevel="1" x14ac:dyDescent="0.2">
      <c r="B151" s="81" t="s">
        <v>2416</v>
      </c>
      <c r="C151" s="81">
        <v>33750</v>
      </c>
      <c r="D151" s="2306">
        <f>C151/SUM($C$151:$C$154)</f>
        <v>0.81937363437727606</v>
      </c>
    </row>
    <row r="152" spans="2:7" hidden="1" outlineLevel="1" x14ac:dyDescent="0.2">
      <c r="B152" s="81" t="s">
        <v>2060</v>
      </c>
      <c r="C152" s="81">
        <v>7044</v>
      </c>
      <c r="D152" s="2306">
        <f t="shared" ref="D152:D154" si="6">C152/SUM($C$151:$C$154)</f>
        <v>0.17101238164603058</v>
      </c>
    </row>
    <row r="153" spans="2:7" hidden="1" outlineLevel="1" x14ac:dyDescent="0.2">
      <c r="B153" s="81" t="s">
        <v>2074</v>
      </c>
      <c r="C153" s="81">
        <v>350</v>
      </c>
      <c r="D153" s="2376">
        <f t="shared" si="6"/>
        <v>8.4972080602087885E-3</v>
      </c>
    </row>
    <row r="154" spans="2:7" hidden="1" outlineLevel="1" x14ac:dyDescent="0.2">
      <c r="B154" s="81" t="s">
        <v>2075</v>
      </c>
      <c r="C154" s="81">
        <v>46</v>
      </c>
      <c r="D154" s="2376">
        <f t="shared" si="6"/>
        <v>1.1167759164845837E-3</v>
      </c>
      <c r="G154" s="1798"/>
    </row>
    <row r="155" spans="2:7" hidden="1" outlineLevel="1" x14ac:dyDescent="0.2">
      <c r="B155" s="7" t="s">
        <v>198</v>
      </c>
      <c r="C155" s="7">
        <f>SUM(C151:C154)</f>
        <v>41190</v>
      </c>
      <c r="D155" s="7" t="s">
        <v>71</v>
      </c>
      <c r="F155" s="478"/>
    </row>
    <row r="156" spans="2:7" hidden="1" outlineLevel="1" x14ac:dyDescent="0.2">
      <c r="B156" s="1750" t="s">
        <v>2073</v>
      </c>
      <c r="C156" s="2377">
        <f>C155/C107</f>
        <v>1.635952021606164</v>
      </c>
      <c r="D156" s="7" t="s">
        <v>71</v>
      </c>
    </row>
    <row r="157" spans="2:7" hidden="1" outlineLevel="1" x14ac:dyDescent="0.2"/>
    <row r="158" spans="2:7" ht="18" hidden="1" outlineLevel="1" x14ac:dyDescent="0.2">
      <c r="B158" s="2365" t="s">
        <v>2145</v>
      </c>
    </row>
    <row r="159" spans="2:7" ht="18" hidden="1" outlineLevel="1" x14ac:dyDescent="0.2">
      <c r="B159" s="2190"/>
    </row>
    <row r="160" spans="2:7" hidden="1" outlineLevel="1" x14ac:dyDescent="0.2">
      <c r="B160" s="2366" t="s">
        <v>2078</v>
      </c>
      <c r="C160" s="2367">
        <v>1500</v>
      </c>
      <c r="D160" s="2368" t="s">
        <v>1345</v>
      </c>
    </row>
    <row r="161" spans="2:11" hidden="1" outlineLevel="1" x14ac:dyDescent="0.2">
      <c r="B161" s="2369" t="s">
        <v>2100</v>
      </c>
      <c r="C161" s="2"/>
      <c r="D161" s="2370"/>
    </row>
    <row r="162" spans="2:11" hidden="1" outlineLevel="1" x14ac:dyDescent="0.2">
      <c r="B162" s="448" t="s">
        <v>2104</v>
      </c>
      <c r="C162" s="2"/>
      <c r="D162" s="2370"/>
    </row>
    <row r="163" spans="2:11" hidden="1" outlineLevel="1" x14ac:dyDescent="0.2">
      <c r="B163" s="2785" t="s">
        <v>2108</v>
      </c>
      <c r="C163" s="2786"/>
      <c r="D163" s="2787"/>
    </row>
    <row r="164" spans="2:11" hidden="1" outlineLevel="1" x14ac:dyDescent="0.2">
      <c r="B164" s="2371"/>
      <c r="C164" s="2372"/>
      <c r="D164" s="323"/>
    </row>
    <row r="165" spans="2:11" ht="37" hidden="1" customHeight="1" outlineLevel="1" x14ac:dyDescent="0.2">
      <c r="B165" s="2798" t="s">
        <v>2061</v>
      </c>
      <c r="C165" s="2799"/>
    </row>
    <row r="166" spans="2:11" hidden="1" outlineLevel="1" x14ac:dyDescent="0.2">
      <c r="B166" s="81" t="s">
        <v>2062</v>
      </c>
      <c r="C166" s="81">
        <v>75.900000000000006</v>
      </c>
      <c r="G166" s="2"/>
      <c r="H166" s="2"/>
    </row>
    <row r="167" spans="2:11" hidden="1" outlineLevel="1" x14ac:dyDescent="0.2">
      <c r="B167" s="81" t="s">
        <v>2063</v>
      </c>
      <c r="C167" s="81">
        <v>0.3</v>
      </c>
      <c r="G167" s="2"/>
      <c r="H167" s="2"/>
    </row>
    <row r="168" spans="2:11" hidden="1" outlineLevel="1" x14ac:dyDescent="0.2">
      <c r="B168" s="81" t="s">
        <v>2064</v>
      </c>
      <c r="C168" s="81">
        <v>2.7</v>
      </c>
      <c r="G168" s="2"/>
      <c r="H168" s="2"/>
    </row>
    <row r="169" spans="2:11" hidden="1" outlineLevel="1" x14ac:dyDescent="0.2">
      <c r="B169" s="81" t="s">
        <v>2065</v>
      </c>
      <c r="C169" s="81">
        <v>2.6</v>
      </c>
      <c r="G169" s="2"/>
      <c r="H169" s="2"/>
    </row>
    <row r="170" spans="2:11" hidden="1" outlineLevel="1" x14ac:dyDescent="0.2">
      <c r="B170" s="81" t="s">
        <v>2066</v>
      </c>
      <c r="C170" s="81">
        <v>2.2999999999999998</v>
      </c>
      <c r="G170" s="2"/>
      <c r="H170" s="2"/>
    </row>
    <row r="171" spans="2:11" hidden="1" outlineLevel="1" x14ac:dyDescent="0.2">
      <c r="B171" s="81" t="s">
        <v>2067</v>
      </c>
      <c r="C171" s="81">
        <v>3.9</v>
      </c>
      <c r="G171" s="2"/>
      <c r="H171" s="2"/>
      <c r="I171" s="2"/>
      <c r="J171" s="2"/>
      <c r="K171" s="2"/>
    </row>
    <row r="172" spans="2:11" hidden="1" outlineLevel="1" x14ac:dyDescent="0.2">
      <c r="B172" s="81" t="s">
        <v>2068</v>
      </c>
      <c r="C172" s="81">
        <v>4.2</v>
      </c>
      <c r="G172" s="2"/>
      <c r="H172" s="2"/>
      <c r="I172" s="2"/>
      <c r="J172" s="2"/>
      <c r="K172" s="2"/>
    </row>
    <row r="173" spans="2:11" hidden="1" outlineLevel="1" x14ac:dyDescent="0.2">
      <c r="B173" s="81" t="s">
        <v>2069</v>
      </c>
      <c r="C173" s="81">
        <v>5.2</v>
      </c>
      <c r="G173" s="2"/>
      <c r="H173" s="2"/>
      <c r="I173" s="2"/>
      <c r="J173" s="2"/>
      <c r="K173" s="2"/>
    </row>
    <row r="174" spans="2:11" hidden="1" outlineLevel="1" x14ac:dyDescent="0.2">
      <c r="B174" s="81" t="s">
        <v>2070</v>
      </c>
      <c r="C174" s="81">
        <v>1.5</v>
      </c>
      <c r="G174" s="2"/>
      <c r="H174" s="2"/>
      <c r="I174" s="2"/>
      <c r="J174" s="2"/>
      <c r="K174" s="2"/>
    </row>
    <row r="175" spans="2:11" hidden="1" outlineLevel="1" x14ac:dyDescent="0.2">
      <c r="B175" s="81" t="s">
        <v>2071</v>
      </c>
      <c r="C175" s="81">
        <v>1.5</v>
      </c>
      <c r="G175" s="2"/>
      <c r="H175" s="2"/>
      <c r="I175" s="2"/>
      <c r="J175" s="2"/>
      <c r="K175" s="2"/>
    </row>
    <row r="176" spans="2:11" hidden="1" outlineLevel="1" x14ac:dyDescent="0.2">
      <c r="B176" s="7" t="s">
        <v>198</v>
      </c>
      <c r="C176" s="1643">
        <f>SUM(C166:C175)</f>
        <v>100.10000000000001</v>
      </c>
      <c r="G176" s="2"/>
      <c r="H176" s="2"/>
      <c r="I176" s="2"/>
      <c r="J176" s="2"/>
      <c r="K176" s="2"/>
    </row>
    <row r="177" spans="1:12" hidden="1" outlineLevel="1" x14ac:dyDescent="0.2">
      <c r="A177" s="2"/>
      <c r="G177" s="2"/>
      <c r="H177" s="2"/>
      <c r="I177" s="2"/>
      <c r="J177" s="2"/>
      <c r="K177" s="2"/>
    </row>
    <row r="178" spans="1:12" hidden="1" outlineLevel="1" x14ac:dyDescent="0.2">
      <c r="A178" s="2"/>
      <c r="B178" s="7" t="s">
        <v>2084</v>
      </c>
      <c r="C178" s="7">
        <f>3078</f>
        <v>3078</v>
      </c>
      <c r="G178" s="2"/>
      <c r="H178" s="2"/>
      <c r="I178" s="2"/>
      <c r="J178" s="2"/>
      <c r="K178" s="2"/>
    </row>
    <row r="179" spans="1:12" hidden="1" outlineLevel="1" x14ac:dyDescent="0.2">
      <c r="A179" s="2"/>
      <c r="B179" s="7" t="s">
        <v>2077</v>
      </c>
      <c r="C179" s="7">
        <f>C178/1500</f>
        <v>2.052</v>
      </c>
      <c r="G179" s="2"/>
      <c r="H179" s="2"/>
      <c r="I179" s="2"/>
      <c r="J179" s="2"/>
      <c r="K179" s="2"/>
    </row>
    <row r="180" spans="1:12" hidden="1" outlineLevel="1" x14ac:dyDescent="0.2">
      <c r="A180" s="2"/>
      <c r="B180" s="2"/>
      <c r="C180" s="2"/>
      <c r="D180" s="2"/>
      <c r="E180" s="2"/>
      <c r="G180" s="2"/>
      <c r="H180" s="2"/>
      <c r="I180" s="2"/>
      <c r="J180" s="2"/>
      <c r="K180" s="2"/>
    </row>
    <row r="181" spans="1:12" hidden="1" outlineLevel="1" x14ac:dyDescent="0.2">
      <c r="B181" s="328" t="s">
        <v>1365</v>
      </c>
      <c r="G181" s="2"/>
      <c r="H181" s="2"/>
      <c r="I181" s="2"/>
      <c r="J181" s="2"/>
      <c r="K181" s="2"/>
    </row>
    <row r="182" spans="1:12" ht="41" hidden="1" customHeight="1" outlineLevel="1" x14ac:dyDescent="0.2">
      <c r="B182" s="2685" t="s">
        <v>2072</v>
      </c>
      <c r="C182" s="2685"/>
      <c r="D182" s="2685"/>
      <c r="E182" s="2685"/>
      <c r="H182" s="2"/>
      <c r="I182" s="2"/>
      <c r="J182" s="2"/>
      <c r="K182" s="2"/>
      <c r="L182" s="86"/>
    </row>
    <row r="183" spans="1:12" ht="41" hidden="1" customHeight="1" outlineLevel="1" x14ac:dyDescent="0.2">
      <c r="B183" s="2685"/>
      <c r="C183" s="2685"/>
      <c r="D183" s="2685"/>
      <c r="E183" s="2685"/>
      <c r="H183" s="2"/>
      <c r="I183" s="2"/>
      <c r="J183" s="2"/>
      <c r="K183" s="2"/>
    </row>
    <row r="184" spans="1:12" hidden="1" outlineLevel="1" x14ac:dyDescent="0.2">
      <c r="B184" s="558"/>
    </row>
    <row r="185" spans="1:12" ht="18" hidden="1" outlineLevel="1" x14ac:dyDescent="0.2">
      <c r="B185" s="2365" t="s">
        <v>2146</v>
      </c>
    </row>
    <row r="186" spans="1:12" hidden="1" outlineLevel="1" x14ac:dyDescent="0.2"/>
    <row r="187" spans="1:12" hidden="1" outlineLevel="1" x14ac:dyDescent="0.2">
      <c r="B187" s="7" t="s">
        <v>2073</v>
      </c>
      <c r="C187" s="2378">
        <v>0.97799999999999998</v>
      </c>
      <c r="D187" s="922" t="s">
        <v>71</v>
      </c>
    </row>
    <row r="188" spans="1:12" hidden="1" outlineLevel="1" x14ac:dyDescent="0.2"/>
    <row r="189" spans="1:12" hidden="1" outlineLevel="1" x14ac:dyDescent="0.2">
      <c r="B189" s="11" t="s">
        <v>2083</v>
      </c>
    </row>
    <row r="190" spans="1:12" hidden="1" outlineLevel="1" x14ac:dyDescent="0.2">
      <c r="B190" s="11"/>
    </row>
    <row r="191" spans="1:12" ht="18" hidden="1" outlineLevel="1" x14ac:dyDescent="0.2">
      <c r="B191" s="2365" t="s">
        <v>2142</v>
      </c>
    </row>
    <row r="192" spans="1:12" ht="18" hidden="1" outlineLevel="1" x14ac:dyDescent="0.2">
      <c r="B192" s="2365"/>
    </row>
    <row r="193" spans="1:6" hidden="1" outlineLevel="1" x14ac:dyDescent="0.2">
      <c r="B193" s="7" t="s">
        <v>2073</v>
      </c>
      <c r="C193" s="2378">
        <v>1.423</v>
      </c>
      <c r="D193" s="922" t="s">
        <v>71</v>
      </c>
    </row>
    <row r="194" spans="1:6" hidden="1" outlineLevel="1" x14ac:dyDescent="0.2">
      <c r="B194" s="328"/>
      <c r="C194" s="2379"/>
      <c r="D194" s="558"/>
    </row>
    <row r="195" spans="1:6" hidden="1" outlineLevel="1" x14ac:dyDescent="0.2">
      <c r="B195" s="11" t="s">
        <v>2143</v>
      </c>
      <c r="C195" s="2379"/>
      <c r="D195" s="558"/>
    </row>
    <row r="196" spans="1:6" hidden="1" outlineLevel="1" x14ac:dyDescent="0.2"/>
    <row r="197" spans="1:6" ht="18" hidden="1" outlineLevel="1" x14ac:dyDescent="0.2">
      <c r="B197" s="1378" t="s">
        <v>2082</v>
      </c>
    </row>
    <row r="198" spans="1:6" hidden="1" outlineLevel="1" x14ac:dyDescent="0.2"/>
    <row r="199" spans="1:6" hidden="1" outlineLevel="1" x14ac:dyDescent="0.2">
      <c r="B199" s="60" t="s">
        <v>105</v>
      </c>
      <c r="C199" s="60" t="s">
        <v>2079</v>
      </c>
      <c r="D199" s="2771" t="s">
        <v>37</v>
      </c>
      <c r="E199" s="2771"/>
      <c r="F199" s="2"/>
    </row>
    <row r="200" spans="1:6" ht="22" hidden="1" customHeight="1" outlineLevel="1" x14ac:dyDescent="0.2">
      <c r="B200" s="81" t="s">
        <v>1618</v>
      </c>
      <c r="C200" s="2380">
        <f>C187</f>
        <v>0.97799999999999998</v>
      </c>
      <c r="D200" s="2783" t="s">
        <v>2148</v>
      </c>
      <c r="E200" s="2784"/>
      <c r="F200" s="2"/>
    </row>
    <row r="201" spans="1:6" ht="22" hidden="1" customHeight="1" outlineLevel="1" x14ac:dyDescent="0.2">
      <c r="A201" s="2"/>
      <c r="B201" s="81" t="s">
        <v>2081</v>
      </c>
      <c r="C201" s="541">
        <f>C156</f>
        <v>1.635952021606164</v>
      </c>
      <c r="D201" s="2677" t="s">
        <v>2107</v>
      </c>
      <c r="E201" s="2677"/>
    </row>
    <row r="202" spans="1:6" ht="22" hidden="1" customHeight="1" outlineLevel="1" x14ac:dyDescent="0.2">
      <c r="A202" s="2"/>
      <c r="B202" s="81" t="s">
        <v>2080</v>
      </c>
      <c r="C202" s="2380">
        <f>C179</f>
        <v>2.052</v>
      </c>
      <c r="D202" s="2677" t="s">
        <v>2148</v>
      </c>
      <c r="E202" s="2677"/>
    </row>
    <row r="203" spans="1:6" ht="22" hidden="1" customHeight="1" outlineLevel="1" x14ac:dyDescent="0.2">
      <c r="A203" s="2"/>
      <c r="B203" s="76" t="s">
        <v>2144</v>
      </c>
      <c r="C203" s="2380">
        <f>C193</f>
        <v>1.423</v>
      </c>
      <c r="D203" s="2677" t="s">
        <v>2148</v>
      </c>
      <c r="E203" s="2677"/>
    </row>
    <row r="204" spans="1:6" ht="22" hidden="1" customHeight="1" outlineLevel="1" x14ac:dyDescent="0.2">
      <c r="A204" s="2"/>
      <c r="B204" s="1750" t="s">
        <v>90</v>
      </c>
      <c r="C204" s="2381">
        <f>AVERAGE(C200:C203)</f>
        <v>1.5222380054015412</v>
      </c>
      <c r="D204" s="2782" t="s">
        <v>2147</v>
      </c>
      <c r="E204" s="2782"/>
    </row>
    <row r="205" spans="1:6" hidden="1" outlineLevel="1" x14ac:dyDescent="0.2"/>
    <row r="206" spans="1:6" hidden="1" outlineLevel="1" x14ac:dyDescent="0.2"/>
    <row r="207" spans="1:6" ht="18" hidden="1" outlineLevel="1" x14ac:dyDescent="0.2">
      <c r="A207" s="328"/>
      <c r="B207" s="1634" t="s">
        <v>2555</v>
      </c>
      <c r="C207" s="2"/>
      <c r="D207" s="2"/>
      <c r="E207" s="2"/>
      <c r="F207" s="2"/>
    </row>
    <row r="208" spans="1:6" hidden="1" outlineLevel="1" x14ac:dyDescent="0.2">
      <c r="B208" s="2"/>
      <c r="C208" s="2"/>
      <c r="D208" s="2"/>
      <c r="E208" s="2"/>
      <c r="F208" s="2"/>
    </row>
    <row r="209" spans="2:11" ht="88" hidden="1" customHeight="1" outlineLevel="1" x14ac:dyDescent="0.2">
      <c r="B209" s="2394" t="s">
        <v>27</v>
      </c>
      <c r="C209" s="2769" t="s">
        <v>2089</v>
      </c>
      <c r="D209" s="2769"/>
      <c r="E209" s="2769"/>
      <c r="F209" s="2769"/>
      <c r="G209" s="2769"/>
      <c r="H209" s="2769"/>
      <c r="I209" s="2"/>
      <c r="J209" s="2"/>
      <c r="K209" s="2"/>
    </row>
    <row r="210" spans="2:11" ht="69" hidden="1" customHeight="1" outlineLevel="1" x14ac:dyDescent="0.2">
      <c r="B210" s="2394" t="s">
        <v>28</v>
      </c>
      <c r="C210" s="2770" t="s">
        <v>2171</v>
      </c>
      <c r="D210" s="2770"/>
      <c r="E210" s="2770"/>
      <c r="F210" s="2770"/>
      <c r="G210" s="2770"/>
      <c r="H210" s="2770"/>
      <c r="I210" s="2"/>
      <c r="J210" s="2"/>
      <c r="K210" s="2"/>
    </row>
    <row r="211" spans="2:11" hidden="1" outlineLevel="1" x14ac:dyDescent="0.2">
      <c r="B211" s="551"/>
      <c r="C211" s="2"/>
      <c r="D211" s="2"/>
      <c r="E211" s="2"/>
      <c r="F211" s="2"/>
      <c r="G211" s="2"/>
      <c r="H211" s="2"/>
      <c r="I211" s="2"/>
      <c r="J211" s="2"/>
      <c r="K211" s="2"/>
    </row>
    <row r="212" spans="2:11" hidden="1" outlineLevel="1" x14ac:dyDescent="0.2">
      <c r="B212" s="551" t="s">
        <v>2136</v>
      </c>
      <c r="C212" s="551"/>
      <c r="D212" s="551"/>
      <c r="E212" s="551"/>
      <c r="F212" s="551"/>
      <c r="G212" s="551"/>
      <c r="H212" s="551"/>
      <c r="I212" s="2"/>
      <c r="J212" s="2"/>
      <c r="K212" s="2"/>
    </row>
    <row r="213" spans="2:11" hidden="1" outlineLevel="1" x14ac:dyDescent="0.2">
      <c r="C213" s="2397">
        <v>2022</v>
      </c>
      <c r="D213"/>
      <c r="E213" s="1"/>
      <c r="H213" s="2"/>
      <c r="I213" s="2"/>
      <c r="J213" s="2"/>
      <c r="K213" s="2"/>
    </row>
    <row r="214" spans="2:11" hidden="1" outlineLevel="1" x14ac:dyDescent="0.2">
      <c r="B214" s="81" t="s">
        <v>2137</v>
      </c>
      <c r="C214" s="1975">
        <v>481</v>
      </c>
      <c r="D214"/>
      <c r="E214" s="1"/>
      <c r="H214" s="2"/>
      <c r="I214" s="2"/>
      <c r="J214" s="2"/>
      <c r="K214" s="2"/>
    </row>
    <row r="215" spans="2:11" hidden="1" outlineLevel="1" x14ac:dyDescent="0.2">
      <c r="B215" s="2395" t="s">
        <v>2138</v>
      </c>
      <c r="C215" s="1975">
        <v>163</v>
      </c>
      <c r="D215"/>
      <c r="E215" s="1"/>
      <c r="H215" s="2"/>
    </row>
    <row r="216" spans="2:11" ht="17" hidden="1" customHeight="1" outlineLevel="1" x14ac:dyDescent="0.2">
      <c r="B216" s="1750" t="s">
        <v>2087</v>
      </c>
      <c r="C216" s="2396">
        <f>(C215-C214)/C214</f>
        <v>-0.66112266112266116</v>
      </c>
      <c r="D216"/>
      <c r="E216" s="232"/>
      <c r="F216" s="547"/>
      <c r="G216" s="328"/>
      <c r="H216" s="2"/>
    </row>
    <row r="217" spans="2:11" ht="18" hidden="1" customHeight="1" outlineLevel="1" x14ac:dyDescent="0.2">
      <c r="B217" s="151"/>
      <c r="C217" s="126"/>
      <c r="D217" s="2"/>
      <c r="E217" s="2"/>
      <c r="F217" s="2"/>
      <c r="G217" s="2"/>
      <c r="H217" s="2"/>
    </row>
    <row r="218" spans="2:11" ht="37" hidden="1" customHeight="1" outlineLevel="1" x14ac:dyDescent="0.2">
      <c r="B218" s="551" t="s">
        <v>2559</v>
      </c>
      <c r="C218" s="2398"/>
      <c r="D218" s="2398"/>
      <c r="E218" s="2398"/>
      <c r="F218" s="2398"/>
      <c r="G218" s="2398"/>
      <c r="H218" s="2"/>
    </row>
    <row r="219" spans="2:11" ht="37" hidden="1" customHeight="1" outlineLevel="1" x14ac:dyDescent="0.2">
      <c r="B219" s="2398"/>
      <c r="C219" s="2398"/>
      <c r="D219" s="2398"/>
      <c r="E219" s="2398"/>
      <c r="F219" s="2398"/>
      <c r="G219" s="2398"/>
      <c r="H219" s="2"/>
    </row>
    <row r="220" spans="2:11" ht="37" hidden="1" customHeight="1" outlineLevel="1" x14ac:dyDescent="0.2">
      <c r="B220" s="1634" t="s">
        <v>2560</v>
      </c>
      <c r="C220" s="647"/>
      <c r="D220" s="647"/>
      <c r="E220" s="647"/>
      <c r="F220" s="647"/>
      <c r="G220" s="647"/>
      <c r="H220" s="2"/>
    </row>
    <row r="221" spans="2:11" hidden="1" outlineLevel="1" x14ac:dyDescent="0.2">
      <c r="C221" s="220"/>
    </row>
    <row r="222" spans="2:11" hidden="1" outlineLevel="1" x14ac:dyDescent="0.2">
      <c r="B222" s="55" t="s">
        <v>2561</v>
      </c>
      <c r="C222" s="220"/>
    </row>
    <row r="223" spans="2:11" hidden="1" outlineLevel="1" x14ac:dyDescent="0.2">
      <c r="C223" s="220"/>
    </row>
    <row r="224" spans="2:11" ht="38" hidden="1" outlineLevel="1" x14ac:dyDescent="0.2">
      <c r="B224" s="2382" t="s">
        <v>2440</v>
      </c>
      <c r="C224" s="2382" t="s">
        <v>2441</v>
      </c>
      <c r="D224" s="2382" t="s">
        <v>2442</v>
      </c>
      <c r="E224" s="2382" t="s">
        <v>2443</v>
      </c>
      <c r="F224" s="2382" t="s">
        <v>2444</v>
      </c>
    </row>
    <row r="225" spans="2:6" hidden="1" outlineLevel="1" x14ac:dyDescent="0.2">
      <c r="B225" s="81" t="s">
        <v>2445</v>
      </c>
      <c r="C225" s="81" t="s">
        <v>2446</v>
      </c>
      <c r="D225" s="1193">
        <v>80690</v>
      </c>
      <c r="E225" s="1193">
        <v>1998</v>
      </c>
      <c r="F225" s="1193"/>
    </row>
    <row r="226" spans="2:6" hidden="1" outlineLevel="1" x14ac:dyDescent="0.2">
      <c r="B226" s="81" t="s">
        <v>2447</v>
      </c>
      <c r="C226" s="81" t="s">
        <v>2448</v>
      </c>
      <c r="D226" s="1193">
        <v>67390</v>
      </c>
      <c r="E226" s="2383">
        <v>1937</v>
      </c>
      <c r="F226" s="1193">
        <v>2014</v>
      </c>
    </row>
    <row r="227" spans="2:6" hidden="1" outlineLevel="1" x14ac:dyDescent="0.2">
      <c r="B227" s="81" t="s">
        <v>2449</v>
      </c>
      <c r="C227" s="81" t="s">
        <v>2450</v>
      </c>
      <c r="D227" s="1193">
        <v>59180</v>
      </c>
      <c r="E227" s="1193">
        <v>2016</v>
      </c>
      <c r="F227" s="1193"/>
    </row>
    <row r="228" spans="2:6" hidden="1" outlineLevel="1" x14ac:dyDescent="0.2">
      <c r="B228" s="81" t="s">
        <v>2451</v>
      </c>
      <c r="C228" s="81" t="s">
        <v>2452</v>
      </c>
      <c r="D228" s="1193">
        <v>50150</v>
      </c>
      <c r="E228" s="1193">
        <v>2012</v>
      </c>
      <c r="F228" s="1193"/>
    </row>
    <row r="229" spans="2:6" hidden="1" outlineLevel="1" x14ac:dyDescent="0.2">
      <c r="B229" s="81" t="s">
        <v>2453</v>
      </c>
      <c r="C229" s="81" t="s">
        <v>2454</v>
      </c>
      <c r="D229" s="1193">
        <v>48580</v>
      </c>
      <c r="E229" s="1193">
        <v>1972</v>
      </c>
      <c r="F229" s="1193">
        <v>2016</v>
      </c>
    </row>
    <row r="230" spans="2:6" hidden="1" outlineLevel="1" x14ac:dyDescent="0.2">
      <c r="B230" s="81" t="s">
        <v>2455</v>
      </c>
      <c r="C230" s="81" t="s">
        <v>2456</v>
      </c>
      <c r="D230" s="1193">
        <v>42150</v>
      </c>
      <c r="E230" s="1193">
        <v>2015</v>
      </c>
      <c r="F230" s="1193"/>
    </row>
    <row r="231" spans="2:6" hidden="1" outlineLevel="1" x14ac:dyDescent="0.2">
      <c r="B231" s="81" t="s">
        <v>2457</v>
      </c>
      <c r="C231" s="81" t="s">
        <v>2458</v>
      </c>
      <c r="D231" s="1193">
        <v>41960</v>
      </c>
      <c r="E231" s="1193">
        <v>1931</v>
      </c>
      <c r="F231" s="1193">
        <v>2014</v>
      </c>
    </row>
    <row r="232" spans="2:6" hidden="1" outlineLevel="1" x14ac:dyDescent="0.2">
      <c r="B232" s="81" t="s">
        <v>2459</v>
      </c>
      <c r="C232" s="81" t="s">
        <v>2460</v>
      </c>
      <c r="D232" s="1193">
        <v>38050</v>
      </c>
      <c r="E232" s="1193">
        <v>1933</v>
      </c>
      <c r="F232" s="1193">
        <v>2015</v>
      </c>
    </row>
    <row r="233" spans="2:6" hidden="1" outlineLevel="1" x14ac:dyDescent="0.2">
      <c r="B233" s="81" t="s">
        <v>2461</v>
      </c>
      <c r="C233" s="81" t="s">
        <v>1618</v>
      </c>
      <c r="D233" s="1193">
        <v>36170</v>
      </c>
      <c r="E233" s="1193">
        <v>2013</v>
      </c>
      <c r="F233" s="1193"/>
    </row>
    <row r="234" spans="2:6" hidden="1" outlineLevel="1" x14ac:dyDescent="0.2">
      <c r="B234" s="81" t="s">
        <v>2462</v>
      </c>
      <c r="C234" s="81" t="s">
        <v>2463</v>
      </c>
      <c r="D234" s="1193">
        <v>35320</v>
      </c>
      <c r="E234" s="1193">
        <v>1984</v>
      </c>
      <c r="F234" s="1193">
        <v>2023</v>
      </c>
    </row>
    <row r="235" spans="2:6" hidden="1" outlineLevel="1" x14ac:dyDescent="0.2">
      <c r="B235" s="81" t="s">
        <v>2464</v>
      </c>
      <c r="C235" s="81" t="s">
        <v>2465</v>
      </c>
      <c r="D235" s="1193">
        <v>35020</v>
      </c>
      <c r="E235" s="1193">
        <v>1920</v>
      </c>
      <c r="F235" s="1193">
        <v>2017</v>
      </c>
    </row>
    <row r="236" spans="2:6" hidden="1" outlineLevel="1" x14ac:dyDescent="0.2">
      <c r="B236" s="81" t="s">
        <v>2466</v>
      </c>
      <c r="C236" s="81" t="s">
        <v>2456</v>
      </c>
      <c r="D236" s="1193">
        <v>33290</v>
      </c>
      <c r="E236" s="1193">
        <v>1924</v>
      </c>
      <c r="F236" s="1193">
        <v>2007</v>
      </c>
    </row>
    <row r="237" spans="2:6" hidden="1" outlineLevel="1" x14ac:dyDescent="0.2">
      <c r="B237" s="81" t="s">
        <v>2467</v>
      </c>
      <c r="C237" s="81" t="s">
        <v>2468</v>
      </c>
      <c r="D237" s="1193">
        <v>33150</v>
      </c>
      <c r="E237" s="1193">
        <v>1937</v>
      </c>
      <c r="F237" s="1193">
        <v>2016</v>
      </c>
    </row>
    <row r="238" spans="2:6" hidden="1" outlineLevel="1" x14ac:dyDescent="0.2">
      <c r="B238" s="81" t="s">
        <v>2469</v>
      </c>
      <c r="C238" s="81" t="s">
        <v>2470</v>
      </c>
      <c r="D238" s="1193">
        <v>30000</v>
      </c>
      <c r="E238" s="1193">
        <v>2017</v>
      </c>
      <c r="F238" s="1193"/>
    </row>
    <row r="239" spans="2:6" hidden="1" outlineLevel="1" x14ac:dyDescent="0.2">
      <c r="B239" s="81" t="s">
        <v>2471</v>
      </c>
      <c r="C239" s="81" t="s">
        <v>2472</v>
      </c>
      <c r="D239" s="1193">
        <v>29778</v>
      </c>
      <c r="E239" s="1193">
        <v>1912</v>
      </c>
      <c r="F239" s="1193">
        <v>2004</v>
      </c>
    </row>
    <row r="240" spans="2:6" hidden="1" outlineLevel="1" x14ac:dyDescent="0.2">
      <c r="B240" s="81" t="s">
        <v>2473</v>
      </c>
      <c r="C240" s="81" t="s">
        <v>2474</v>
      </c>
      <c r="D240" s="1193">
        <v>28000</v>
      </c>
      <c r="E240" s="1193">
        <v>1923</v>
      </c>
      <c r="F240" s="1193">
        <v>2024</v>
      </c>
    </row>
    <row r="241" spans="2:6" hidden="1" outlineLevel="1" x14ac:dyDescent="0.2">
      <c r="B241" s="81" t="s">
        <v>2475</v>
      </c>
      <c r="C241" s="81" t="s">
        <v>2476</v>
      </c>
      <c r="D241" s="1193">
        <v>26280</v>
      </c>
      <c r="E241" s="1193">
        <v>1906</v>
      </c>
      <c r="F241" s="1193">
        <v>1984</v>
      </c>
    </row>
    <row r="242" spans="2:6" hidden="1" outlineLevel="1" x14ac:dyDescent="0.2">
      <c r="B242" s="81" t="s">
        <v>2477</v>
      </c>
      <c r="C242" s="81" t="s">
        <v>2478</v>
      </c>
      <c r="D242" s="1193">
        <v>25181</v>
      </c>
      <c r="E242" s="1193">
        <v>2012</v>
      </c>
      <c r="F242" s="1193"/>
    </row>
    <row r="243" spans="2:6" hidden="1" outlineLevel="1" x14ac:dyDescent="0.2">
      <c r="B243" s="81" t="s">
        <v>2479</v>
      </c>
      <c r="C243" s="81" t="s">
        <v>2480</v>
      </c>
      <c r="D243" s="1193">
        <v>25172</v>
      </c>
      <c r="E243" s="1193">
        <v>2011</v>
      </c>
      <c r="F243" s="1193"/>
    </row>
    <row r="244" spans="2:6" hidden="1" outlineLevel="1" x14ac:dyDescent="0.2">
      <c r="B244" s="81" t="s">
        <v>2481</v>
      </c>
      <c r="C244" s="81" t="s">
        <v>2482</v>
      </c>
      <c r="D244" s="1193">
        <v>25064</v>
      </c>
      <c r="E244" s="1193">
        <v>2011</v>
      </c>
      <c r="F244" s="1193"/>
    </row>
    <row r="245" spans="2:6" hidden="1" outlineLevel="1" x14ac:dyDescent="0.2">
      <c r="B245" s="81" t="s">
        <v>2483</v>
      </c>
      <c r="C245" s="81" t="s">
        <v>2484</v>
      </c>
      <c r="D245" s="1193">
        <v>24389</v>
      </c>
      <c r="E245" s="1193">
        <v>2000</v>
      </c>
      <c r="F245" s="1193"/>
    </row>
    <row r="246" spans="2:6" hidden="1" outlineLevel="1" x14ac:dyDescent="0.2">
      <c r="B246" s="81" t="s">
        <v>2485</v>
      </c>
      <c r="C246" s="81" t="s">
        <v>2486</v>
      </c>
      <c r="D246" s="1193">
        <v>22000</v>
      </c>
      <c r="E246" s="1193">
        <v>1972</v>
      </c>
      <c r="F246" s="1193">
        <v>1997</v>
      </c>
    </row>
    <row r="247" spans="2:6" hidden="1" outlineLevel="1" x14ac:dyDescent="0.2">
      <c r="B247" s="81" t="s">
        <v>2487</v>
      </c>
      <c r="C247" s="81" t="s">
        <v>2488</v>
      </c>
      <c r="D247" s="1193">
        <v>21029</v>
      </c>
      <c r="E247" s="1193">
        <v>1935</v>
      </c>
      <c r="F247" s="1193">
        <v>2008</v>
      </c>
    </row>
    <row r="248" spans="2:6" hidden="1" outlineLevel="1" x14ac:dyDescent="0.2">
      <c r="B248" s="81" t="s">
        <v>2489</v>
      </c>
      <c r="C248" s="81" t="s">
        <v>2490</v>
      </c>
      <c r="D248" s="1193">
        <v>20400</v>
      </c>
      <c r="E248" s="1193">
        <v>1925</v>
      </c>
      <c r="F248" s="1193">
        <v>2004</v>
      </c>
    </row>
    <row r="249" spans="2:6" hidden="1" outlineLevel="1" x14ac:dyDescent="0.2">
      <c r="B249" s="81" t="s">
        <v>2491</v>
      </c>
      <c r="C249" s="81" t="s">
        <v>2492</v>
      </c>
      <c r="D249" s="1193">
        <v>20300</v>
      </c>
      <c r="E249" s="1193">
        <v>1993</v>
      </c>
      <c r="F249" s="1193"/>
    </row>
    <row r="250" spans="2:6" hidden="1" outlineLevel="1" x14ac:dyDescent="0.2">
      <c r="B250" s="81" t="s">
        <v>2493</v>
      </c>
      <c r="C250" s="81" t="s">
        <v>2494</v>
      </c>
      <c r="D250" s="1193">
        <v>20087</v>
      </c>
      <c r="E250" s="1193">
        <v>1926</v>
      </c>
      <c r="F250" s="1193">
        <v>2003</v>
      </c>
    </row>
    <row r="251" spans="2:6" hidden="1" outlineLevel="1" x14ac:dyDescent="0.2">
      <c r="B251" s="81" t="s">
        <v>2495</v>
      </c>
      <c r="C251" s="81" t="s">
        <v>2496</v>
      </c>
      <c r="D251" s="1193">
        <v>20068</v>
      </c>
      <c r="E251" s="1193">
        <v>2008</v>
      </c>
      <c r="F251" s="1193"/>
    </row>
    <row r="252" spans="2:6" hidden="1" outlineLevel="1" x14ac:dyDescent="0.2">
      <c r="B252" s="81" t="s">
        <v>2497</v>
      </c>
      <c r="C252" s="81" t="s">
        <v>2498</v>
      </c>
      <c r="D252" s="1193">
        <v>20005</v>
      </c>
      <c r="E252" s="1193">
        <v>1931</v>
      </c>
      <c r="F252" s="1193">
        <v>2000</v>
      </c>
    </row>
    <row r="253" spans="2:6" hidden="1" outlineLevel="1" x14ac:dyDescent="0.2">
      <c r="B253" s="81" t="s">
        <v>2499</v>
      </c>
      <c r="C253" s="81" t="s">
        <v>2454</v>
      </c>
      <c r="D253" s="1193">
        <v>20000</v>
      </c>
      <c r="E253" s="1193">
        <v>1925</v>
      </c>
      <c r="F253" s="1193">
        <v>2013</v>
      </c>
    </row>
    <row r="254" spans="2:6" hidden="1" outlineLevel="1" x14ac:dyDescent="0.2">
      <c r="B254" s="81" t="s">
        <v>2500</v>
      </c>
      <c r="C254" s="81" t="s">
        <v>2501</v>
      </c>
      <c r="D254" s="1193">
        <v>19800</v>
      </c>
      <c r="E254" s="1193">
        <v>1912</v>
      </c>
      <c r="F254" s="1193">
        <v>2022</v>
      </c>
    </row>
    <row r="255" spans="2:6" hidden="1" outlineLevel="1" x14ac:dyDescent="0.2">
      <c r="B255" s="81" t="s">
        <v>2502</v>
      </c>
      <c r="C255" s="81" t="s">
        <v>2503</v>
      </c>
      <c r="D255" s="1193">
        <v>19372</v>
      </c>
      <c r="E255" s="1193">
        <v>1911</v>
      </c>
      <c r="F255" s="1193">
        <v>2015</v>
      </c>
    </row>
    <row r="256" spans="2:6" hidden="1" outlineLevel="1" x14ac:dyDescent="0.2">
      <c r="B256" s="81" t="s">
        <v>2504</v>
      </c>
      <c r="C256" s="81" t="s">
        <v>2454</v>
      </c>
      <c r="D256" s="1193">
        <v>19151</v>
      </c>
      <c r="E256" s="1193">
        <v>1939</v>
      </c>
      <c r="F256" s="1193">
        <v>1994</v>
      </c>
    </row>
    <row r="257" spans="2:6" hidden="1" outlineLevel="1" x14ac:dyDescent="0.2">
      <c r="B257" s="81" t="s">
        <v>2505</v>
      </c>
      <c r="C257" s="81" t="s">
        <v>2468</v>
      </c>
      <c r="D257" s="1193">
        <v>19073</v>
      </c>
      <c r="E257" s="1193">
        <v>1982</v>
      </c>
      <c r="F257" s="1193"/>
    </row>
    <row r="258" spans="2:6" hidden="1" outlineLevel="1" x14ac:dyDescent="0.2">
      <c r="B258" s="81" t="s">
        <v>2506</v>
      </c>
      <c r="C258" s="81" t="s">
        <v>2507</v>
      </c>
      <c r="D258" s="1193">
        <v>19060</v>
      </c>
      <c r="E258" s="1193">
        <v>1990</v>
      </c>
      <c r="F258" s="1193">
        <v>2018</v>
      </c>
    </row>
    <row r="259" spans="2:6" hidden="1" outlineLevel="1" x14ac:dyDescent="0.2">
      <c r="B259" s="81" t="s">
        <v>2508</v>
      </c>
      <c r="C259" s="81" t="s">
        <v>2509</v>
      </c>
      <c r="D259" s="1193">
        <v>18850</v>
      </c>
      <c r="E259" s="1193">
        <v>1994</v>
      </c>
      <c r="F259" s="1193">
        <v>2022</v>
      </c>
    </row>
    <row r="260" spans="2:6" hidden="1" outlineLevel="1" x14ac:dyDescent="0.2">
      <c r="B260" s="81" t="s">
        <v>2510</v>
      </c>
      <c r="C260" s="81" t="s">
        <v>2511</v>
      </c>
      <c r="D260" s="1193">
        <v>18555</v>
      </c>
      <c r="E260" s="1193">
        <v>1989</v>
      </c>
      <c r="F260" s="1193">
        <v>2019</v>
      </c>
    </row>
    <row r="261" spans="2:6" hidden="1" outlineLevel="1" x14ac:dyDescent="0.2">
      <c r="B261" s="81" t="s">
        <v>2512</v>
      </c>
      <c r="C261" s="81" t="s">
        <v>2513</v>
      </c>
      <c r="D261" s="1193">
        <v>18500</v>
      </c>
      <c r="E261" s="1193">
        <v>1975</v>
      </c>
      <c r="F261" s="1193">
        <v>2010</v>
      </c>
    </row>
    <row r="262" spans="2:6" hidden="1" outlineLevel="1" x14ac:dyDescent="0.2">
      <c r="B262" s="81" t="s">
        <v>2514</v>
      </c>
      <c r="C262" s="81" t="s">
        <v>2515</v>
      </c>
      <c r="D262" s="1193">
        <v>18500</v>
      </c>
      <c r="E262" s="1193">
        <v>1959</v>
      </c>
      <c r="F262" s="1193">
        <v>2010</v>
      </c>
    </row>
    <row r="263" spans="2:6" hidden="1" outlineLevel="1" x14ac:dyDescent="0.2">
      <c r="B263" s="81" t="s">
        <v>2516</v>
      </c>
      <c r="C263" s="81" t="s">
        <v>2517</v>
      </c>
      <c r="D263" s="1193">
        <v>18376</v>
      </c>
      <c r="E263" s="1193">
        <v>1934</v>
      </c>
      <c r="F263" s="1193">
        <v>2017</v>
      </c>
    </row>
    <row r="264" spans="2:6" hidden="1" outlineLevel="1" x14ac:dyDescent="0.2">
      <c r="B264" s="81" t="s">
        <v>2518</v>
      </c>
      <c r="C264" s="81" t="s">
        <v>2519</v>
      </c>
      <c r="D264" s="1193">
        <v>18200</v>
      </c>
      <c r="E264" s="1193">
        <v>1920</v>
      </c>
      <c r="F264" s="1193">
        <v>2016</v>
      </c>
    </row>
    <row r="265" spans="2:6" hidden="1" outlineLevel="1" x14ac:dyDescent="0.2">
      <c r="B265" s="81" t="s">
        <v>2520</v>
      </c>
      <c r="C265" s="81" t="s">
        <v>2521</v>
      </c>
      <c r="D265" s="1193">
        <v>18069</v>
      </c>
      <c r="E265" s="1193">
        <v>1958</v>
      </c>
      <c r="F265" s="1193">
        <v>2022</v>
      </c>
    </row>
    <row r="266" spans="2:6" hidden="1" outlineLevel="1" x14ac:dyDescent="0.2">
      <c r="B266" s="81" t="s">
        <v>2522</v>
      </c>
      <c r="C266" s="81" t="s">
        <v>2523</v>
      </c>
      <c r="D266" s="1193">
        <v>18000</v>
      </c>
      <c r="E266" s="1193">
        <v>1993</v>
      </c>
      <c r="F266" s="1193"/>
    </row>
    <row r="267" spans="2:6" hidden="1" outlineLevel="1" x14ac:dyDescent="0.2">
      <c r="B267" s="81" t="s">
        <v>2524</v>
      </c>
      <c r="C267" s="81" t="s">
        <v>2525</v>
      </c>
      <c r="D267" s="1193">
        <v>17924</v>
      </c>
      <c r="E267" s="1193">
        <v>1918</v>
      </c>
      <c r="F267" s="1193">
        <v>2015</v>
      </c>
    </row>
    <row r="268" spans="2:6" hidden="1" outlineLevel="1" x14ac:dyDescent="0.2">
      <c r="B268" s="81" t="s">
        <v>2526</v>
      </c>
      <c r="C268" s="81" t="s">
        <v>2527</v>
      </c>
      <c r="D268" s="1193">
        <v>17129</v>
      </c>
      <c r="E268" s="1193">
        <v>1975</v>
      </c>
      <c r="F268" s="1193">
        <v>2019</v>
      </c>
    </row>
    <row r="269" spans="2:6" hidden="1" outlineLevel="1" x14ac:dyDescent="0.2">
      <c r="B269" s="81" t="s">
        <v>2528</v>
      </c>
      <c r="C269" s="81" t="s">
        <v>2529</v>
      </c>
      <c r="D269" s="1193">
        <v>17072</v>
      </c>
      <c r="E269" s="1193">
        <v>1962</v>
      </c>
      <c r="F269" s="1193">
        <v>1997</v>
      </c>
    </row>
    <row r="270" spans="2:6" hidden="1" outlineLevel="1" x14ac:dyDescent="0.2">
      <c r="B270" s="81" t="s">
        <v>2530</v>
      </c>
      <c r="C270" s="81" t="s">
        <v>2478</v>
      </c>
      <c r="D270" s="1193">
        <v>16382</v>
      </c>
      <c r="E270" s="1193">
        <v>1931</v>
      </c>
      <c r="F270" s="1193">
        <v>1999</v>
      </c>
    </row>
    <row r="271" spans="2:6" hidden="1" outlineLevel="1" x14ac:dyDescent="0.2">
      <c r="B271" s="81" t="s">
        <v>2531</v>
      </c>
      <c r="C271" s="81" t="s">
        <v>2532</v>
      </c>
      <c r="D271" s="1193">
        <v>16048</v>
      </c>
      <c r="E271" s="1193">
        <v>1932</v>
      </c>
      <c r="F271" s="1193">
        <v>2018</v>
      </c>
    </row>
    <row r="272" spans="2:6" hidden="1" outlineLevel="1" x14ac:dyDescent="0.2">
      <c r="B272" s="81" t="s">
        <v>2533</v>
      </c>
      <c r="C272" s="81" t="s">
        <v>2534</v>
      </c>
      <c r="D272" s="1193">
        <v>16000</v>
      </c>
      <c r="E272" s="1193">
        <v>1926</v>
      </c>
      <c r="F272" s="1193">
        <v>2023</v>
      </c>
    </row>
    <row r="273" spans="2:40" hidden="1" outlineLevel="1" x14ac:dyDescent="0.2">
      <c r="B273" s="81" t="s">
        <v>2535</v>
      </c>
      <c r="C273" s="81" t="s">
        <v>2536</v>
      </c>
      <c r="D273" s="1193">
        <v>15714</v>
      </c>
      <c r="E273" s="1193">
        <v>1964</v>
      </c>
      <c r="F273" s="1193">
        <v>2022</v>
      </c>
    </row>
    <row r="274" spans="2:40" hidden="1" outlineLevel="1" x14ac:dyDescent="0.2">
      <c r="B274" s="81" t="s">
        <v>2537</v>
      </c>
      <c r="C274" s="81" t="s">
        <v>2486</v>
      </c>
      <c r="D274" s="1193">
        <v>15697</v>
      </c>
      <c r="E274" s="1193">
        <v>2007</v>
      </c>
      <c r="F274" s="1193"/>
    </row>
    <row r="275" spans="2:40" hidden="1" outlineLevel="1" x14ac:dyDescent="0.2">
      <c r="B275" s="81" t="s">
        <v>2538</v>
      </c>
      <c r="C275" s="81" t="s">
        <v>2539</v>
      </c>
      <c r="D275" s="1193">
        <v>15220</v>
      </c>
      <c r="E275" s="1193">
        <v>1922</v>
      </c>
      <c r="F275" s="1193"/>
    </row>
    <row r="276" spans="2:40" hidden="1" outlineLevel="1" x14ac:dyDescent="0.2">
      <c r="B276" s="81" t="s">
        <v>2540</v>
      </c>
      <c r="C276" s="81" t="s">
        <v>2454</v>
      </c>
      <c r="D276" s="1193">
        <v>15603</v>
      </c>
      <c r="E276" s="1193">
        <v>1984</v>
      </c>
      <c r="F276" s="1193">
        <v>2015</v>
      </c>
    </row>
    <row r="277" spans="2:40" hidden="1" outlineLevel="1" x14ac:dyDescent="0.2">
      <c r="B277" s="81" t="s">
        <v>2541</v>
      </c>
      <c r="C277" s="81" t="s">
        <v>2542</v>
      </c>
      <c r="D277" s="1193">
        <v>15000</v>
      </c>
      <c r="E277" s="1193">
        <v>1971</v>
      </c>
      <c r="F277" s="1193"/>
    </row>
    <row r="278" spans="2:40" hidden="1" outlineLevel="1" x14ac:dyDescent="0.2">
      <c r="B278" s="81" t="s">
        <v>2543</v>
      </c>
      <c r="C278" s="81" t="s">
        <v>2544</v>
      </c>
      <c r="D278" s="1193">
        <v>15000</v>
      </c>
      <c r="E278" s="1193">
        <v>1969</v>
      </c>
      <c r="F278" s="1193"/>
    </row>
    <row r="279" spans="2:40" hidden="1" outlineLevel="1" x14ac:dyDescent="0.2">
      <c r="E279" s="346"/>
      <c r="F279" s="346"/>
    </row>
    <row r="280" spans="2:40" hidden="1" outlineLevel="1" x14ac:dyDescent="0.2">
      <c r="B280" s="55" t="s">
        <v>2562</v>
      </c>
      <c r="C280" s="2347">
        <f>COUNTIF(E225:E278,"&gt;=1972")</f>
        <v>24</v>
      </c>
      <c r="D280" s="220">
        <f>C280/COUNT($E$225:$E$278)</f>
        <v>0.44444444444444442</v>
      </c>
    </row>
    <row r="281" spans="2:40" hidden="1" outlineLevel="1" x14ac:dyDescent="0.2">
      <c r="B281" s="55" t="s">
        <v>2545</v>
      </c>
      <c r="C281" s="55">
        <f>COUNTIF(E225:E278,"&lt;1972")</f>
        <v>30</v>
      </c>
      <c r="D281" s="220">
        <f>C281/COUNT($E$225:$E$278)</f>
        <v>0.55555555555555558</v>
      </c>
    </row>
    <row r="282" spans="2:40" hidden="1" outlineLevel="1" x14ac:dyDescent="0.2">
      <c r="B282" s="55" t="s">
        <v>2566</v>
      </c>
      <c r="C282" s="346">
        <f>(MAX(E225:E278)-MIN(E225:E278))/COUNT(E225:E278)</f>
        <v>2.0555555555555554</v>
      </c>
      <c r="D282" s="55" t="s">
        <v>1614</v>
      </c>
    </row>
    <row r="283" spans="2:40" hidden="1" outlineLevel="1" x14ac:dyDescent="0.2">
      <c r="B283" s="55" t="s">
        <v>2571</v>
      </c>
      <c r="C283" s="220">
        <f>(COUNT(E225:E278)/1)^(1/(MAX(E225:E278)-MIN(E225:E278))-1)</f>
        <v>1.9196117127326561E-2</v>
      </c>
      <c r="E283" s="346"/>
      <c r="I283"/>
    </row>
    <row r="284" spans="2:40" hidden="1" outlineLevel="1" x14ac:dyDescent="0.2">
      <c r="B284" s="55" t="s">
        <v>2546</v>
      </c>
      <c r="C284" s="55">
        <f>COUNTIF(E225:E278,"&gt;=2000")</f>
        <v>11</v>
      </c>
      <c r="D284" s="220">
        <f>C284/COUNT($E$225:$E$278)</f>
        <v>0.20370370370370369</v>
      </c>
      <c r="I284"/>
    </row>
    <row r="285" spans="2:40" hidden="1" outlineLevel="1" x14ac:dyDescent="0.2">
      <c r="I285"/>
    </row>
    <row r="286" spans="2:40" hidden="1" outlineLevel="1" x14ac:dyDescent="0.2">
      <c r="I286"/>
    </row>
    <row r="287" spans="2:40" ht="18" hidden="1" outlineLevel="1" x14ac:dyDescent="0.2">
      <c r="B287" s="1634" t="s">
        <v>2598</v>
      </c>
      <c r="D287" s="220"/>
      <c r="I287"/>
    </row>
    <row r="288" spans="2:40" hidden="1" outlineLevel="1" x14ac:dyDescent="0.2">
      <c r="I288"/>
      <c r="AN288"/>
    </row>
    <row r="289" spans="2:40" hidden="1" outlineLevel="1" x14ac:dyDescent="0.2">
      <c r="B289" s="328" t="s">
        <v>2573</v>
      </c>
      <c r="AN289"/>
    </row>
    <row r="290" spans="2:40" hidden="1" outlineLevel="1" x14ac:dyDescent="0.2">
      <c r="AN290"/>
    </row>
    <row r="291" spans="2:40" hidden="1" outlineLevel="1" x14ac:dyDescent="0.2">
      <c r="B291" s="55" t="s">
        <v>2578</v>
      </c>
      <c r="AN291"/>
    </row>
    <row r="292" spans="2:40" hidden="1" outlineLevel="1" x14ac:dyDescent="0.2">
      <c r="B292" s="55" t="s">
        <v>2579</v>
      </c>
      <c r="D292" s="346">
        <f>(C295-AE295)/(2050-2022)</f>
        <v>13506.114417989416</v>
      </c>
      <c r="E292" s="55" t="s">
        <v>2569</v>
      </c>
    </row>
    <row r="293" spans="2:40" hidden="1" outlineLevel="1" x14ac:dyDescent="0.2"/>
    <row r="294" spans="2:40" hidden="1" outlineLevel="1" x14ac:dyDescent="0.2">
      <c r="B294" s="7" t="s">
        <v>2567</v>
      </c>
      <c r="C294" s="7">
        <v>2022</v>
      </c>
      <c r="D294" s="7">
        <v>2023</v>
      </c>
      <c r="E294" s="7">
        <v>2024</v>
      </c>
      <c r="F294" s="7">
        <v>2025</v>
      </c>
      <c r="G294" s="7">
        <v>2026</v>
      </c>
      <c r="H294" s="7">
        <v>2027</v>
      </c>
      <c r="I294" s="7">
        <v>2028</v>
      </c>
      <c r="J294" s="7">
        <v>2029</v>
      </c>
      <c r="K294" s="7">
        <v>2030</v>
      </c>
      <c r="L294" s="7">
        <v>2031</v>
      </c>
      <c r="M294" s="7">
        <v>2032</v>
      </c>
      <c r="N294" s="7">
        <v>2033</v>
      </c>
      <c r="O294" s="7">
        <v>2034</v>
      </c>
      <c r="P294" s="7">
        <v>2035</v>
      </c>
      <c r="Q294" s="7">
        <v>2036</v>
      </c>
      <c r="R294" s="7">
        <v>2037</v>
      </c>
      <c r="S294" s="7">
        <v>2038</v>
      </c>
      <c r="T294" s="7">
        <v>2039</v>
      </c>
      <c r="U294" s="7">
        <v>2040</v>
      </c>
      <c r="V294" s="7">
        <v>2041</v>
      </c>
      <c r="W294" s="7">
        <v>2042</v>
      </c>
      <c r="X294" s="7">
        <v>2043</v>
      </c>
      <c r="Y294" s="7">
        <v>2044</v>
      </c>
      <c r="Z294" s="7">
        <v>2045</v>
      </c>
      <c r="AA294" s="7">
        <v>2046</v>
      </c>
      <c r="AB294" s="7">
        <v>2047</v>
      </c>
      <c r="AC294" s="7">
        <v>2048</v>
      </c>
      <c r="AD294" s="7">
        <v>2049</v>
      </c>
      <c r="AE294" s="7">
        <v>2050</v>
      </c>
    </row>
    <row r="295" spans="2:40" hidden="1" outlineLevel="1" x14ac:dyDescent="0.2">
      <c r="B295" s="81" t="s">
        <v>2568</v>
      </c>
      <c r="C295" s="314">
        <f>$D$52</f>
        <v>698162.22222222213</v>
      </c>
      <c r="D295" s="314">
        <f t="shared" ref="D295:AD295" si="7">C295-$D$292</f>
        <v>684656.10780423274</v>
      </c>
      <c r="E295" s="314">
        <f t="shared" si="7"/>
        <v>671149.99338624335</v>
      </c>
      <c r="F295" s="314">
        <f t="shared" si="7"/>
        <v>657643.87896825396</v>
      </c>
      <c r="G295" s="314">
        <f t="shared" si="7"/>
        <v>644137.76455026458</v>
      </c>
      <c r="H295" s="314">
        <f t="shared" si="7"/>
        <v>630631.65013227519</v>
      </c>
      <c r="I295" s="314">
        <f t="shared" si="7"/>
        <v>617125.5357142858</v>
      </c>
      <c r="J295" s="314">
        <f t="shared" si="7"/>
        <v>603619.42129629641</v>
      </c>
      <c r="K295" s="314">
        <f t="shared" si="7"/>
        <v>590113.30687830702</v>
      </c>
      <c r="L295" s="314">
        <f t="shared" si="7"/>
        <v>576607.19246031763</v>
      </c>
      <c r="M295" s="314">
        <f t="shared" si="7"/>
        <v>563101.07804232824</v>
      </c>
      <c r="N295" s="314">
        <f t="shared" si="7"/>
        <v>549594.96362433885</v>
      </c>
      <c r="O295" s="314">
        <f t="shared" si="7"/>
        <v>536088.84920634946</v>
      </c>
      <c r="P295" s="314">
        <f t="shared" si="7"/>
        <v>522582.73478836007</v>
      </c>
      <c r="Q295" s="314">
        <f t="shared" si="7"/>
        <v>509076.62037037069</v>
      </c>
      <c r="R295" s="314">
        <f t="shared" si="7"/>
        <v>495570.5059523813</v>
      </c>
      <c r="S295" s="314">
        <f t="shared" si="7"/>
        <v>482064.39153439191</v>
      </c>
      <c r="T295" s="314">
        <f t="shared" si="7"/>
        <v>468558.27711640252</v>
      </c>
      <c r="U295" s="314">
        <f t="shared" si="7"/>
        <v>455052.16269841313</v>
      </c>
      <c r="V295" s="314">
        <f t="shared" si="7"/>
        <v>441546.04828042374</v>
      </c>
      <c r="W295" s="314">
        <f t="shared" si="7"/>
        <v>428039.93386243435</v>
      </c>
      <c r="X295" s="314">
        <f t="shared" si="7"/>
        <v>414533.81944444496</v>
      </c>
      <c r="Y295" s="314">
        <f t="shared" si="7"/>
        <v>401027.70502645557</v>
      </c>
      <c r="Z295" s="314">
        <f t="shared" si="7"/>
        <v>387521.59060846618</v>
      </c>
      <c r="AA295" s="314">
        <f t="shared" si="7"/>
        <v>374015.47619047679</v>
      </c>
      <c r="AB295" s="314">
        <f t="shared" si="7"/>
        <v>360509.36177248741</v>
      </c>
      <c r="AC295" s="314">
        <f t="shared" si="7"/>
        <v>347003.24735449802</v>
      </c>
      <c r="AD295" s="314">
        <f t="shared" si="7"/>
        <v>333497.13293650863</v>
      </c>
      <c r="AE295" s="314">
        <f>AE296*C29</f>
        <v>319991.01851851848</v>
      </c>
    </row>
    <row r="296" spans="2:40" hidden="1" outlineLevel="1" x14ac:dyDescent="0.2">
      <c r="B296" s="9" t="s">
        <v>2575</v>
      </c>
      <c r="C296" s="2407">
        <f>C295/$C$29</f>
        <v>0.44444444444444436</v>
      </c>
      <c r="D296" s="2407">
        <f t="shared" ref="D296:AD296" si="8">D295/$C$29</f>
        <v>0.43584656084656082</v>
      </c>
      <c r="E296" s="2407">
        <f t="shared" si="8"/>
        <v>0.42724867724867721</v>
      </c>
      <c r="F296" s="2407">
        <f t="shared" si="8"/>
        <v>0.41865079365079366</v>
      </c>
      <c r="G296" s="2407">
        <f t="shared" si="8"/>
        <v>0.41005291005291006</v>
      </c>
      <c r="H296" s="2407">
        <f t="shared" si="8"/>
        <v>0.40145502645502651</v>
      </c>
      <c r="I296" s="2407">
        <f t="shared" si="8"/>
        <v>0.3928571428571429</v>
      </c>
      <c r="J296" s="2407">
        <f t="shared" si="8"/>
        <v>0.38425925925925936</v>
      </c>
      <c r="K296" s="2407">
        <f t="shared" si="8"/>
        <v>0.37566137566137575</v>
      </c>
      <c r="L296" s="2407">
        <f t="shared" si="8"/>
        <v>0.36706349206349215</v>
      </c>
      <c r="M296" s="2407">
        <f t="shared" si="8"/>
        <v>0.3584656084656086</v>
      </c>
      <c r="N296" s="2407">
        <f t="shared" si="8"/>
        <v>0.34986772486772499</v>
      </c>
      <c r="O296" s="2407">
        <f t="shared" si="8"/>
        <v>0.34126984126984145</v>
      </c>
      <c r="P296" s="2407">
        <f t="shared" si="8"/>
        <v>0.33267195767195784</v>
      </c>
      <c r="Q296" s="2407">
        <f t="shared" si="8"/>
        <v>0.32407407407407429</v>
      </c>
      <c r="R296" s="2407">
        <f t="shared" si="8"/>
        <v>0.31547619047619069</v>
      </c>
      <c r="S296" s="2407">
        <f t="shared" si="8"/>
        <v>0.30687830687830714</v>
      </c>
      <c r="T296" s="2407">
        <f t="shared" si="8"/>
        <v>0.29828042328042353</v>
      </c>
      <c r="U296" s="2407">
        <f t="shared" si="8"/>
        <v>0.28968253968253993</v>
      </c>
      <c r="V296" s="2407">
        <f t="shared" si="8"/>
        <v>0.28108465608465638</v>
      </c>
      <c r="W296" s="2407">
        <f t="shared" si="8"/>
        <v>0.27248677248677278</v>
      </c>
      <c r="X296" s="2407">
        <f t="shared" si="8"/>
        <v>0.26388888888888923</v>
      </c>
      <c r="Y296" s="2407">
        <f t="shared" si="8"/>
        <v>0.25529100529100562</v>
      </c>
      <c r="Z296" s="2407">
        <f t="shared" si="8"/>
        <v>0.24669312169312205</v>
      </c>
      <c r="AA296" s="2407">
        <f t="shared" si="8"/>
        <v>0.23809523809523847</v>
      </c>
      <c r="AB296" s="2407">
        <f t="shared" si="8"/>
        <v>0.22949735449735489</v>
      </c>
      <c r="AC296" s="2407">
        <f t="shared" si="8"/>
        <v>0.22089947089947132</v>
      </c>
      <c r="AD296" s="2407">
        <f t="shared" si="8"/>
        <v>0.21230158730158774</v>
      </c>
      <c r="AE296" s="2407">
        <f>$D$284</f>
        <v>0.20370370370370369</v>
      </c>
    </row>
    <row r="297" spans="2:40" hidden="1" outlineLevel="1" x14ac:dyDescent="0.2">
      <c r="B297" s="81" t="s">
        <v>1613</v>
      </c>
      <c r="C297" s="81">
        <v>50</v>
      </c>
      <c r="D297" s="81">
        <v>50</v>
      </c>
      <c r="E297" s="81">
        <v>50</v>
      </c>
      <c r="F297" s="81">
        <v>50</v>
      </c>
      <c r="G297" s="81">
        <v>50</v>
      </c>
      <c r="H297" s="81">
        <v>50</v>
      </c>
      <c r="I297" s="81">
        <v>50</v>
      </c>
      <c r="J297" s="81">
        <v>50</v>
      </c>
      <c r="K297" s="81">
        <v>50</v>
      </c>
      <c r="L297" s="81">
        <v>50</v>
      </c>
      <c r="M297" s="81">
        <v>50</v>
      </c>
      <c r="N297" s="81">
        <v>50</v>
      </c>
      <c r="O297" s="81">
        <v>50</v>
      </c>
      <c r="P297" s="81">
        <v>50</v>
      </c>
      <c r="Q297" s="81">
        <v>50</v>
      </c>
      <c r="R297" s="81">
        <v>50</v>
      </c>
      <c r="S297" s="81">
        <v>50</v>
      </c>
      <c r="T297" s="81">
        <v>50</v>
      </c>
      <c r="U297" s="81">
        <v>50</v>
      </c>
      <c r="V297" s="81">
        <v>50</v>
      </c>
      <c r="W297" s="81">
        <v>50</v>
      </c>
      <c r="X297" s="81">
        <v>50</v>
      </c>
      <c r="Y297" s="81">
        <v>50</v>
      </c>
      <c r="Z297" s="81">
        <v>50</v>
      </c>
      <c r="AA297" s="81">
        <v>50</v>
      </c>
      <c r="AB297" s="81">
        <v>50</v>
      </c>
      <c r="AC297" s="81">
        <v>50</v>
      </c>
      <c r="AD297" s="81">
        <v>50</v>
      </c>
      <c r="AE297" s="81">
        <v>50</v>
      </c>
    </row>
    <row r="298" spans="2:40" hidden="1" outlineLevel="1" x14ac:dyDescent="0.2">
      <c r="B298" s="81" t="s">
        <v>148</v>
      </c>
      <c r="C298" s="314">
        <f>$E$52</f>
        <v>1522.2380054015412</v>
      </c>
      <c r="D298" s="314">
        <f t="shared" ref="D298:AE298" si="9">$E$52</f>
        <v>1522.2380054015412</v>
      </c>
      <c r="E298" s="314">
        <f t="shared" si="9"/>
        <v>1522.2380054015412</v>
      </c>
      <c r="F298" s="314">
        <f t="shared" si="9"/>
        <v>1522.2380054015412</v>
      </c>
      <c r="G298" s="314">
        <f t="shared" si="9"/>
        <v>1522.2380054015412</v>
      </c>
      <c r="H298" s="314">
        <f t="shared" si="9"/>
        <v>1522.2380054015412</v>
      </c>
      <c r="I298" s="314">
        <f t="shared" si="9"/>
        <v>1522.2380054015412</v>
      </c>
      <c r="J298" s="314">
        <f t="shared" si="9"/>
        <v>1522.2380054015412</v>
      </c>
      <c r="K298" s="314">
        <f t="shared" si="9"/>
        <v>1522.2380054015412</v>
      </c>
      <c r="L298" s="314">
        <f t="shared" si="9"/>
        <v>1522.2380054015412</v>
      </c>
      <c r="M298" s="314">
        <f t="shared" si="9"/>
        <v>1522.2380054015412</v>
      </c>
      <c r="N298" s="314">
        <f t="shared" si="9"/>
        <v>1522.2380054015412</v>
      </c>
      <c r="O298" s="314">
        <f t="shared" si="9"/>
        <v>1522.2380054015412</v>
      </c>
      <c r="P298" s="314">
        <f t="shared" si="9"/>
        <v>1522.2380054015412</v>
      </c>
      <c r="Q298" s="314">
        <f t="shared" si="9"/>
        <v>1522.2380054015412</v>
      </c>
      <c r="R298" s="314">
        <f t="shared" si="9"/>
        <v>1522.2380054015412</v>
      </c>
      <c r="S298" s="314">
        <f t="shared" si="9"/>
        <v>1522.2380054015412</v>
      </c>
      <c r="T298" s="314">
        <f t="shared" si="9"/>
        <v>1522.2380054015412</v>
      </c>
      <c r="U298" s="314">
        <f t="shared" si="9"/>
        <v>1522.2380054015412</v>
      </c>
      <c r="V298" s="314">
        <f t="shared" si="9"/>
        <v>1522.2380054015412</v>
      </c>
      <c r="W298" s="314">
        <f t="shared" si="9"/>
        <v>1522.2380054015412</v>
      </c>
      <c r="X298" s="314">
        <f t="shared" si="9"/>
        <v>1522.2380054015412</v>
      </c>
      <c r="Y298" s="314">
        <f t="shared" si="9"/>
        <v>1522.2380054015412</v>
      </c>
      <c r="Z298" s="314">
        <f t="shared" si="9"/>
        <v>1522.2380054015412</v>
      </c>
      <c r="AA298" s="314">
        <f t="shared" si="9"/>
        <v>1522.2380054015412</v>
      </c>
      <c r="AB298" s="314">
        <f t="shared" si="9"/>
        <v>1522.2380054015412</v>
      </c>
      <c r="AC298" s="314">
        <f t="shared" si="9"/>
        <v>1522.2380054015412</v>
      </c>
      <c r="AD298" s="314">
        <f t="shared" si="9"/>
        <v>1522.2380054015412</v>
      </c>
      <c r="AE298" s="314">
        <f t="shared" si="9"/>
        <v>1522.2380054015412</v>
      </c>
    </row>
    <row r="299" spans="2:40" hidden="1" outlineLevel="1" x14ac:dyDescent="0.2">
      <c r="B299" s="7" t="s">
        <v>2576</v>
      </c>
      <c r="C299" s="8">
        <f>C295*C298/C297/1000</f>
        <v>21255.38137204526</v>
      </c>
      <c r="D299" s="8">
        <f t="shared" ref="D299:AE299" si="10">D295*D298/D297/1000</f>
        <v>20844.190958597956</v>
      </c>
      <c r="E299" s="8">
        <f t="shared" si="10"/>
        <v>20433.000545150651</v>
      </c>
      <c r="F299" s="8">
        <f t="shared" si="10"/>
        <v>20021.810131703347</v>
      </c>
      <c r="G299" s="8">
        <f t="shared" si="10"/>
        <v>19610.619718256046</v>
      </c>
      <c r="H299" s="8">
        <f t="shared" si="10"/>
        <v>19199.429304808742</v>
      </c>
      <c r="I299" s="8">
        <f t="shared" si="10"/>
        <v>18788.238891361438</v>
      </c>
      <c r="J299" s="8">
        <f t="shared" si="10"/>
        <v>18377.048477914137</v>
      </c>
      <c r="K299" s="8">
        <f t="shared" si="10"/>
        <v>17965.858064466829</v>
      </c>
      <c r="L299" s="8">
        <f t="shared" si="10"/>
        <v>17554.667651019528</v>
      </c>
      <c r="M299" s="8">
        <f t="shared" si="10"/>
        <v>17143.477237572228</v>
      </c>
      <c r="N299" s="8">
        <f t="shared" si="10"/>
        <v>16732.286824124923</v>
      </c>
      <c r="O299" s="8">
        <f t="shared" si="10"/>
        <v>16321.096410677619</v>
      </c>
      <c r="P299" s="8">
        <f t="shared" si="10"/>
        <v>15909.905997230315</v>
      </c>
      <c r="Q299" s="8">
        <f t="shared" si="10"/>
        <v>15498.715583783014</v>
      </c>
      <c r="R299" s="8">
        <f t="shared" si="10"/>
        <v>15087.52517033571</v>
      </c>
      <c r="S299" s="8">
        <f t="shared" si="10"/>
        <v>14676.334756888406</v>
      </c>
      <c r="T299" s="8">
        <f t="shared" si="10"/>
        <v>14265.144343441103</v>
      </c>
      <c r="U299" s="8">
        <f t="shared" si="10"/>
        <v>13853.953929993799</v>
      </c>
      <c r="V299" s="8">
        <f t="shared" si="10"/>
        <v>13442.763516546496</v>
      </c>
      <c r="W299" s="8">
        <f t="shared" si="10"/>
        <v>13031.573103099194</v>
      </c>
      <c r="X299" s="8">
        <f t="shared" si="10"/>
        <v>12620.382689651889</v>
      </c>
      <c r="Y299" s="8">
        <f t="shared" si="10"/>
        <v>12209.192276204585</v>
      </c>
      <c r="Z299" s="8">
        <f t="shared" si="10"/>
        <v>11798.001862757283</v>
      </c>
      <c r="AA299" s="8">
        <f t="shared" si="10"/>
        <v>11386.81144930998</v>
      </c>
      <c r="AB299" s="8">
        <f t="shared" si="10"/>
        <v>10975.621035862678</v>
      </c>
      <c r="AC299" s="8">
        <f t="shared" si="10"/>
        <v>10564.430622415373</v>
      </c>
      <c r="AD299" s="8">
        <f t="shared" si="10"/>
        <v>10153.240208968071</v>
      </c>
      <c r="AE299" s="8">
        <f t="shared" si="10"/>
        <v>9742.0497955207447</v>
      </c>
    </row>
    <row r="300" spans="2:40" hidden="1" outlineLevel="1" x14ac:dyDescent="0.2">
      <c r="AN300"/>
    </row>
    <row r="301" spans="2:40" hidden="1" outlineLevel="1" x14ac:dyDescent="0.2">
      <c r="B301" s="55" t="s">
        <v>2577</v>
      </c>
      <c r="C301" s="346">
        <f>AE299</f>
        <v>9742.0497955207447</v>
      </c>
      <c r="D301" s="55" t="s">
        <v>71</v>
      </c>
      <c r="AN301"/>
    </row>
    <row r="302" spans="2:40" hidden="1" outlineLevel="1" x14ac:dyDescent="0.2"/>
    <row r="303" spans="2:40" hidden="1" outlineLevel="1" x14ac:dyDescent="0.2"/>
    <row r="304" spans="2:40" hidden="1" outlineLevel="1" x14ac:dyDescent="0.2">
      <c r="B304" s="328" t="s">
        <v>2574</v>
      </c>
      <c r="AE304"/>
    </row>
    <row r="305" spans="2:31" hidden="1" outlineLevel="1" x14ac:dyDescent="0.2">
      <c r="C305"/>
      <c r="D305"/>
      <c r="E305"/>
      <c r="F305"/>
      <c r="G305"/>
      <c r="H305"/>
      <c r="I305"/>
      <c r="J305"/>
      <c r="K305"/>
      <c r="L305"/>
      <c r="M305"/>
      <c r="N305"/>
      <c r="O305"/>
      <c r="P305"/>
      <c r="Q305"/>
      <c r="R305"/>
      <c r="S305"/>
      <c r="T305"/>
      <c r="U305"/>
      <c r="V305"/>
      <c r="W305"/>
      <c r="X305"/>
      <c r="Y305"/>
      <c r="Z305"/>
      <c r="AA305"/>
      <c r="AB305"/>
      <c r="AC305"/>
      <c r="AD305"/>
      <c r="AE305"/>
    </row>
    <row r="306" spans="2:31" hidden="1" outlineLevel="1" x14ac:dyDescent="0.2">
      <c r="B306" s="55" t="s">
        <v>2579</v>
      </c>
      <c r="D306" s="346">
        <f>(C311-AE311)/(2050-2022)</f>
        <v>35.942358606897095</v>
      </c>
      <c r="E306" s="55" t="s">
        <v>2569</v>
      </c>
      <c r="F306"/>
      <c r="G306"/>
      <c r="H306"/>
      <c r="I306"/>
      <c r="J306"/>
      <c r="K306"/>
      <c r="L306"/>
      <c r="M306"/>
      <c r="N306"/>
      <c r="O306"/>
      <c r="P306"/>
      <c r="Q306"/>
      <c r="R306"/>
      <c r="S306"/>
      <c r="T306"/>
      <c r="U306"/>
      <c r="V306"/>
      <c r="W306"/>
      <c r="X306"/>
      <c r="Y306"/>
      <c r="Z306"/>
      <c r="AA306"/>
      <c r="AB306"/>
      <c r="AC306"/>
      <c r="AD306"/>
      <c r="AE306"/>
    </row>
    <row r="307" spans="2:31" hidden="1" outlineLevel="1" x14ac:dyDescent="0.2">
      <c r="D307" s="346"/>
      <c r="F307"/>
      <c r="G307"/>
      <c r="H307"/>
      <c r="I307"/>
      <c r="J307"/>
      <c r="K307"/>
      <c r="L307"/>
      <c r="M307"/>
      <c r="N307"/>
      <c r="O307"/>
      <c r="P307"/>
      <c r="Q307"/>
      <c r="R307"/>
      <c r="S307"/>
      <c r="T307"/>
      <c r="U307"/>
      <c r="V307"/>
      <c r="W307"/>
      <c r="X307"/>
      <c r="Y307"/>
      <c r="Z307"/>
      <c r="AA307"/>
      <c r="AB307"/>
      <c r="AC307"/>
      <c r="AD307"/>
      <c r="AE307"/>
    </row>
    <row r="308" spans="2:31" hidden="1" outlineLevel="1" x14ac:dyDescent="0.2">
      <c r="B308" s="7" t="s">
        <v>2567</v>
      </c>
      <c r="C308" s="81">
        <v>2022</v>
      </c>
      <c r="D308" s="81">
        <v>2023</v>
      </c>
      <c r="E308" s="81">
        <v>2024</v>
      </c>
      <c r="F308" s="81">
        <v>2025</v>
      </c>
      <c r="G308" s="81">
        <v>2026</v>
      </c>
      <c r="H308" s="81">
        <v>2027</v>
      </c>
      <c r="I308" s="81">
        <v>2028</v>
      </c>
      <c r="J308" s="81">
        <v>2029</v>
      </c>
      <c r="K308" s="81">
        <v>2030</v>
      </c>
      <c r="L308" s="81">
        <v>2031</v>
      </c>
      <c r="M308" s="81">
        <v>2032</v>
      </c>
      <c r="N308" s="81">
        <v>2033</v>
      </c>
      <c r="O308" s="81">
        <v>2034</v>
      </c>
      <c r="P308" s="81">
        <v>2035</v>
      </c>
      <c r="Q308" s="81">
        <v>2036</v>
      </c>
      <c r="R308" s="81">
        <v>2037</v>
      </c>
      <c r="S308" s="81">
        <v>2038</v>
      </c>
      <c r="T308" s="81">
        <v>2039</v>
      </c>
      <c r="U308" s="81">
        <v>2040</v>
      </c>
      <c r="V308" s="81">
        <v>2041</v>
      </c>
      <c r="W308" s="81">
        <v>2042</v>
      </c>
      <c r="X308" s="81">
        <v>2043</v>
      </c>
      <c r="Y308" s="81">
        <v>2044</v>
      </c>
      <c r="Z308" s="81">
        <v>2045</v>
      </c>
      <c r="AA308" s="81">
        <v>2046</v>
      </c>
      <c r="AB308" s="81">
        <v>2047</v>
      </c>
      <c r="AC308" s="81">
        <v>2048</v>
      </c>
      <c r="AD308" s="81">
        <v>2049</v>
      </c>
      <c r="AE308" s="81">
        <v>2050</v>
      </c>
    </row>
    <row r="309" spans="2:31" hidden="1" outlineLevel="1" x14ac:dyDescent="0.2">
      <c r="B309" s="81" t="s">
        <v>2580</v>
      </c>
      <c r="C309" s="314">
        <v>0</v>
      </c>
      <c r="D309" s="314">
        <f t="shared" ref="D309:AE309" si="11">$C$295-D295</f>
        <v>13506.114417989389</v>
      </c>
      <c r="E309" s="314">
        <f t="shared" si="11"/>
        <v>27012.228835978778</v>
      </c>
      <c r="F309" s="314">
        <f t="shared" si="11"/>
        <v>40518.343253968167</v>
      </c>
      <c r="G309" s="314">
        <f t="shared" si="11"/>
        <v>54024.457671957556</v>
      </c>
      <c r="H309" s="314">
        <f t="shared" si="11"/>
        <v>67530.572089946945</v>
      </c>
      <c r="I309" s="314">
        <f t="shared" si="11"/>
        <v>81036.686507936334</v>
      </c>
      <c r="J309" s="314">
        <f t="shared" si="11"/>
        <v>94542.800925925723</v>
      </c>
      <c r="K309" s="314">
        <f t="shared" si="11"/>
        <v>108048.91534391511</v>
      </c>
      <c r="L309" s="314">
        <f t="shared" si="11"/>
        <v>121555.0297619045</v>
      </c>
      <c r="M309" s="314">
        <f t="shared" si="11"/>
        <v>135061.14417989389</v>
      </c>
      <c r="N309" s="314">
        <f t="shared" si="11"/>
        <v>148567.25859788328</v>
      </c>
      <c r="O309" s="314">
        <f t="shared" si="11"/>
        <v>162073.37301587267</v>
      </c>
      <c r="P309" s="314">
        <f t="shared" si="11"/>
        <v>175579.48743386206</v>
      </c>
      <c r="Q309" s="314">
        <f t="shared" si="11"/>
        <v>189085.60185185145</v>
      </c>
      <c r="R309" s="314">
        <f t="shared" si="11"/>
        <v>202591.71626984084</v>
      </c>
      <c r="S309" s="314">
        <f t="shared" si="11"/>
        <v>216097.83068783022</v>
      </c>
      <c r="T309" s="314">
        <f t="shared" si="11"/>
        <v>229603.94510581961</v>
      </c>
      <c r="U309" s="314">
        <f t="shared" si="11"/>
        <v>243110.059523809</v>
      </c>
      <c r="V309" s="314">
        <f t="shared" si="11"/>
        <v>256616.17394179839</v>
      </c>
      <c r="W309" s="314">
        <f t="shared" si="11"/>
        <v>270122.28835978778</v>
      </c>
      <c r="X309" s="314">
        <f t="shared" si="11"/>
        <v>283628.40277777717</v>
      </c>
      <c r="Y309" s="314">
        <f t="shared" si="11"/>
        <v>297134.51719576656</v>
      </c>
      <c r="Z309" s="314">
        <f t="shared" si="11"/>
        <v>310640.63161375595</v>
      </c>
      <c r="AA309" s="314">
        <f t="shared" si="11"/>
        <v>324146.74603174534</v>
      </c>
      <c r="AB309" s="314">
        <f t="shared" si="11"/>
        <v>337652.86044973473</v>
      </c>
      <c r="AC309" s="314">
        <f t="shared" si="11"/>
        <v>351158.97486772412</v>
      </c>
      <c r="AD309" s="314">
        <f t="shared" si="11"/>
        <v>364665.0892857135</v>
      </c>
      <c r="AE309" s="314">
        <f t="shared" si="11"/>
        <v>378171.20370370365</v>
      </c>
    </row>
    <row r="310" spans="2:31" hidden="1" outlineLevel="1" x14ac:dyDescent="0.2">
      <c r="B310" s="81" t="s">
        <v>1613</v>
      </c>
      <c r="C310" s="81">
        <v>50</v>
      </c>
      <c r="D310" s="81">
        <v>50</v>
      </c>
      <c r="E310" s="81">
        <v>50</v>
      </c>
      <c r="F310" s="81">
        <v>50</v>
      </c>
      <c r="G310" s="81">
        <v>50</v>
      </c>
      <c r="H310" s="81">
        <v>50</v>
      </c>
      <c r="I310" s="81">
        <v>50</v>
      </c>
      <c r="J310" s="81">
        <v>50</v>
      </c>
      <c r="K310" s="81">
        <v>50</v>
      </c>
      <c r="L310" s="81">
        <v>50</v>
      </c>
      <c r="M310" s="81">
        <v>50</v>
      </c>
      <c r="N310" s="81">
        <v>50</v>
      </c>
      <c r="O310" s="81">
        <v>50</v>
      </c>
      <c r="P310" s="81">
        <v>50</v>
      </c>
      <c r="Q310" s="81">
        <v>50</v>
      </c>
      <c r="R310" s="81">
        <v>50</v>
      </c>
      <c r="S310" s="81">
        <v>50</v>
      </c>
      <c r="T310" s="81">
        <v>50</v>
      </c>
      <c r="U310" s="81">
        <v>50</v>
      </c>
      <c r="V310" s="81">
        <v>50</v>
      </c>
      <c r="W310" s="81">
        <v>50</v>
      </c>
      <c r="X310" s="81">
        <v>50</v>
      </c>
      <c r="Y310" s="81">
        <v>50</v>
      </c>
      <c r="Z310" s="81">
        <v>50</v>
      </c>
      <c r="AA310" s="81">
        <v>50</v>
      </c>
      <c r="AB310" s="81">
        <v>50</v>
      </c>
      <c r="AC310" s="81">
        <v>50</v>
      </c>
      <c r="AD310" s="81">
        <v>50</v>
      </c>
      <c r="AE310" s="81">
        <v>50</v>
      </c>
    </row>
    <row r="311" spans="2:31" hidden="1" outlineLevel="1" x14ac:dyDescent="0.2">
      <c r="B311" s="81" t="s">
        <v>2581</v>
      </c>
      <c r="C311" s="314">
        <f>$E$52</f>
        <v>1522.2380054015412</v>
      </c>
      <c r="D311" s="314">
        <f t="shared" ref="D311:AD311" si="12">C311-$D$306</f>
        <v>1486.295646794644</v>
      </c>
      <c r="E311" s="314">
        <f t="shared" si="12"/>
        <v>1450.3532881877468</v>
      </c>
      <c r="F311" s="314">
        <f t="shared" si="12"/>
        <v>1414.4109295808496</v>
      </c>
      <c r="G311" s="314">
        <f t="shared" si="12"/>
        <v>1378.4685709739524</v>
      </c>
      <c r="H311" s="314">
        <f t="shared" si="12"/>
        <v>1342.5262123670552</v>
      </c>
      <c r="I311" s="314">
        <f t="shared" si="12"/>
        <v>1306.583853760158</v>
      </c>
      <c r="J311" s="314">
        <f t="shared" si="12"/>
        <v>1270.6414951532608</v>
      </c>
      <c r="K311" s="314">
        <f t="shared" si="12"/>
        <v>1234.6991365463637</v>
      </c>
      <c r="L311" s="314">
        <f t="shared" si="12"/>
        <v>1198.7567779394665</v>
      </c>
      <c r="M311" s="314">
        <f t="shared" si="12"/>
        <v>1162.8144193325693</v>
      </c>
      <c r="N311" s="314">
        <f t="shared" si="12"/>
        <v>1126.8720607256721</v>
      </c>
      <c r="O311" s="314">
        <f t="shared" si="12"/>
        <v>1090.9297021187749</v>
      </c>
      <c r="P311" s="314">
        <f t="shared" si="12"/>
        <v>1054.9873435118777</v>
      </c>
      <c r="Q311" s="314">
        <f t="shared" si="12"/>
        <v>1019.0449849049807</v>
      </c>
      <c r="R311" s="314">
        <f t="shared" si="12"/>
        <v>983.10262629808358</v>
      </c>
      <c r="S311" s="314">
        <f t="shared" si="12"/>
        <v>947.1602676911865</v>
      </c>
      <c r="T311" s="314">
        <f t="shared" si="12"/>
        <v>911.21790908428943</v>
      </c>
      <c r="U311" s="314">
        <f t="shared" si="12"/>
        <v>875.27555047739236</v>
      </c>
      <c r="V311" s="314">
        <f t="shared" si="12"/>
        <v>839.33319187049528</v>
      </c>
      <c r="W311" s="314">
        <f t="shared" si="12"/>
        <v>803.39083326359821</v>
      </c>
      <c r="X311" s="314">
        <f t="shared" si="12"/>
        <v>767.44847465670114</v>
      </c>
      <c r="Y311" s="314">
        <f t="shared" si="12"/>
        <v>731.50611604980406</v>
      </c>
      <c r="Z311" s="314">
        <f t="shared" si="12"/>
        <v>695.56375744290699</v>
      </c>
      <c r="AA311" s="314">
        <f t="shared" si="12"/>
        <v>659.62139883600992</v>
      </c>
      <c r="AB311" s="314">
        <f t="shared" si="12"/>
        <v>623.67904022911284</v>
      </c>
      <c r="AC311" s="314">
        <f t="shared" si="12"/>
        <v>587.73668162221577</v>
      </c>
      <c r="AD311" s="314">
        <f t="shared" si="12"/>
        <v>551.7943230153187</v>
      </c>
      <c r="AE311" s="314">
        <f>'Fiche levier - 10.1'!C99</f>
        <v>515.85196440842242</v>
      </c>
    </row>
    <row r="312" spans="2:31" hidden="1" outlineLevel="1" x14ac:dyDescent="0.2">
      <c r="B312" s="7" t="s">
        <v>2576</v>
      </c>
      <c r="C312" s="8">
        <f>C309*C311/C310/1000</f>
        <v>0</v>
      </c>
      <c r="D312" s="8">
        <f>D309*D311/D310/1000</f>
        <v>401.4815812913601</v>
      </c>
      <c r="E312" s="8">
        <f t="shared" ref="E312:AE312" si="13">E309*E311/E310/1000</f>
        <v>783.54549827083372</v>
      </c>
      <c r="F312" s="8">
        <f t="shared" si="13"/>
        <v>1146.1917509384211</v>
      </c>
      <c r="G312" s="8">
        <f t="shared" si="13"/>
        <v>1489.420339294122</v>
      </c>
      <c r="H312" s="8">
        <f t="shared" si="13"/>
        <v>1813.231263337937</v>
      </c>
      <c r="I312" s="8">
        <f t="shared" si="13"/>
        <v>2117.6245230698651</v>
      </c>
      <c r="J312" s="8">
        <f t="shared" si="13"/>
        <v>2402.6001184899073</v>
      </c>
      <c r="K312" s="8">
        <f t="shared" si="13"/>
        <v>2668.1580495980625</v>
      </c>
      <c r="L312" s="8">
        <f t="shared" si="13"/>
        <v>2914.2983163943318</v>
      </c>
      <c r="M312" s="8">
        <f t="shared" si="13"/>
        <v>3141.0209188787144</v>
      </c>
      <c r="N312" s="8">
        <f t="shared" si="13"/>
        <v>3348.3258570512107</v>
      </c>
      <c r="O312" s="8">
        <f t="shared" si="13"/>
        <v>3536.2131309118208</v>
      </c>
      <c r="P312" s="8">
        <f t="shared" si="13"/>
        <v>3704.6827404605447</v>
      </c>
      <c r="Q312" s="8">
        <f t="shared" si="13"/>
        <v>3853.7346856973827</v>
      </c>
      <c r="R312" s="8">
        <f t="shared" si="13"/>
        <v>3983.368966622334</v>
      </c>
      <c r="S312" s="8">
        <f t="shared" si="13"/>
        <v>4093.5855832354</v>
      </c>
      <c r="T312" s="8">
        <f t="shared" si="13"/>
        <v>4184.3845355365784</v>
      </c>
      <c r="U312" s="8">
        <f t="shared" si="13"/>
        <v>4255.7658235258714</v>
      </c>
      <c r="V312" s="8">
        <f t="shared" si="13"/>
        <v>4307.7294472032772</v>
      </c>
      <c r="W312" s="8">
        <f t="shared" si="13"/>
        <v>4340.2754065687977</v>
      </c>
      <c r="X312" s="8">
        <f t="shared" si="13"/>
        <v>4353.4037016224302</v>
      </c>
      <c r="Y312" s="8">
        <f t="shared" si="13"/>
        <v>4347.1143323641782</v>
      </c>
      <c r="Z312" s="8">
        <f t="shared" si="13"/>
        <v>4321.4072987940399</v>
      </c>
      <c r="AA312" s="8">
        <f t="shared" si="13"/>
        <v>4276.2826009120145</v>
      </c>
      <c r="AB312" s="8">
        <f t="shared" si="13"/>
        <v>4211.7402387181028</v>
      </c>
      <c r="AC312" s="8">
        <f t="shared" si="13"/>
        <v>4127.7802122123048</v>
      </c>
      <c r="AD312" s="8">
        <f t="shared" si="13"/>
        <v>4024.4025213946206</v>
      </c>
      <c r="AE312" s="8">
        <f t="shared" si="13"/>
        <v>3901.6071662650638</v>
      </c>
    </row>
    <row r="313" spans="2:31" hidden="1" outlineLevel="1" x14ac:dyDescent="0.2">
      <c r="B313" s="328"/>
      <c r="C313" s="346"/>
      <c r="D313" s="478"/>
      <c r="E313" s="478"/>
      <c r="F313" s="478"/>
      <c r="G313" s="478"/>
      <c r="H313" s="478"/>
      <c r="I313" s="478"/>
      <c r="J313" s="478"/>
      <c r="K313" s="478"/>
      <c r="L313" s="478"/>
      <c r="M313" s="478"/>
      <c r="N313" s="478"/>
      <c r="O313" s="478"/>
      <c r="P313" s="478"/>
      <c r="Q313" s="478"/>
      <c r="R313" s="478"/>
      <c r="S313" s="478"/>
      <c r="T313" s="478"/>
      <c r="U313" s="478"/>
      <c r="V313" s="478"/>
      <c r="W313" s="478"/>
      <c r="X313" s="478"/>
      <c r="Y313" s="478"/>
      <c r="Z313" s="478"/>
      <c r="AA313" s="478"/>
      <c r="AB313" s="478"/>
      <c r="AC313" s="478"/>
      <c r="AD313" s="478"/>
      <c r="AE313" s="346"/>
    </row>
    <row r="314" spans="2:31" hidden="1" outlineLevel="1" x14ac:dyDescent="0.2">
      <c r="B314" s="55" t="s">
        <v>2577</v>
      </c>
      <c r="C314" s="346">
        <f>AE312</f>
        <v>3901.6071662650638</v>
      </c>
      <c r="D314" s="55" t="s">
        <v>71</v>
      </c>
      <c r="E314" s="478"/>
      <c r="F314" s="478"/>
      <c r="G314" s="478"/>
      <c r="H314" s="478"/>
      <c r="I314" s="478"/>
      <c r="J314" s="478"/>
      <c r="K314" s="478"/>
      <c r="L314" s="478"/>
      <c r="M314" s="478"/>
      <c r="N314" s="478"/>
      <c r="O314" s="478"/>
      <c r="P314" s="478"/>
      <c r="Q314" s="478"/>
      <c r="R314" s="478"/>
      <c r="S314" s="478"/>
      <c r="T314" s="478"/>
      <c r="U314" s="478"/>
      <c r="V314" s="478"/>
      <c r="W314" s="478"/>
      <c r="X314" s="478"/>
      <c r="Y314" s="478"/>
      <c r="Z314" s="478"/>
      <c r="AA314" s="478"/>
      <c r="AB314" s="478"/>
      <c r="AC314" s="478"/>
      <c r="AD314" s="478"/>
      <c r="AE314" s="346"/>
    </row>
    <row r="315" spans="2:31" hidden="1" outlineLevel="1" x14ac:dyDescent="0.2">
      <c r="B315" s="11" t="s">
        <v>2572</v>
      </c>
    </row>
    <row r="316" spans="2:31" hidden="1" outlineLevel="1" x14ac:dyDescent="0.2">
      <c r="C316"/>
      <c r="D316"/>
      <c r="E316"/>
      <c r="F316"/>
      <c r="G316"/>
      <c r="H316"/>
      <c r="I316"/>
      <c r="J316"/>
      <c r="K316"/>
      <c r="L316"/>
      <c r="M316"/>
      <c r="N316"/>
      <c r="O316"/>
      <c r="P316"/>
      <c r="Q316"/>
      <c r="R316"/>
      <c r="S316"/>
      <c r="T316"/>
      <c r="U316"/>
      <c r="V316"/>
      <c r="W316"/>
      <c r="X316"/>
      <c r="Y316"/>
      <c r="Z316"/>
      <c r="AA316"/>
      <c r="AB316"/>
      <c r="AC316"/>
      <c r="AD316"/>
      <c r="AE316"/>
    </row>
    <row r="317" spans="2:31" hidden="1" outlineLevel="1" x14ac:dyDescent="0.2">
      <c r="B317"/>
      <c r="C317"/>
      <c r="D317"/>
      <c r="E317"/>
      <c r="F317"/>
      <c r="G317"/>
      <c r="H317"/>
      <c r="I317"/>
      <c r="J317"/>
      <c r="K317"/>
      <c r="L317"/>
      <c r="M317"/>
      <c r="N317"/>
      <c r="O317"/>
      <c r="P317"/>
      <c r="Q317"/>
      <c r="R317"/>
      <c r="S317"/>
      <c r="T317"/>
      <c r="U317"/>
      <c r="V317"/>
      <c r="W317"/>
      <c r="X317"/>
      <c r="Y317"/>
      <c r="Z317"/>
      <c r="AA317"/>
      <c r="AB317"/>
      <c r="AC317"/>
      <c r="AD317"/>
      <c r="AE317"/>
    </row>
    <row r="318" spans="2:31" hidden="1" outlineLevel="1" x14ac:dyDescent="0.2">
      <c r="B318" s="328" t="s">
        <v>2582</v>
      </c>
      <c r="E318" s="346"/>
    </row>
    <row r="319" spans="2:31" hidden="1" outlineLevel="1" x14ac:dyDescent="0.2">
      <c r="B319" s="328"/>
      <c r="E319" s="346"/>
    </row>
    <row r="320" spans="2:31" hidden="1" outlineLevel="1" x14ac:dyDescent="0.2">
      <c r="B320" s="55" t="s">
        <v>2579</v>
      </c>
      <c r="D320" s="346">
        <f>(C325-AE325)/(2050-2022)</f>
        <v>10.737497068098188</v>
      </c>
      <c r="E320" s="55" t="s">
        <v>2569</v>
      </c>
    </row>
    <row r="321" spans="2:31" hidden="1" outlineLevel="1" x14ac:dyDescent="0.2">
      <c r="B321" s="328"/>
      <c r="E321" s="346"/>
    </row>
    <row r="322" spans="2:31" hidden="1" outlineLevel="1" x14ac:dyDescent="0.2">
      <c r="B322" s="7" t="s">
        <v>2567</v>
      </c>
      <c r="C322" s="81">
        <v>2022</v>
      </c>
      <c r="D322" s="81">
        <v>2023</v>
      </c>
      <c r="E322" s="81">
        <v>2024</v>
      </c>
      <c r="F322" s="81">
        <v>2025</v>
      </c>
      <c r="G322" s="81">
        <v>2026</v>
      </c>
      <c r="H322" s="81">
        <v>2027</v>
      </c>
      <c r="I322" s="81">
        <v>2028</v>
      </c>
      <c r="J322" s="81">
        <v>2029</v>
      </c>
      <c r="K322" s="81">
        <v>2030</v>
      </c>
      <c r="L322" s="81">
        <v>2031</v>
      </c>
      <c r="M322" s="81">
        <v>2032</v>
      </c>
      <c r="N322" s="81">
        <v>2033</v>
      </c>
      <c r="O322" s="81">
        <v>2034</v>
      </c>
      <c r="P322" s="81">
        <v>2035</v>
      </c>
      <c r="Q322" s="81">
        <v>2036</v>
      </c>
      <c r="R322" s="81">
        <v>2037</v>
      </c>
      <c r="S322" s="81">
        <v>2038</v>
      </c>
      <c r="T322" s="81">
        <v>2039</v>
      </c>
      <c r="U322" s="81">
        <v>2040</v>
      </c>
      <c r="V322" s="81">
        <v>2041</v>
      </c>
      <c r="W322" s="81">
        <v>2042</v>
      </c>
      <c r="X322" s="81">
        <v>2043</v>
      </c>
      <c r="Y322" s="81">
        <v>2044</v>
      </c>
      <c r="Z322" s="81">
        <v>2045</v>
      </c>
      <c r="AA322" s="81">
        <v>2046</v>
      </c>
      <c r="AB322" s="81">
        <v>2047</v>
      </c>
      <c r="AC322" s="81">
        <v>2048</v>
      </c>
      <c r="AD322" s="81">
        <v>2049</v>
      </c>
      <c r="AE322" s="81">
        <v>2050</v>
      </c>
    </row>
    <row r="323" spans="2:31" hidden="1" outlineLevel="1" x14ac:dyDescent="0.2">
      <c r="B323" s="81" t="s">
        <v>2570</v>
      </c>
      <c r="C323" s="314">
        <f>$D$53</f>
        <v>872702.77777777787</v>
      </c>
      <c r="D323" s="314">
        <f t="shared" ref="D323:AE323" si="14">$D$53</f>
        <v>872702.77777777787</v>
      </c>
      <c r="E323" s="314">
        <f t="shared" si="14"/>
        <v>872702.77777777787</v>
      </c>
      <c r="F323" s="314">
        <f t="shared" si="14"/>
        <v>872702.77777777787</v>
      </c>
      <c r="G323" s="314">
        <f t="shared" si="14"/>
        <v>872702.77777777787</v>
      </c>
      <c r="H323" s="314">
        <f t="shared" si="14"/>
        <v>872702.77777777787</v>
      </c>
      <c r="I323" s="314">
        <f t="shared" si="14"/>
        <v>872702.77777777787</v>
      </c>
      <c r="J323" s="314">
        <f t="shared" si="14"/>
        <v>872702.77777777787</v>
      </c>
      <c r="K323" s="314">
        <f t="shared" si="14"/>
        <v>872702.77777777787</v>
      </c>
      <c r="L323" s="314">
        <f t="shared" si="14"/>
        <v>872702.77777777787</v>
      </c>
      <c r="M323" s="314">
        <f t="shared" si="14"/>
        <v>872702.77777777787</v>
      </c>
      <c r="N323" s="314">
        <f t="shared" si="14"/>
        <v>872702.77777777787</v>
      </c>
      <c r="O323" s="314">
        <f t="shared" si="14"/>
        <v>872702.77777777787</v>
      </c>
      <c r="P323" s="314">
        <f t="shared" si="14"/>
        <v>872702.77777777787</v>
      </c>
      <c r="Q323" s="314">
        <f t="shared" si="14"/>
        <v>872702.77777777787</v>
      </c>
      <c r="R323" s="314">
        <f t="shared" si="14"/>
        <v>872702.77777777787</v>
      </c>
      <c r="S323" s="314">
        <f t="shared" si="14"/>
        <v>872702.77777777787</v>
      </c>
      <c r="T323" s="314">
        <f t="shared" si="14"/>
        <v>872702.77777777787</v>
      </c>
      <c r="U323" s="314">
        <f t="shared" si="14"/>
        <v>872702.77777777787</v>
      </c>
      <c r="V323" s="314">
        <f t="shared" si="14"/>
        <v>872702.77777777787</v>
      </c>
      <c r="W323" s="314">
        <f t="shared" si="14"/>
        <v>872702.77777777787</v>
      </c>
      <c r="X323" s="314">
        <f t="shared" si="14"/>
        <v>872702.77777777787</v>
      </c>
      <c r="Y323" s="314">
        <f t="shared" si="14"/>
        <v>872702.77777777787</v>
      </c>
      <c r="Z323" s="314">
        <f t="shared" si="14"/>
        <v>872702.77777777787</v>
      </c>
      <c r="AA323" s="314">
        <f t="shared" si="14"/>
        <v>872702.77777777787</v>
      </c>
      <c r="AB323" s="314">
        <f t="shared" si="14"/>
        <v>872702.77777777787</v>
      </c>
      <c r="AC323" s="314">
        <f t="shared" si="14"/>
        <v>872702.77777777787</v>
      </c>
      <c r="AD323" s="314">
        <f t="shared" si="14"/>
        <v>872702.77777777787</v>
      </c>
      <c r="AE323" s="314">
        <f t="shared" si="14"/>
        <v>872702.77777777787</v>
      </c>
    </row>
    <row r="324" spans="2:31" hidden="1" outlineLevel="1" x14ac:dyDescent="0.2">
      <c r="B324" s="81" t="s">
        <v>1613</v>
      </c>
      <c r="C324" s="81">
        <v>50</v>
      </c>
      <c r="D324" s="81">
        <v>50</v>
      </c>
      <c r="E324" s="81">
        <v>50</v>
      </c>
      <c r="F324" s="81">
        <v>50</v>
      </c>
      <c r="G324" s="81">
        <v>50</v>
      </c>
      <c r="H324" s="81">
        <v>50</v>
      </c>
      <c r="I324" s="81">
        <v>50</v>
      </c>
      <c r="J324" s="81">
        <v>50</v>
      </c>
      <c r="K324" s="81">
        <v>50</v>
      </c>
      <c r="L324" s="81">
        <v>50</v>
      </c>
      <c r="M324" s="81">
        <v>50</v>
      </c>
      <c r="N324" s="81">
        <v>50</v>
      </c>
      <c r="O324" s="81">
        <v>50</v>
      </c>
      <c r="P324" s="81">
        <v>50</v>
      </c>
      <c r="Q324" s="81">
        <v>50</v>
      </c>
      <c r="R324" s="81">
        <v>50</v>
      </c>
      <c r="S324" s="81">
        <v>50</v>
      </c>
      <c r="T324" s="81">
        <v>50</v>
      </c>
      <c r="U324" s="81">
        <v>50</v>
      </c>
      <c r="V324" s="81">
        <v>50</v>
      </c>
      <c r="W324" s="81">
        <v>50</v>
      </c>
      <c r="X324" s="81">
        <v>50</v>
      </c>
      <c r="Y324" s="81">
        <v>50</v>
      </c>
      <c r="Z324" s="81">
        <v>50</v>
      </c>
      <c r="AA324" s="81">
        <v>50</v>
      </c>
      <c r="AB324" s="81">
        <v>50</v>
      </c>
      <c r="AC324" s="81">
        <v>50</v>
      </c>
      <c r="AD324" s="81">
        <v>50</v>
      </c>
      <c r="AE324" s="81">
        <v>50</v>
      </c>
    </row>
    <row r="325" spans="2:31" hidden="1" outlineLevel="1" x14ac:dyDescent="0.2">
      <c r="B325" s="81" t="s">
        <v>2581</v>
      </c>
      <c r="C325" s="314">
        <f>'Fiche levier - 10.1'!C99</f>
        <v>515.85196440842242</v>
      </c>
      <c r="D325" s="314">
        <f t="shared" ref="D325:AD325" si="15">C325-$D$320</f>
        <v>505.11446734032421</v>
      </c>
      <c r="E325" s="314">
        <f t="shared" si="15"/>
        <v>494.376970272226</v>
      </c>
      <c r="F325" s="314">
        <f t="shared" si="15"/>
        <v>483.6394732041278</v>
      </c>
      <c r="G325" s="314">
        <f t="shared" si="15"/>
        <v>472.90197613602959</v>
      </c>
      <c r="H325" s="314">
        <f t="shared" si="15"/>
        <v>462.16447906793138</v>
      </c>
      <c r="I325" s="314">
        <f t="shared" si="15"/>
        <v>451.42698199983317</v>
      </c>
      <c r="J325" s="314">
        <f t="shared" si="15"/>
        <v>440.68948493173497</v>
      </c>
      <c r="K325" s="314">
        <f t="shared" si="15"/>
        <v>429.95198786363676</v>
      </c>
      <c r="L325" s="314">
        <f t="shared" si="15"/>
        <v>419.21449079553855</v>
      </c>
      <c r="M325" s="314">
        <f t="shared" si="15"/>
        <v>408.47699372744034</v>
      </c>
      <c r="N325" s="314">
        <f t="shared" si="15"/>
        <v>397.73949665934214</v>
      </c>
      <c r="O325" s="314">
        <f t="shared" si="15"/>
        <v>387.00199959124393</v>
      </c>
      <c r="P325" s="314">
        <f t="shared" si="15"/>
        <v>376.26450252314572</v>
      </c>
      <c r="Q325" s="314">
        <f t="shared" si="15"/>
        <v>365.52700545504752</v>
      </c>
      <c r="R325" s="314">
        <f t="shared" si="15"/>
        <v>354.78950838694931</v>
      </c>
      <c r="S325" s="314">
        <f t="shared" si="15"/>
        <v>344.0520113188511</v>
      </c>
      <c r="T325" s="314">
        <f t="shared" si="15"/>
        <v>333.31451425075289</v>
      </c>
      <c r="U325" s="314">
        <f t="shared" si="15"/>
        <v>322.57701718265469</v>
      </c>
      <c r="V325" s="314">
        <f t="shared" si="15"/>
        <v>311.83952011455648</v>
      </c>
      <c r="W325" s="314">
        <f t="shared" si="15"/>
        <v>301.10202304645827</v>
      </c>
      <c r="X325" s="314">
        <f t="shared" si="15"/>
        <v>290.36452597836006</v>
      </c>
      <c r="Y325" s="314">
        <f t="shared" si="15"/>
        <v>279.62702891026186</v>
      </c>
      <c r="Z325" s="314">
        <f t="shared" si="15"/>
        <v>268.88953184216365</v>
      </c>
      <c r="AA325" s="314">
        <f t="shared" si="15"/>
        <v>258.15203477406544</v>
      </c>
      <c r="AB325" s="314">
        <f t="shared" si="15"/>
        <v>247.41453770596726</v>
      </c>
      <c r="AC325" s="314">
        <f t="shared" si="15"/>
        <v>236.67704063786908</v>
      </c>
      <c r="AD325" s="314">
        <f t="shared" si="15"/>
        <v>225.9395435697709</v>
      </c>
      <c r="AE325" s="314">
        <f>'Fiche levier - 10.1'!D99</f>
        <v>215.20204650167315</v>
      </c>
    </row>
    <row r="326" spans="2:31" hidden="1" outlineLevel="1" x14ac:dyDescent="0.2">
      <c r="B326" s="7" t="s">
        <v>2576</v>
      </c>
      <c r="C326" s="8">
        <f>C323*C325/C324/1000</f>
        <v>9003.7088452270746</v>
      </c>
      <c r="D326" s="8">
        <f>D323*D325/D324/1000</f>
        <v>8816.2959748728717</v>
      </c>
      <c r="E326" s="8">
        <f t="shared" ref="E326" si="16">E323*E325/E324/1000</f>
        <v>8628.8831045186707</v>
      </c>
      <c r="F326" s="8">
        <f t="shared" ref="F326" si="17">F323*F325/F324/1000</f>
        <v>8441.4702341644715</v>
      </c>
      <c r="G326" s="8">
        <f t="shared" ref="G326" si="18">G323*G325/G324/1000</f>
        <v>8254.0573638102687</v>
      </c>
      <c r="H326" s="8">
        <f t="shared" ref="H326" si="19">H323*H325/H324/1000</f>
        <v>8066.6444934560686</v>
      </c>
      <c r="I326" s="8">
        <f t="shared" ref="I326" si="20">I323*I325/I324/1000</f>
        <v>7879.2316231018658</v>
      </c>
      <c r="J326" s="8">
        <f t="shared" ref="J326" si="21">J323*J325/J324/1000</f>
        <v>7691.8187527476657</v>
      </c>
      <c r="K326" s="8">
        <f t="shared" ref="K326" si="22">K323*K325/K324/1000</f>
        <v>7504.4058823934656</v>
      </c>
      <c r="L326" s="8">
        <f t="shared" ref="L326" si="23">L323*L325/L324/1000</f>
        <v>7316.9930120392628</v>
      </c>
      <c r="M326" s="8">
        <f t="shared" ref="M326" si="24">M323*M325/M324/1000</f>
        <v>7129.5801416850627</v>
      </c>
      <c r="N326" s="8">
        <f t="shared" ref="N326" si="25">N323*N325/N324/1000</f>
        <v>6942.1672713308626</v>
      </c>
      <c r="O326" s="8">
        <f t="shared" ref="O326" si="26">O323*O325/O324/1000</f>
        <v>6754.7544009766607</v>
      </c>
      <c r="P326" s="8">
        <f t="shared" ref="P326" si="27">P323*P325/P324/1000</f>
        <v>6567.3415306224597</v>
      </c>
      <c r="Q326" s="8">
        <f t="shared" ref="Q326" si="28">Q323*Q325/Q324/1000</f>
        <v>6379.9286602682596</v>
      </c>
      <c r="R326" s="8">
        <f t="shared" ref="R326" si="29">R323*R325/R324/1000</f>
        <v>6192.5157899140577</v>
      </c>
      <c r="S326" s="8">
        <f t="shared" ref="S326" si="30">S323*S325/S324/1000</f>
        <v>6005.1029195598567</v>
      </c>
      <c r="T326" s="8">
        <f t="shared" ref="T326" si="31">T323*T325/T324/1000</f>
        <v>5817.6900492056566</v>
      </c>
      <c r="U326" s="8">
        <f t="shared" ref="U326" si="32">U323*U325/U324/1000</f>
        <v>5630.2771788514547</v>
      </c>
      <c r="V326" s="8">
        <f t="shared" ref="V326" si="33">V323*V325/V324/1000</f>
        <v>5442.8643084972537</v>
      </c>
      <c r="W326" s="8">
        <f t="shared" ref="W326" si="34">W323*W325/W324/1000</f>
        <v>5255.4514381430517</v>
      </c>
      <c r="X326" s="8">
        <f t="shared" ref="X326" si="35">X323*X325/X324/1000</f>
        <v>5068.0385677888517</v>
      </c>
      <c r="Y326" s="8">
        <f t="shared" ref="Y326" si="36">Y323*Y325/Y324/1000</f>
        <v>4880.6256974346506</v>
      </c>
      <c r="Z326" s="8">
        <f t="shared" ref="Z326" si="37">Z323*Z325/Z324/1000</f>
        <v>4693.2128270804487</v>
      </c>
      <c r="AA326" s="8">
        <f t="shared" ref="AA326" si="38">AA323*AA325/AA324/1000</f>
        <v>4505.7999567262486</v>
      </c>
      <c r="AB326" s="8">
        <f t="shared" ref="AB326" si="39">AB323*AB325/AB324/1000</f>
        <v>4318.3870863720476</v>
      </c>
      <c r="AC326" s="8">
        <f t="shared" ref="AC326" si="40">AC323*AC325/AC324/1000</f>
        <v>4130.9742160178466</v>
      </c>
      <c r="AD326" s="8">
        <f t="shared" ref="AD326" si="41">AD323*AD325/AD324/1000</f>
        <v>3943.561345663647</v>
      </c>
      <c r="AE326" s="8">
        <f t="shared" ref="AE326" si="42">AE323*AE325/AE324/1000</f>
        <v>3756.1484753094533</v>
      </c>
    </row>
    <row r="327" spans="2:31" hidden="1" outlineLevel="1" x14ac:dyDescent="0.2">
      <c r="AE327" s="346"/>
    </row>
    <row r="328" spans="2:31" hidden="1" outlineLevel="1" x14ac:dyDescent="0.2"/>
    <row r="329" spans="2:31" hidden="1" outlineLevel="1" x14ac:dyDescent="0.2"/>
    <row r="330" spans="2:31" ht="18" hidden="1" outlineLevel="1" x14ac:dyDescent="0.2">
      <c r="B330" s="1634" t="s">
        <v>2722</v>
      </c>
    </row>
    <row r="331" spans="2:31" hidden="1" outlineLevel="1" x14ac:dyDescent="0.2"/>
    <row r="332" spans="2:31" hidden="1" outlineLevel="1" x14ac:dyDescent="0.2">
      <c r="B332" s="328" t="s">
        <v>2647</v>
      </c>
    </row>
    <row r="333" spans="2:31" hidden="1" outlineLevel="1" x14ac:dyDescent="0.2"/>
    <row r="334" spans="2:31" hidden="1" outlineLevel="1" x14ac:dyDescent="0.2">
      <c r="B334" s="81" t="s">
        <v>2646</v>
      </c>
      <c r="C334" s="314">
        <f>C5</f>
        <v>34081.528383939003</v>
      </c>
      <c r="D334" s="2306">
        <f>C334/$C$337</f>
        <v>0.91680197025589194</v>
      </c>
    </row>
    <row r="335" spans="2:31" hidden="1" outlineLevel="1" x14ac:dyDescent="0.2">
      <c r="B335" s="81" t="s">
        <v>2648</v>
      </c>
      <c r="C335" s="81">
        <f>'10.2 SI'!C5</f>
        <v>2566.2198903024237</v>
      </c>
      <c r="D335" s="2306">
        <f t="shared" ref="D335:D336" si="43">C335/$C$337</f>
        <v>6.9031981929772945E-2</v>
      </c>
    </row>
    <row r="336" spans="2:31" hidden="1" outlineLevel="1" x14ac:dyDescent="0.2">
      <c r="B336" s="81" t="s">
        <v>2649</v>
      </c>
      <c r="C336" s="81">
        <f>'10.3 Autres'!C5</f>
        <v>526.6137904761905</v>
      </c>
      <c r="D336" s="2306">
        <f t="shared" si="43"/>
        <v>1.4166047814334986E-2</v>
      </c>
    </row>
    <row r="337" spans="2:5" hidden="1" outlineLevel="1" x14ac:dyDescent="0.2">
      <c r="B337" s="81"/>
      <c r="C337" s="314">
        <f>SUM(C334:C336)</f>
        <v>37174.362064717621</v>
      </c>
      <c r="D337" s="81"/>
    </row>
    <row r="338" spans="2:5" hidden="1" outlineLevel="1" x14ac:dyDescent="0.2"/>
    <row r="339" spans="2:5" hidden="1" outlineLevel="1" x14ac:dyDescent="0.2"/>
    <row r="340" spans="2:5" hidden="1" outlineLevel="1" x14ac:dyDescent="0.2"/>
    <row r="341" spans="2:5" hidden="1" outlineLevel="1" x14ac:dyDescent="0.2"/>
    <row r="342" spans="2:5" hidden="1" outlineLevel="1" x14ac:dyDescent="0.2"/>
    <row r="343" spans="2:5" hidden="1" outlineLevel="1" x14ac:dyDescent="0.2"/>
    <row r="344" spans="2:5" hidden="1" outlineLevel="1" x14ac:dyDescent="0.2"/>
    <row r="345" spans="2:5" hidden="1" outlineLevel="1" x14ac:dyDescent="0.2"/>
    <row r="346" spans="2:5" hidden="1" outlineLevel="1" x14ac:dyDescent="0.2"/>
    <row r="347" spans="2:5" hidden="1" outlineLevel="1" x14ac:dyDescent="0.2"/>
    <row r="348" spans="2:5" hidden="1" outlineLevel="1" x14ac:dyDescent="0.2"/>
    <row r="349" spans="2:5" hidden="1" outlineLevel="1" x14ac:dyDescent="0.2">
      <c r="B349" s="328" t="s">
        <v>2721</v>
      </c>
    </row>
    <row r="350" spans="2:5" hidden="1" outlineLevel="1" x14ac:dyDescent="0.2">
      <c r="B350" s="7"/>
      <c r="C350" s="809" t="s">
        <v>2043</v>
      </c>
      <c r="D350" s="673" t="s">
        <v>508</v>
      </c>
      <c r="E350" s="673" t="s">
        <v>2076</v>
      </c>
    </row>
    <row r="351" spans="2:5" hidden="1" outlineLevel="1" x14ac:dyDescent="0.2">
      <c r="B351" s="81" t="str">
        <f>B151</f>
        <v>Production des matériaux (carbone gris)</v>
      </c>
      <c r="C351" s="809">
        <f>C139*D151</f>
        <v>0.22616100259875532</v>
      </c>
      <c r="D351" s="673">
        <f>C140*D151</f>
        <v>0.32730156368653252</v>
      </c>
      <c r="E351" s="673">
        <f>C141*D151</f>
        <v>0.26591106809198822</v>
      </c>
    </row>
    <row r="352" spans="2:5" hidden="1" outlineLevel="1" x14ac:dyDescent="0.2">
      <c r="B352" s="81" t="str">
        <f>B152</f>
        <v>Transport des matériaux</v>
      </c>
      <c r="C352" s="673">
        <f>D152</f>
        <v>0.17101238164603058</v>
      </c>
      <c r="D352" s="81"/>
      <c r="E352" s="81"/>
    </row>
    <row r="353" spans="2:5" ht="34" hidden="1" outlineLevel="1" x14ac:dyDescent="0.2">
      <c r="B353" s="76" t="s">
        <v>2720</v>
      </c>
      <c r="C353" s="673">
        <f>D153+G154</f>
        <v>8.4972080602087885E-3</v>
      </c>
      <c r="D353" s="81"/>
      <c r="E353" s="81"/>
    </row>
    <row r="354" spans="2:5" hidden="1" outlineLevel="1" x14ac:dyDescent="0.2"/>
    <row r="355" spans="2:5" hidden="1" outlineLevel="1" x14ac:dyDescent="0.2"/>
    <row r="356" spans="2:5" hidden="1" outlineLevel="1" x14ac:dyDescent="0.2"/>
    <row r="357" spans="2:5" hidden="1" outlineLevel="1" x14ac:dyDescent="0.2"/>
    <row r="358" spans="2:5" hidden="1" outlineLevel="1" x14ac:dyDescent="0.2"/>
    <row r="359" spans="2:5" hidden="1" outlineLevel="1" x14ac:dyDescent="0.2"/>
    <row r="360" spans="2:5" hidden="1" outlineLevel="1" x14ac:dyDescent="0.2"/>
    <row r="361" spans="2:5" hidden="1" outlineLevel="1" x14ac:dyDescent="0.2"/>
    <row r="362" spans="2:5" hidden="1" outlineLevel="1" x14ac:dyDescent="0.2"/>
    <row r="363" spans="2:5" hidden="1" outlineLevel="1" x14ac:dyDescent="0.2"/>
    <row r="364" spans="2:5" hidden="1" outlineLevel="1" x14ac:dyDescent="0.2"/>
    <row r="365" spans="2:5" hidden="1" outlineLevel="1" x14ac:dyDescent="0.2"/>
    <row r="366" spans="2:5" hidden="1" outlineLevel="1" x14ac:dyDescent="0.2"/>
    <row r="367" spans="2:5" hidden="1" outlineLevel="1" x14ac:dyDescent="0.2"/>
    <row r="368" spans="2:5" hidden="1" outlineLevel="1" x14ac:dyDescent="0.2"/>
    <row r="369" hidden="1" outlineLevel="1" x14ac:dyDescent="0.2"/>
    <row r="370" hidden="1" outlineLevel="1" x14ac:dyDescent="0.2"/>
    <row r="371" hidden="1" outlineLevel="1" x14ac:dyDescent="0.2"/>
    <row r="372" hidden="1" outlineLevel="1" x14ac:dyDescent="0.2"/>
    <row r="373" collapsed="1" x14ac:dyDescent="0.2"/>
  </sheetData>
  <mergeCells count="33">
    <mergeCell ref="B2:C2"/>
    <mergeCell ref="B4:D4"/>
    <mergeCell ref="B144:G144"/>
    <mergeCell ref="B165:C165"/>
    <mergeCell ref="C6:D6"/>
    <mergeCell ref="C7:D7"/>
    <mergeCell ref="C9:D9"/>
    <mergeCell ref="B182:E183"/>
    <mergeCell ref="B12:R12"/>
    <mergeCell ref="C13:R13"/>
    <mergeCell ref="C14:R14"/>
    <mergeCell ref="C15:R15"/>
    <mergeCell ref="C16:R16"/>
    <mergeCell ref="C17:R17"/>
    <mergeCell ref="C18:R18"/>
    <mergeCell ref="C19:R19"/>
    <mergeCell ref="B55:E55"/>
    <mergeCell ref="C209:H209"/>
    <mergeCell ref="C210:H210"/>
    <mergeCell ref="D199:E199"/>
    <mergeCell ref="B23:J24"/>
    <mergeCell ref="E31:G31"/>
    <mergeCell ref="E30:G30"/>
    <mergeCell ref="E29:G29"/>
    <mergeCell ref="E28:G28"/>
    <mergeCell ref="D204:E204"/>
    <mergeCell ref="D202:E202"/>
    <mergeCell ref="D201:E201"/>
    <mergeCell ref="D200:E200"/>
    <mergeCell ref="D203:E203"/>
    <mergeCell ref="B110:D110"/>
    <mergeCell ref="B163:D163"/>
    <mergeCell ref="B52:B54"/>
  </mergeCells>
  <conditionalFormatting sqref="C7">
    <cfRule type="containsText" dxfId="127" priority="12" operator="containsText" text="Pas ok">
      <formula>NOT(ISERROR(SEARCH("Pas ok",C7)))</formula>
    </cfRule>
    <cfRule type="containsText" dxfId="126" priority="13" operator="containsText" text="Calcul brouillon, ordre de grandeur">
      <formula>NOT(ISERROR(SEARCH("Calcul brouillon, ordre de grandeur",C7)))</formula>
    </cfRule>
    <cfRule type="containsText" dxfId="125" priority="14" operator="containsText" text="Bon ordre de grandeur">
      <formula>NOT(ISERROR(SEARCH("Bon ordre de grandeur",C7)))</formula>
    </cfRule>
    <cfRule type="containsText" dxfId="124" priority="15" operator="containsText" text="Calcul validé">
      <formula>NOT(ISERROR(SEARCH("Calcul validé",C7)))</formula>
    </cfRule>
    <cfRule type="containsText" dxfId="123" priority="17" operator="containsText" text="Pas ok">
      <formula>NOT(ISERROR(SEARCH("Pas ok",C7)))</formula>
    </cfRule>
    <cfRule type="containsText" dxfId="122" priority="18" operator="containsText" text="Calcul brouillon, ordre de grandeur">
      <formula>NOT(ISERROR(SEARCH("Calcul brouillon, ordre de grandeur",C7)))</formula>
    </cfRule>
    <cfRule type="containsText" dxfId="121" priority="19" operator="containsText" text="Bon ordre de grandeur">
      <formula>NOT(ISERROR(SEARCH("Bon ordre de grandeur",C7)))</formula>
    </cfRule>
    <cfRule type="containsText" dxfId="120" priority="20" operator="containsText" text="Calcul validé">
      <formula>NOT(ISERROR(SEARCH("Calcul validé",C7)))</formula>
    </cfRule>
  </conditionalFormatting>
  <conditionalFormatting sqref="C7:D7">
    <cfRule type="containsText" dxfId="119" priority="11" operator="containsText" text="Calcul brouillon, odg">
      <formula>NOT(ISERROR(SEARCH("Calcul brouillon, odg",C7)))</formula>
    </cfRule>
  </conditionalFormatting>
  <pageMargins left="0.7" right="0.7" top="0.75" bottom="0.75" header="0.3" footer="0.3"/>
  <pageSetup paperSize="9" orientation="portrait"/>
  <ignoredErrors>
    <ignoredError sqref="D54 F53" formula="1"/>
  </ignoredErrors>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26</vt:i4>
      </vt:variant>
    </vt:vector>
  </HeadingPairs>
  <TitlesOfParts>
    <vt:vector size="26" baseType="lpstr">
      <vt:lpstr>Récapitulatif</vt:lpstr>
      <vt:lpstr>1</vt:lpstr>
      <vt:lpstr>6</vt:lpstr>
      <vt:lpstr>7</vt:lpstr>
      <vt:lpstr>Fiche levier - 1 + 6 + 7</vt:lpstr>
      <vt:lpstr>9.1 Alimentaire</vt:lpstr>
      <vt:lpstr>Fiche levier - 9.1</vt:lpstr>
      <vt:lpstr>9.2 Divers</vt:lpstr>
      <vt:lpstr>10.1 Stade</vt:lpstr>
      <vt:lpstr>Fiche levier - 10.1</vt:lpstr>
      <vt:lpstr>10.2 SI</vt:lpstr>
      <vt:lpstr>10.3 Autres</vt:lpstr>
      <vt:lpstr>2</vt:lpstr>
      <vt:lpstr>13</vt:lpstr>
      <vt:lpstr>Fiche levier - 13</vt:lpstr>
      <vt:lpstr>16</vt:lpstr>
      <vt:lpstr>Fiche levier - 16</vt:lpstr>
      <vt:lpstr>22</vt:lpstr>
      <vt:lpstr>Fiche levier - 22</vt:lpstr>
      <vt:lpstr>11</vt:lpstr>
      <vt:lpstr>Fiche levier - 11</vt:lpstr>
      <vt:lpstr>23</vt:lpstr>
      <vt:lpstr>Fiche levier - 23</vt:lpstr>
      <vt:lpstr>ANNEXE A</vt:lpstr>
      <vt:lpstr>ANNEXE B</vt:lpstr>
      <vt:lpstr>ANNEXE 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Alan Lemoine</cp:lastModifiedBy>
  <cp:revision>4</cp:revision>
  <dcterms:created xsi:type="dcterms:W3CDTF">2023-05-25T08:16:40Z</dcterms:created>
  <dcterms:modified xsi:type="dcterms:W3CDTF">2025-02-14T14:45:31Z</dcterms:modified>
</cp:coreProperties>
</file>