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TSP_User\Nextcloud\Projets\Programme Numérique\4 - Projets\2024 - Mondes virtuels\9 - Livrables\2024_03_28 - Rapport final\Materials\"/>
    </mc:Choice>
  </mc:AlternateContent>
  <xr:revisionPtr revIDLastSave="0" documentId="13_ncr:1_{780290EB-0E78-41EF-8953-7E611C938012}" xr6:coauthVersionLast="47" xr6:coauthVersionMax="47" xr10:uidLastSave="{00000000-0000-0000-0000-000000000000}"/>
  <bookViews>
    <workbookView xWindow="-110" yWindow="-110" windowWidth="19420" windowHeight="10300" tabRatio="786" xr2:uid="{07BD8BB3-F8A7-4B2A-8F21-0A9A0F179D6B}"/>
  </bookViews>
  <sheets>
    <sheet name="Resume scenario" sheetId="14" r:id="rId1"/>
    <sheet name="Calcul" sheetId="20" r:id="rId2"/>
    <sheet name="1" sheetId="21" r:id="rId3"/>
    <sheet name="2" sheetId="19" r:id="rId4"/>
    <sheet name="3" sheetId="6" r:id="rId5"/>
    <sheet name="4" sheetId="8" r:id="rId6"/>
    <sheet name="5" sheetId="10" r:id="rId7"/>
    <sheet name="6" sheetId="22" r:id="rId8"/>
    <sheet name="7" sheetId="3" r:id="rId9"/>
    <sheet name="8" sheetId="11" r:id="rId10"/>
    <sheet name="References" sheetId="17" r:id="rId11"/>
  </sheets>
  <definedNames>
    <definedName name="_xlchart.v1.0" hidden="1">'2'!$H$35</definedName>
    <definedName name="_xlchart.v1.1" hidden="1">'2'!$H$36:$H$44</definedName>
    <definedName name="_xlchart.v1.10" hidden="1">'2'!$M$35</definedName>
    <definedName name="_xlchart.v1.11" hidden="1">'2'!$M$36:$M$44</definedName>
    <definedName name="_xlchart.v1.2" hidden="1">'2'!$I$35</definedName>
    <definedName name="_xlchart.v1.3" hidden="1">'2'!$I$36:$I$44</definedName>
    <definedName name="_xlchart.v1.4" hidden="1">'2'!$J$35</definedName>
    <definedName name="_xlchart.v1.5" hidden="1">'2'!$J$36:$J$44</definedName>
    <definedName name="_xlchart.v1.6" hidden="1">'2'!$K$35</definedName>
    <definedName name="_xlchart.v1.7" hidden="1">'2'!$K$36:$K$44</definedName>
    <definedName name="_xlchart.v1.8" hidden="1">'2'!$L$35</definedName>
    <definedName name="_xlchart.v1.9" hidden="1">'2'!$L$36:$L$44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0" l="1"/>
  <c r="B4" i="3"/>
  <c r="C10" i="20"/>
  <c r="B4" i="22"/>
  <c r="C13" i="22"/>
  <c r="C12" i="22"/>
  <c r="C12" i="10"/>
  <c r="C13" i="10" s="1"/>
  <c r="B4" i="10" s="1"/>
  <c r="J12" i="6"/>
  <c r="F13" i="6"/>
  <c r="G13" i="6" s="1"/>
  <c r="H13" i="6" s="1"/>
  <c r="I13" i="6" s="1"/>
  <c r="J13" i="6" s="1"/>
  <c r="B4" i="6" s="1"/>
  <c r="E13" i="6"/>
  <c r="D13" i="6"/>
  <c r="E12" i="6"/>
  <c r="F12" i="6"/>
  <c r="G12" i="6"/>
  <c r="H12" i="6"/>
  <c r="I12" i="6" s="1"/>
  <c r="D12" i="6"/>
  <c r="L12" i="6"/>
  <c r="C9" i="6"/>
  <c r="C5" i="20"/>
  <c r="C28" i="20" l="1"/>
  <c r="C29" i="20" s="1"/>
  <c r="C7" i="20"/>
  <c r="C27" i="20" s="1"/>
  <c r="G5" i="20"/>
  <c r="G46" i="19"/>
  <c r="J44" i="19"/>
  <c r="J43" i="19"/>
  <c r="J42" i="19"/>
  <c r="J41" i="19"/>
  <c r="H41" i="19"/>
  <c r="J40" i="19"/>
  <c r="H40" i="19"/>
  <c r="K39" i="19"/>
  <c r="J39" i="19"/>
  <c r="H39" i="19"/>
  <c r="L38" i="19"/>
  <c r="K38" i="19"/>
  <c r="J38" i="19"/>
  <c r="H38" i="19"/>
  <c r="M37" i="19"/>
  <c r="L37" i="19"/>
  <c r="K37" i="19"/>
  <c r="J37" i="19"/>
  <c r="H37" i="19"/>
  <c r="M36" i="19"/>
  <c r="L36" i="19"/>
  <c r="K36" i="19"/>
  <c r="J36" i="19"/>
  <c r="I36" i="19"/>
  <c r="H36" i="19"/>
  <c r="I5" i="14" l="1"/>
  <c r="C26" i="20"/>
  <c r="H5" i="14" s="1"/>
  <c r="E5" i="14"/>
  <c r="G17" i="20"/>
  <c r="G22" i="20" s="1"/>
  <c r="H22" i="20" s="1"/>
  <c r="I22" i="20" s="1"/>
  <c r="J22" i="20" s="1"/>
  <c r="F5" i="14"/>
  <c r="G5" i="14" l="1"/>
  <c r="G21" i="20"/>
  <c r="H21" i="20" s="1"/>
  <c r="I21" i="20" s="1"/>
  <c r="J21" i="20" s="1"/>
  <c r="G20" i="20"/>
  <c r="D5" i="14"/>
  <c r="H20" i="20" l="1"/>
  <c r="I20" i="20" s="1"/>
  <c r="J20" i="20" s="1"/>
  <c r="G23" i="20"/>
  <c r="H23" i="20" l="1"/>
  <c r="G28" i="20" s="1"/>
  <c r="G29" i="20" s="1"/>
  <c r="F6" i="14" s="1"/>
  <c r="J23" i="20"/>
  <c r="I23" i="20"/>
  <c r="I6" i="14" l="1"/>
  <c r="G26" i="20"/>
  <c r="H6" i="14" s="1"/>
  <c r="G27" i="20"/>
  <c r="E6" i="14" s="1"/>
  <c r="G6" i="14" l="1"/>
  <c r="D6" i="14"/>
</calcChain>
</file>

<file path=xl/sharedStrings.xml><?xml version="1.0" encoding="utf-8"?>
<sst xmlns="http://schemas.openxmlformats.org/spreadsheetml/2006/main" count="178" uniqueCount="142">
  <si>
    <t>CAGR 2023-2030</t>
  </si>
  <si>
    <r>
      <rPr>
        <u/>
        <sz val="11"/>
        <color theme="1"/>
        <rFont val="Calibri"/>
        <family val="2"/>
        <scheme val="minor"/>
      </rPr>
      <t xml:space="preserve">Sources et hypothèses </t>
    </r>
    <r>
      <rPr>
        <sz val="11"/>
        <color theme="1"/>
        <rFont val="Calibri"/>
        <family val="2"/>
        <scheme val="minor"/>
      </rPr>
      <t xml:space="preserve">: </t>
    </r>
  </si>
  <si>
    <t>Mobile</t>
  </si>
  <si>
    <t xml:space="preserve">Terminaux </t>
  </si>
  <si>
    <t>Total</t>
  </si>
  <si>
    <t>Cepir, 2023</t>
  </si>
  <si>
    <r>
      <t xml:space="preserve">CEPIR. (2023). </t>
    </r>
    <r>
      <rPr>
        <i/>
        <sz val="10"/>
        <color rgb="FF00005A"/>
        <rFont val="Arial"/>
        <family val="2"/>
      </rPr>
      <t>Cas d’Etude Pour un Immersif Responsable, webinaire de restitution intermédiaire</t>
    </r>
    <r>
      <rPr>
        <sz val="10"/>
        <color rgb="FF00005A"/>
        <rFont val="Arial"/>
        <family val="2"/>
      </rPr>
      <t>. https://www.cepir.info/webinaire-juin-2023</t>
    </r>
  </si>
  <si>
    <t>Ericsson, 2023</t>
  </si>
  <si>
    <r>
      <t xml:space="preserve">Ericsson. (2023). </t>
    </r>
    <r>
      <rPr>
        <i/>
        <sz val="10"/>
        <color rgb="FF00005A"/>
        <rFont val="Arial"/>
        <family val="2"/>
      </rPr>
      <t>AR uptake enabled by mobile networks, Ericsson Mobility Report</t>
    </r>
    <r>
      <rPr>
        <sz val="10"/>
        <color rgb="FF00005A"/>
        <rFont val="Arial"/>
        <family val="2"/>
      </rPr>
      <t>. https://www.ericsson.com/en/reports-and-papers/mobility-report/reports/june-2023</t>
    </r>
  </si>
  <si>
    <t>Gartner, 2022</t>
  </si>
  <si>
    <r>
      <t xml:space="preserve">Gartner. (2022). </t>
    </r>
    <r>
      <rPr>
        <i/>
        <sz val="10"/>
        <color rgb="FF00005A"/>
        <rFont val="Arial"/>
        <family val="2"/>
      </rPr>
      <t>Qu’est-ce qu’un metaverse ? Devez-vous investir dans ce domaine ?</t>
    </r>
    <r>
      <rPr>
        <sz val="10"/>
        <color rgb="FF00005A"/>
        <rFont val="Arial"/>
        <family val="2"/>
      </rPr>
      <t xml:space="preserve"> https://www.gartner.fr/fr/articles/qu-est-ce-qu-un-metavers</t>
    </r>
  </si>
  <si>
    <t>Intel, 2021</t>
  </si>
  <si>
    <r>
      <t xml:space="preserve">Intel. (2021). </t>
    </r>
    <r>
      <rPr>
        <i/>
        <sz val="10"/>
        <color rgb="FF00005A"/>
        <rFont val="Arial"/>
        <family val="2"/>
      </rPr>
      <t>Powering the metaverse. Intel is working on the plumbing for a persistent and immersive internet</t>
    </r>
    <r>
      <rPr>
        <sz val="10"/>
        <color rgb="FF00005A"/>
        <rFont val="Arial"/>
        <family val="2"/>
      </rPr>
      <t>. https://www.intel.com/content/www/us/en/newsroom/opinion/powering-metaverse.html</t>
    </r>
  </si>
  <si>
    <t>The Shift Project, 2021</t>
  </si>
  <si>
    <r>
      <t xml:space="preserve">The Shift Project. (2021). </t>
    </r>
    <r>
      <rPr>
        <i/>
        <sz val="10"/>
        <color rgb="FF00005A"/>
        <rFont val="Arial"/>
        <family val="2"/>
      </rPr>
      <t>Impact environnemental du numérique : Tendances à 5 ans et gouvernance de la 5G</t>
    </r>
    <r>
      <rPr>
        <sz val="10"/>
        <color rgb="FF00005A"/>
        <rFont val="Arial"/>
        <family val="2"/>
      </rPr>
      <t>. The Shift Project. https://theshiftproject.org/article/impact-environnemental-du-numerique-5g-nouvelle-etude-du-shift/</t>
    </r>
  </si>
  <si>
    <t>Andrae, 2017</t>
  </si>
  <si>
    <r>
      <t xml:space="preserve">Andrae A. (2017). </t>
    </r>
    <r>
      <rPr>
        <i/>
        <sz val="10"/>
        <color rgb="FF00005A"/>
        <rFont val="Arial"/>
        <family val="2"/>
      </rPr>
      <t>Life Cycle Assessment of a Virtual Reality Device.</t>
    </r>
    <r>
      <rPr>
        <sz val="10"/>
        <color rgb="FF00005A"/>
        <rFont val="Arial"/>
        <family val="2"/>
      </rPr>
      <t xml:space="preserve"> https://www.mdpi.com/2078-1547/8/2/15</t>
    </r>
  </si>
  <si>
    <t>Cisco, 2020</t>
  </si>
  <si>
    <r>
      <t xml:space="preserve">Cisco. (2020). </t>
    </r>
    <r>
      <rPr>
        <i/>
        <sz val="10"/>
        <color rgb="FF00005A"/>
        <rFont val="Arial"/>
        <family val="2"/>
      </rPr>
      <t>Cisco Annual Internet Report 2018-2023</t>
    </r>
    <r>
      <rPr>
        <sz val="10"/>
        <color rgb="FF00005A"/>
        <rFont val="Arial"/>
        <family val="2"/>
      </rPr>
      <t>. https://www.cisco.com/c/en/us/solutions/collateral/executive-perspectives/annual-internet-report/white-paper-c11-741490.html</t>
    </r>
  </si>
  <si>
    <t>Microsoft, 2015</t>
  </si>
  <si>
    <r>
      <t xml:space="preserve">Microsoft. (2015, avril 29). </t>
    </r>
    <r>
      <rPr>
        <i/>
        <sz val="10"/>
        <color rgb="FF00005A"/>
        <rFont val="Arial"/>
        <family val="2"/>
      </rPr>
      <t>Add-ins for Outlook.com—Build an experience that reaches 400 million users</t>
    </r>
    <r>
      <rPr>
        <sz val="10"/>
        <color rgb="FF00005A"/>
        <rFont val="Arial"/>
        <family val="2"/>
      </rPr>
      <t>. https://www.microsoft.com/en-us/microsoft-365/blog/2015/04/29/add-ins-for-outlook-com-build-an-experience-that-reaches-400-million-users</t>
    </r>
  </si>
  <si>
    <t>Greenspector, 2021</t>
  </si>
  <si>
    <r>
      <t>Greenspector. (2021).</t>
    </r>
    <r>
      <rPr>
        <i/>
        <sz val="10"/>
        <color rgb="FF00005A"/>
        <rFont val="Arial"/>
        <family val="2"/>
      </rPr>
      <t xml:space="preserve"> Comment Greenspector évalue l’empreinte environnementale de l’utilisation d’un service numérique ?</t>
    </r>
    <r>
      <rPr>
        <sz val="10"/>
        <color rgb="FF00005A"/>
        <rFont val="Arial"/>
        <family val="2"/>
      </rPr>
      <t xml:space="preserve">  https://greenspector.com/fr/methodologie-calcul-empreinte-environnementale/</t>
    </r>
  </si>
  <si>
    <t>HTC Vive</t>
  </si>
  <si>
    <t>HP Reverb</t>
  </si>
  <si>
    <t>Meta / Oculus</t>
  </si>
  <si>
    <t>Pico</t>
  </si>
  <si>
    <t>Samsung</t>
  </si>
  <si>
    <t>Varjo</t>
  </si>
  <si>
    <t>Wikipedia, 2024</t>
  </si>
  <si>
    <t>Wikipédia. (2024). List of virtual reality headsets. https://en.wikipedia.org/w/index.php?title=List_of_virtual_reality_headsets&amp;oldid=1208303712</t>
  </si>
  <si>
    <r>
      <t xml:space="preserve">ADEME. (2022). </t>
    </r>
    <r>
      <rPr>
        <i/>
        <sz val="11"/>
        <color theme="1"/>
        <rFont val="Calibri"/>
        <family val="2"/>
        <scheme val="minor"/>
      </rPr>
      <t>Evaluation de l’impact environnemental de la digitalisation des services culturels</t>
    </r>
    <r>
      <rPr>
        <sz val="11"/>
        <color theme="1"/>
        <rFont val="Calibri"/>
        <family val="2"/>
        <scheme val="minor"/>
      </rPr>
      <t>. https://librairie.ademe.fr/dechets-economie-circulaire/5942-evaluation-de-l-impact-environnemental-de-la-digitalisation-des-services-culturels.html</t>
    </r>
  </si>
  <si>
    <t>ADEME, 2022</t>
  </si>
  <si>
    <t>Statista, 2023b</t>
  </si>
  <si>
    <t>Statista Research Department. (2023b, juillet 21). Number of smartphones sold to end users worldwide from 2007 to 2022. https://www.statista.com/statistics/263437/global-smartphone-sales-to-end-users-since-2007/</t>
  </si>
  <si>
    <t>[1]</t>
  </si>
  <si>
    <t>[2]</t>
  </si>
  <si>
    <t>[3]</t>
  </si>
  <si>
    <t>[4]</t>
  </si>
  <si>
    <t>[5]</t>
  </si>
  <si>
    <t>[6]</t>
  </si>
  <si>
    <t>[7]</t>
  </si>
  <si>
    <t>webinarcare. (2023). Video Conferencing Statistics. https://webinarcare.com/best-video-conferencing-software/video-conferencing-statistics/</t>
  </si>
  <si>
    <t>Search logistics. (2023). Zoom User Statistics. https://www.searchlogistics.com/learn/statistics/zoom-user-statistics/</t>
  </si>
  <si>
    <t>Search logistics, 2023</t>
  </si>
  <si>
    <t>webinarcare, 2023</t>
  </si>
  <si>
    <t>Metaconference</t>
  </si>
  <si>
    <t>Immersion : devices</t>
  </si>
  <si>
    <t>Simultaneity : networks</t>
  </si>
  <si>
    <r>
      <t>Emissions GHG (MtCO</t>
    </r>
    <r>
      <rPr>
        <b/>
        <vertAlign val="subscript"/>
        <sz val="11"/>
        <color rgb="FF804000"/>
        <rFont val="Calibri"/>
        <family val="2"/>
        <scheme val="minor"/>
      </rPr>
      <t>2</t>
    </r>
    <r>
      <rPr>
        <b/>
        <sz val="11"/>
        <color rgb="FF804000"/>
        <rFont val="Calibri"/>
        <family val="2"/>
        <scheme val="minor"/>
      </rPr>
      <t>e)</t>
    </r>
  </si>
  <si>
    <t>Final energy (TWh)</t>
  </si>
  <si>
    <t>Production</t>
  </si>
  <si>
    <t>Use</t>
  </si>
  <si>
    <t>Assumption: 400 million users by 2030 (same number of users as Outlook in 2015 [Microsoft, 2015])
1 hour of use per day in 2030 [Gartner, 2022].
Lifetime of headsets: 2 years (assumption based on (Statista Research Department, 2023b; Wikipedia, 2024b))
VR headset: OLED, battery, integrated computing [CEPIR, 2023]</t>
  </si>
  <si>
    <t>Assumption: 400 million users by 2030 (same number of users as Outlook in 2015 [Microsoft, 2015])
1h of use per day in 2030, replacing videoconferencing [Gartner, 2022].
Downstream speed: 50 Mbps [Ericsson, 2023]</t>
  </si>
  <si>
    <t>VR headsets</t>
  </si>
  <si>
    <t>Traffic</t>
  </si>
  <si>
    <t>Assumptions</t>
  </si>
  <si>
    <t xml:space="preserve">At first glance, the share of servers and content delivery network is neglected: </t>
  </si>
  <si>
    <t xml:space="preserve">For comparison: share in a case treated by Greenspector: &lt;7% [Greenspector, 2021]. </t>
  </si>
  <si>
    <t>For comparison: share in the case of Cloud Computing: &lt; 10% [ADEME, 2022].</t>
  </si>
  <si>
    <t>References</t>
  </si>
  <si>
    <t>Used for comparison</t>
  </si>
  <si>
    <t>Additional data rate (Mbps)</t>
  </si>
  <si>
    <t>Number of hours spent / users / year</t>
  </si>
  <si>
    <t xml:space="preserve">Sources and assumptions : </t>
  </si>
  <si>
    <t>In 2026, 25% of people will spend 1 hour in the metaverse [Gartner, 2022].</t>
  </si>
  <si>
    <t xml:space="preserve">Gartner's projection is shifted to 2030. </t>
  </si>
  <si>
    <t xml:space="preserve">They substitute 1h of metaverse for 1h of VOD: 50 Mbps (VR) for 3 Mbps of downstream speed [CISCO, 2020]. </t>
  </si>
  <si>
    <t>Average value at the lower end of the range: 500 Mbps (UHD VR), 167 Mbps (HD VR), 30 Mbps (cloud gaming), 17 Mbps (VR) [CISCO, 2020].</t>
  </si>
  <si>
    <t>Comparative data rates: 50 Mbps (downlink), 10 Mbps (uplink), AR user consumes 12 times more resources than VOD user: 3x more bits, 4x more resources for better latency-reliability [Ericsson, 2023].</t>
  </si>
  <si>
    <t>Connected Devices Unitary Elec. Cons. (in kWh/year)</t>
  </si>
  <si>
    <t>Connected Devices (in millions of units)</t>
  </si>
  <si>
    <t xml:space="preserve">Assumption : </t>
  </si>
  <si>
    <t>Lifetime (years)</t>
  </si>
  <si>
    <t>Devices Production (in millions of units)</t>
  </si>
  <si>
    <t>Production GHG Intensity (in kgCO2e/unit)</t>
  </si>
  <si>
    <t>In 2023, 202 kWh/an (model Lean_ICT TSP, Conservative scenario)</t>
  </si>
  <si>
    <t xml:space="preserve">The same growth as for the carbon footprint is applied. </t>
  </si>
  <si>
    <t>Production Energy Intensity (in kWh/unit)</t>
  </si>
  <si>
    <t>CAGR 2023-2030 applied</t>
  </si>
  <si>
    <t>Production carbon footprint 2023 (kWh / unit)</t>
  </si>
  <si>
    <t xml:space="preserve">Battery capacity (Wh) </t>
  </si>
  <si>
    <t>Operating time (h)</t>
  </si>
  <si>
    <t>Power (W)</t>
  </si>
  <si>
    <t>Electrical consumption / year with 1h / day (kWh)</t>
  </si>
  <si>
    <t>Meta-conference teleworkers spend 1 hour a day: [Gartner, 2022].</t>
  </si>
  <si>
    <t>For an integrated VR computing headset, OLED screen, on battery: 14Wh [CEPIR, 2023].</t>
  </si>
  <si>
    <t xml:space="preserve">For a small case into which a smartphone fits: 15kgCO2eq [Andrae, 2017]. </t>
  </si>
  <si>
    <t>For a VR headset with integrated calculation, OLED screen, on battery: 90 kgCO2eq [Cepir, 2023].</t>
  </si>
  <si>
    <t xml:space="preserve">AR glasses may have a footprint between the small case and the VR headset. </t>
  </si>
  <si>
    <t xml:space="preserve">Headsets like the Apple Vision Pro may have a much larger footprint than VR headsets (10x higher resolution, 2x more powerful processor).  </t>
  </si>
  <si>
    <t>Sources and assumptions :</t>
  </si>
  <si>
    <t>See tab [1] and [2]</t>
  </si>
  <si>
    <t xml:space="preserve">Number of VR terminals to be in use in 2030 for metaconferencing (millions) </t>
  </si>
  <si>
    <t xml:space="preserve">Number of VR terminals to produce for metaconferencing (millions) </t>
  </si>
  <si>
    <t xml:space="preserve">Number of VR terminals to be in use in for metaconferencing (millions) </t>
  </si>
  <si>
    <t>7 headset manufacturers offering models between 2015 and 2024: Meta / Oculus (10 models), HTC Vive (7 models), Pico (5 models), Samsung (3 models), Varjo (3 models) [Wikipedia, 2024].</t>
  </si>
  <si>
    <t>The range is renewed every 1 +/- 0.76 years (calculation).</t>
  </si>
  <si>
    <t>By comparison, in the USA, a smartphone is replaced every 2.67 years [Statista, 2023b].</t>
  </si>
  <si>
    <t xml:space="preserve">We have selected 2 years, by crossbreeding. </t>
  </si>
  <si>
    <r>
      <rPr>
        <u/>
        <sz val="11"/>
        <color theme="1"/>
        <rFont val="Calibri"/>
        <family val="2"/>
        <scheme val="minor"/>
      </rPr>
      <t xml:space="preserve">Sources and asssumptions </t>
    </r>
    <r>
      <rPr>
        <sz val="11"/>
        <color theme="1"/>
        <rFont val="Calibri"/>
        <family val="2"/>
        <scheme val="minor"/>
      </rPr>
      <t xml:space="preserve">: </t>
    </r>
  </si>
  <si>
    <t xml:space="preserve">In the absence of any trend projections, and to answer the question "what emissions will be involved in the adoption of metaconferencing?", we are considering the figure of 400 million users in 2030. </t>
  </si>
  <si>
    <t>The number of Outlook users in 2015 [Microsoft, 2015].</t>
  </si>
  <si>
    <t xml:space="preserve">Order of magnitude for videoconferencing users in 2023 (assuming each user uses it for 1 hour a day) </t>
  </si>
  <si>
    <t xml:space="preserve">since Zoom is expected to account for 3.3 billion minutes [Search logistics, 2023] and hold 40% of the market [webinarcare, 2023]. </t>
  </si>
  <si>
    <t>Additional data (total) (EB)</t>
  </si>
  <si>
    <t>Calcul</t>
  </si>
  <si>
    <t>Output</t>
  </si>
  <si>
    <t>Input</t>
  </si>
  <si>
    <t>Assumptions devices</t>
  </si>
  <si>
    <t>Tab</t>
  </si>
  <si>
    <t>Assumptions networks</t>
  </si>
  <si>
    <t>Hypothesis data centers</t>
  </si>
  <si>
    <t>Not taken into account</t>
  </si>
  <si>
    <t>Tab [8]</t>
  </si>
  <si>
    <t>Fixed wired</t>
  </si>
  <si>
    <t>Fixed wi-fi</t>
  </si>
  <si>
    <t>Networks</t>
  </si>
  <si>
    <t>Traffic 2030 (EB)</t>
  </si>
  <si>
    <t>Consumption (TWh)</t>
  </si>
  <si>
    <t>Primary energy (TWh)</t>
  </si>
  <si>
    <r>
      <t>GHG emissions (MtCO</t>
    </r>
    <r>
      <rPr>
        <b/>
        <vertAlign val="subscript"/>
        <sz val="11"/>
        <color rgb="FFFFFFFF"/>
        <rFont val="Calibri"/>
        <family val="2"/>
        <scheme val="minor"/>
      </rPr>
      <t>2</t>
    </r>
    <r>
      <rPr>
        <b/>
        <sz val="11"/>
        <color rgb="FFFFFFFF"/>
        <rFont val="Calibri"/>
        <family val="2"/>
        <scheme val="minor"/>
      </rPr>
      <t>e)</t>
    </r>
  </si>
  <si>
    <t>Production : Energy (TWh)</t>
  </si>
  <si>
    <r>
      <t>Production : GHG emissions (MtCO</t>
    </r>
    <r>
      <rPr>
        <vertAlign val="subscript"/>
        <sz val="11"/>
        <color theme="1"/>
        <rFont val="Calibri"/>
        <family val="2"/>
        <scheme val="minor"/>
      </rPr>
      <t>2</t>
    </r>
    <r>
      <rPr>
        <sz val="11"/>
        <color theme="1"/>
        <rFont val="Calibri"/>
        <family val="2"/>
        <scheme val="minor"/>
      </rPr>
      <t>e)</t>
    </r>
  </si>
  <si>
    <t>Use : Electricity (TWh)</t>
  </si>
  <si>
    <r>
      <t>Use : GHG emissions (MtCO</t>
    </r>
    <r>
      <rPr>
        <vertAlign val="subscript"/>
        <sz val="11"/>
        <color theme="1"/>
        <rFont val="Calibri"/>
        <family val="2"/>
        <scheme val="minor"/>
      </rPr>
      <t>2</t>
    </r>
    <r>
      <rPr>
        <sz val="11"/>
        <color theme="1"/>
        <rFont val="Calibri"/>
        <family val="2"/>
        <scheme val="minor"/>
      </rPr>
      <t>e)</t>
    </r>
  </si>
  <si>
    <t>The Shift Project. (2024d). [Energie—Climat : Quels mondes virtuels pour quel monde réel ? - Materials] Lean ICT Model.</t>
  </si>
  <si>
    <t>[The Shift Project, 2021]</t>
  </si>
  <si>
    <t>Connected devices (millions of units)</t>
  </si>
  <si>
    <t>Devices productions (millions of units)</t>
  </si>
  <si>
    <r>
      <t>Production GHG intensity (kgCO</t>
    </r>
    <r>
      <rPr>
        <vertAlign val="subscript"/>
        <sz val="11"/>
        <color theme="1"/>
        <rFont val="Calibri"/>
        <family val="2"/>
        <scheme val="minor"/>
      </rPr>
      <t>2</t>
    </r>
    <r>
      <rPr>
        <sz val="11"/>
        <color theme="1"/>
        <rFont val="Calibri"/>
        <family val="2"/>
        <scheme val="minor"/>
      </rPr>
      <t>e/unit)</t>
    </r>
  </si>
  <si>
    <t>Additional data rate (Mpbs)</t>
  </si>
  <si>
    <t>Hours of metaconference (h)</t>
  </si>
  <si>
    <t>Energy efficiency : fixed wired (TWh / EB)</t>
  </si>
  <si>
    <t>Energy efficiency : fixed wi-fi (TWh / EB)</t>
  </si>
  <si>
    <t>Energy efficiency : mobile (TWh / EB)</t>
  </si>
  <si>
    <r>
      <t>GHG intensity of electricity (kgCO</t>
    </r>
    <r>
      <rPr>
        <vertAlign val="subscript"/>
        <sz val="11"/>
        <color rgb="FF002060"/>
        <rFont val="Calibri"/>
        <family val="2"/>
        <scheme val="minor"/>
      </rPr>
      <t>2</t>
    </r>
    <r>
      <rPr>
        <sz val="11"/>
        <color rgb="FF002060"/>
        <rFont val="Calibri"/>
        <family val="2"/>
        <scheme val="minor"/>
      </rPr>
      <t>e / kWh)</t>
    </r>
  </si>
  <si>
    <r>
      <t xml:space="preserve">Fabrication des réseaux / Electricité des réseaux </t>
    </r>
    <r>
      <rPr>
        <i/>
        <sz val="11"/>
        <color theme="1"/>
        <rFont val="Calibri"/>
        <family val="2"/>
        <scheme val="minor"/>
      </rPr>
      <t>(order of magnitude)</t>
    </r>
  </si>
  <si>
    <r>
      <t>GHG emissions / primary energy (networks)</t>
    </r>
    <r>
      <rPr>
        <i/>
        <sz val="11"/>
        <color theme="1"/>
        <rFont val="Calibri"/>
        <family val="2"/>
        <scheme val="minor"/>
      </rPr>
      <t xml:space="preserve"> (order of magnitude)</t>
    </r>
  </si>
  <si>
    <t>[The Shift Project, 2024]</t>
  </si>
  <si>
    <t>The Shift Project,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</si>
</sst>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_-* #,##0.000_-;\-* #,##0.000_-;_-* &quot;-&quot;??_-;_-@_-"/>
  </numFmts>
  <fonts count="24" x14ac:knownFonts="1">
    <font>
      <sz val="11"/>
      <color theme="1"/>
      <name val="Calibri"/>
      <family val="2"/>
      <scheme val="minor"/>
    </font>
    <font>
      <sz val="11"/>
      <color theme="1"/>
      <name val="Calibri"/>
      <family val="2"/>
      <scheme val="minor"/>
    </font>
    <font>
      <u/>
      <sz val="11"/>
      <color theme="1"/>
      <name val="Calibri"/>
      <family val="2"/>
      <scheme val="minor"/>
    </font>
    <font>
      <b/>
      <sz val="11"/>
      <color theme="1"/>
      <name val="Calibri"/>
      <family val="2"/>
      <scheme val="minor"/>
    </font>
    <font>
      <u/>
      <sz val="11"/>
      <color theme="10"/>
      <name val="Calibri"/>
      <family val="2"/>
      <scheme val="minor"/>
    </font>
    <font>
      <sz val="11"/>
      <color rgb="FF002060"/>
      <name val="Calibri"/>
      <family val="2"/>
      <scheme val="minor"/>
    </font>
    <font>
      <b/>
      <sz val="11"/>
      <color rgb="FF804000"/>
      <name val="Calibri"/>
      <family val="2"/>
      <scheme val="minor"/>
    </font>
    <font>
      <b/>
      <sz val="11"/>
      <color rgb="FFFFFFFF"/>
      <name val="Calibri"/>
      <family val="2"/>
      <scheme val="minor"/>
    </font>
    <font>
      <i/>
      <sz val="11"/>
      <color theme="1"/>
      <name val="Calibri"/>
      <family val="2"/>
      <scheme val="minor"/>
    </font>
    <font>
      <sz val="10"/>
      <name val="Verdana"/>
      <family val="2"/>
    </font>
    <font>
      <sz val="10"/>
      <color rgb="FF00005A"/>
      <name val="Arial"/>
      <family val="2"/>
    </font>
    <font>
      <i/>
      <sz val="10"/>
      <color rgb="FF00005A"/>
      <name val="Arial"/>
      <family val="2"/>
    </font>
    <font>
      <sz val="11"/>
      <color rgb="FFFF0000"/>
      <name val="Calibri"/>
      <family val="2"/>
      <scheme val="minor"/>
    </font>
    <font>
      <sz val="10"/>
      <color theme="1"/>
      <name val="Calibri"/>
      <family val="2"/>
      <scheme val="minor"/>
    </font>
    <font>
      <sz val="8"/>
      <color theme="1"/>
      <name val="Calibri"/>
      <family val="2"/>
      <scheme val="minor"/>
    </font>
    <font>
      <sz val="10"/>
      <color theme="1"/>
      <name val="Arial"/>
      <family val="2"/>
    </font>
    <font>
      <sz val="11"/>
      <color theme="4"/>
      <name val="Calibri"/>
      <family val="2"/>
      <scheme val="minor"/>
    </font>
    <font>
      <i/>
      <sz val="11"/>
      <color theme="4"/>
      <name val="Calibri"/>
      <family val="2"/>
      <scheme val="minor"/>
    </font>
    <font>
      <vertAlign val="subscript"/>
      <sz val="11"/>
      <color theme="1"/>
      <name val="Calibri"/>
      <family val="2"/>
      <scheme val="minor"/>
    </font>
    <font>
      <b/>
      <vertAlign val="subscript"/>
      <sz val="11"/>
      <color rgb="FF804000"/>
      <name val="Calibri"/>
      <family val="2"/>
      <scheme val="minor"/>
    </font>
    <font>
      <sz val="11"/>
      <name val="Calibri"/>
      <family val="2"/>
      <scheme val="minor"/>
    </font>
    <font>
      <b/>
      <vertAlign val="subscript"/>
      <sz val="11"/>
      <color rgb="FFFFFFFF"/>
      <name val="Calibri"/>
      <family val="2"/>
      <scheme val="minor"/>
    </font>
    <font>
      <vertAlign val="subscript"/>
      <sz val="11"/>
      <color rgb="FF002060"/>
      <name val="Calibri"/>
      <family val="2"/>
      <scheme val="minor"/>
    </font>
    <font>
      <b/>
      <sz val="14"/>
      <color rgb="FFFFFFFF"/>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8200"/>
        <bgColor indexed="64"/>
      </patternFill>
    </fill>
    <fill>
      <patternFill patternType="solid">
        <fgColor rgb="FFFFCC9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dotted">
        <color rgb="FF002060"/>
      </bottom>
      <diagonal/>
    </border>
    <border>
      <left style="thin">
        <color indexed="64"/>
      </left>
      <right style="thin">
        <color indexed="64"/>
      </right>
      <top style="dotted">
        <color rgb="FF002060"/>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2060"/>
      </left>
      <right/>
      <top style="thin">
        <color rgb="FF002060"/>
      </top>
      <bottom/>
      <diagonal/>
    </border>
    <border>
      <left/>
      <right style="thin">
        <color indexed="64"/>
      </right>
      <top style="thin">
        <color rgb="FF002060"/>
      </top>
      <bottom/>
      <diagonal/>
    </border>
    <border>
      <left style="thin">
        <color rgb="FF002060"/>
      </left>
      <right/>
      <top/>
      <bottom/>
      <diagonal/>
    </border>
    <border>
      <left style="thin">
        <color indexed="64"/>
      </left>
      <right style="thin">
        <color indexed="64"/>
      </right>
      <top/>
      <bottom/>
      <diagonal/>
    </border>
    <border>
      <left style="thin">
        <color indexed="64"/>
      </left>
      <right style="thin">
        <color indexed="64"/>
      </right>
      <top style="thin">
        <color rgb="FF002060"/>
      </top>
      <bottom style="dotted">
        <color rgb="FF002060"/>
      </bottom>
      <diagonal/>
    </border>
    <border>
      <left/>
      <right style="thin">
        <color indexed="64"/>
      </right>
      <top style="thin">
        <color rgb="FF002060"/>
      </top>
      <bottom style="dotted">
        <color rgb="FF002060"/>
      </bottom>
      <diagonal/>
    </border>
    <border>
      <left style="thin">
        <color indexed="64"/>
      </left>
      <right style="thin">
        <color indexed="64"/>
      </right>
      <top style="thin">
        <color indexed="64"/>
      </top>
      <bottom/>
      <diagonal/>
    </border>
    <border>
      <left style="thin">
        <color indexed="64"/>
      </left>
      <right style="thin">
        <color indexed="64"/>
      </right>
      <top style="dotted">
        <color rgb="FF002060"/>
      </top>
      <bottom style="thin">
        <color rgb="FF002060"/>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9" fillId="0" borderId="0"/>
  </cellStyleXfs>
  <cellXfs count="90">
    <xf numFmtId="0" fontId="0" fillId="0" borderId="0" xfId="0"/>
    <xf numFmtId="0" fontId="2" fillId="0" borderId="0" xfId="0" applyFont="1"/>
    <xf numFmtId="0" fontId="3" fillId="0" borderId="0" xfId="0" applyFont="1" applyBorder="1"/>
    <xf numFmtId="0" fontId="3" fillId="0" borderId="0" xfId="0" applyFont="1" applyBorder="1" applyAlignment="1">
      <alignment horizontal="center" vertical="center"/>
    </xf>
    <xf numFmtId="0" fontId="0" fillId="0" borderId="0" xfId="0" applyBorder="1"/>
    <xf numFmtId="164" fontId="0" fillId="0" borderId="0" xfId="1" applyNumberFormat="1" applyFont="1"/>
    <xf numFmtId="0" fontId="0" fillId="0" borderId="1" xfId="1" applyNumberFormat="1" applyFont="1" applyBorder="1" applyAlignment="1">
      <alignment horizontal="center"/>
    </xf>
    <xf numFmtId="164" fontId="0" fillId="0" borderId="0" xfId="0" applyNumberFormat="1"/>
    <xf numFmtId="0" fontId="0" fillId="0" borderId="2" xfId="0" applyBorder="1"/>
    <xf numFmtId="0" fontId="0" fillId="0" borderId="2" xfId="0" applyBorder="1" applyAlignment="1">
      <alignment wrapText="1"/>
    </xf>
    <xf numFmtId="0" fontId="0" fillId="0" borderId="2" xfId="0" applyBorder="1" applyAlignment="1">
      <alignment vertical="center"/>
    </xf>
    <xf numFmtId="164" fontId="0" fillId="0" borderId="1" xfId="1" applyNumberFormat="1" applyFont="1" applyBorder="1" applyAlignment="1">
      <alignment vertical="center"/>
    </xf>
    <xf numFmtId="0" fontId="0" fillId="0" borderId="0" xfId="0" applyAlignment="1">
      <alignment horizontal="justify" vertical="center"/>
    </xf>
    <xf numFmtId="0" fontId="0" fillId="0" borderId="0" xfId="0" applyAlignment="1">
      <alignment wrapText="1"/>
    </xf>
    <xf numFmtId="0" fontId="0" fillId="0" borderId="0" xfId="0" applyAlignment="1"/>
    <xf numFmtId="43" fontId="0" fillId="0" borderId="0" xfId="1" applyFont="1"/>
    <xf numFmtId="0" fontId="0" fillId="0" borderId="0" xfId="0" applyFont="1"/>
    <xf numFmtId="0" fontId="5" fillId="0" borderId="0" xfId="0" applyFont="1" applyFill="1" applyBorder="1"/>
    <xf numFmtId="0" fontId="4" fillId="0" borderId="0" xfId="2"/>
    <xf numFmtId="0" fontId="0" fillId="0" borderId="1" xfId="0" applyBorder="1"/>
    <xf numFmtId="164" fontId="0" fillId="0" borderId="1" xfId="0" applyNumberFormat="1" applyBorder="1"/>
    <xf numFmtId="0" fontId="0" fillId="0" borderId="1" xfId="0" applyBorder="1" applyAlignment="1">
      <alignment horizontal="center" vertical="center"/>
    </xf>
    <xf numFmtId="0" fontId="9" fillId="0" borderId="0" xfId="3"/>
    <xf numFmtId="0" fontId="5" fillId="0" borderId="1" xfId="0" applyFont="1" applyBorder="1" applyAlignment="1">
      <alignment vertical="center" wrapText="1"/>
    </xf>
    <xf numFmtId="9" fontId="5" fillId="0" borderId="1" xfId="0" applyNumberFormat="1" applyFont="1" applyBorder="1" applyAlignment="1">
      <alignment vertical="center" wrapText="1"/>
    </xf>
    <xf numFmtId="0" fontId="6" fillId="4" borderId="1" xfId="0" applyFont="1" applyFill="1" applyBorder="1" applyAlignment="1">
      <alignment horizontal="center" vertical="center" wrapText="1"/>
    </xf>
    <xf numFmtId="164" fontId="0" fillId="0" borderId="1" xfId="0" applyNumberFormat="1" applyBorder="1" applyAlignment="1">
      <alignment vertical="center"/>
    </xf>
    <xf numFmtId="164" fontId="0" fillId="0" borderId="1" xfId="0" applyNumberFormat="1" applyBorder="1" applyAlignment="1">
      <alignment horizontal="center" vertical="center"/>
    </xf>
    <xf numFmtId="0" fontId="0" fillId="0" borderId="13" xfId="0" applyBorder="1" applyAlignment="1">
      <alignment vertical="center"/>
    </xf>
    <xf numFmtId="0" fontId="10" fillId="0" borderId="8" xfId="0" applyFont="1" applyBorder="1" applyAlignment="1">
      <alignment horizontal="justify" vertical="center"/>
    </xf>
    <xf numFmtId="0" fontId="7" fillId="2" borderId="14" xfId="0" applyFont="1" applyFill="1" applyBorder="1" applyAlignment="1">
      <alignment vertical="center"/>
    </xf>
    <xf numFmtId="0" fontId="7" fillId="2" borderId="15" xfId="0" applyFont="1" applyFill="1" applyBorder="1" applyAlignment="1">
      <alignment horizontal="center" vertical="center"/>
    </xf>
    <xf numFmtId="0" fontId="0" fillId="0" borderId="5" xfId="0" applyBorder="1" applyAlignment="1">
      <alignment vertical="center"/>
    </xf>
    <xf numFmtId="0" fontId="0" fillId="0" borderId="0" xfId="0" applyAlignment="1">
      <alignment vertical="center"/>
    </xf>
    <xf numFmtId="0" fontId="7" fillId="2" borderId="16" xfId="0" applyFont="1" applyFill="1" applyBorder="1" applyAlignment="1">
      <alignment vertical="center"/>
    </xf>
    <xf numFmtId="0" fontId="7" fillId="2" borderId="6" xfId="0" applyFont="1" applyFill="1" applyBorder="1" applyAlignment="1">
      <alignment horizontal="center" vertical="center"/>
    </xf>
    <xf numFmtId="0" fontId="0" fillId="0" borderId="16" xfId="0" applyBorder="1" applyAlignment="1">
      <alignment vertical="center"/>
    </xf>
    <xf numFmtId="0" fontId="10" fillId="0" borderId="6" xfId="0" applyFont="1" applyBorder="1" applyAlignment="1">
      <alignment horizontal="justify" vertical="center"/>
    </xf>
    <xf numFmtId="165" fontId="0" fillId="0" borderId="1" xfId="0" applyNumberFormat="1" applyBorder="1" applyAlignment="1">
      <alignment horizontal="center" vertical="center"/>
    </xf>
    <xf numFmtId="0" fontId="10" fillId="0" borderId="9" xfId="0" applyFont="1" applyBorder="1" applyAlignment="1">
      <alignment horizontal="justify" vertical="center"/>
    </xf>
    <xf numFmtId="165" fontId="0" fillId="0" borderId="1" xfId="1" applyNumberFormat="1" applyFont="1" applyBorder="1"/>
    <xf numFmtId="0" fontId="12" fillId="0" borderId="0" xfId="0" applyFont="1"/>
    <xf numFmtId="0" fontId="7" fillId="2" borderId="1" xfId="0" applyFont="1" applyFill="1" applyBorder="1" applyAlignment="1">
      <alignment horizontal="center" vertical="center"/>
    </xf>
    <xf numFmtId="0" fontId="0" fillId="0" borderId="1" xfId="0" applyBorder="1" applyAlignment="1">
      <alignment horizontal="center"/>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6" fillId="4" borderId="17" xfId="0" applyFont="1" applyFill="1" applyBorder="1"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4" fillId="0" borderId="0" xfId="2" applyAlignment="1">
      <alignment vertical="center"/>
    </xf>
    <xf numFmtId="0" fontId="14" fillId="0" borderId="0" xfId="0" applyFont="1" applyAlignment="1">
      <alignment vertical="center"/>
    </xf>
    <xf numFmtId="0" fontId="13" fillId="0" borderId="0" xfId="0" applyFont="1" applyAlignment="1">
      <alignment vertical="center"/>
    </xf>
    <xf numFmtId="0" fontId="0" fillId="0" borderId="0" xfId="0" applyAlignment="1">
      <alignment horizontal="center" vertical="center"/>
    </xf>
    <xf numFmtId="2" fontId="0" fillId="0" borderId="0" xfId="0" applyNumberFormat="1"/>
    <xf numFmtId="0" fontId="15" fillId="0" borderId="7" xfId="0" applyFont="1" applyBorder="1" applyAlignment="1">
      <alignment vertical="center" wrapText="1"/>
    </xf>
    <xf numFmtId="0" fontId="0" fillId="0" borderId="0" xfId="0" applyFont="1" applyFill="1" applyBorder="1"/>
    <xf numFmtId="0" fontId="15" fillId="0" borderId="13" xfId="0" applyFont="1" applyBorder="1" applyAlignment="1">
      <alignment vertical="center" wrapText="1"/>
    </xf>
    <xf numFmtId="0" fontId="16" fillId="0" borderId="0" xfId="0" applyFont="1"/>
    <xf numFmtId="0" fontId="17" fillId="0" borderId="0" xfId="0" applyFont="1"/>
    <xf numFmtId="164" fontId="0" fillId="0" borderId="1" xfId="1" applyNumberFormat="1" applyFont="1" applyBorder="1"/>
    <xf numFmtId="0" fontId="0" fillId="0" borderId="1" xfId="0" applyFill="1" applyBorder="1"/>
    <xf numFmtId="43" fontId="0" fillId="0" borderId="1" xfId="1" applyFont="1" applyBorder="1"/>
    <xf numFmtId="166" fontId="0" fillId="0" borderId="1" xfId="0" applyNumberFormat="1" applyBorder="1"/>
    <xf numFmtId="0" fontId="5" fillId="0" borderId="0" xfId="0" applyFont="1" applyBorder="1" applyAlignment="1">
      <alignment horizontal="center"/>
    </xf>
    <xf numFmtId="0" fontId="0" fillId="0" borderId="1" xfId="0" applyBorder="1" applyAlignment="1">
      <alignment horizontal="right"/>
    </xf>
    <xf numFmtId="0" fontId="0" fillId="0" borderId="16" xfId="0" applyBorder="1"/>
    <xf numFmtId="0" fontId="5" fillId="0" borderId="1" xfId="0" applyFont="1" applyBorder="1"/>
    <xf numFmtId="43" fontId="0" fillId="0" borderId="5" xfId="1" applyFont="1" applyBorder="1"/>
    <xf numFmtId="43" fontId="0" fillId="0" borderId="18" xfId="1" applyFont="1" applyBorder="1"/>
    <xf numFmtId="0" fontId="8" fillId="0" borderId="0" xfId="0" applyFont="1"/>
    <xf numFmtId="0" fontId="5" fillId="0" borderId="1" xfId="0" applyFont="1" applyFill="1" applyBorder="1"/>
    <xf numFmtId="166" fontId="0" fillId="0" borderId="1" xfId="1" applyNumberFormat="1" applyFont="1" applyBorder="1"/>
    <xf numFmtId="0" fontId="0" fillId="0" borderId="1" xfId="0" applyBorder="1" applyAlignment="1">
      <alignment wrapText="1"/>
    </xf>
    <xf numFmtId="0" fontId="0" fillId="0" borderId="8" xfId="0" applyBorder="1" applyAlignment="1">
      <alignment vertical="center" wrapText="1"/>
    </xf>
    <xf numFmtId="164" fontId="5" fillId="0" borderId="4" xfId="0" applyNumberFormat="1" applyFont="1" applyBorder="1" applyAlignment="1"/>
    <xf numFmtId="43" fontId="0" fillId="0" borderId="1" xfId="1" applyNumberFormat="1" applyFont="1" applyFill="1" applyBorder="1" applyAlignment="1">
      <alignment vertical="center"/>
    </xf>
    <xf numFmtId="0" fontId="20" fillId="0" borderId="4" xfId="0" applyNumberFormat="1" applyFont="1" applyBorder="1" applyAlignment="1">
      <alignment horizontal="center"/>
    </xf>
    <xf numFmtId="43" fontId="20" fillId="0" borderId="4" xfId="0" applyNumberFormat="1" applyFont="1" applyBorder="1" applyAlignment="1">
      <alignment horizontal="center"/>
    </xf>
    <xf numFmtId="164" fontId="20" fillId="0" borderId="4" xfId="0" applyNumberFormat="1" applyFont="1" applyBorder="1" applyAlignment="1">
      <alignment horizontal="center"/>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8" xfId="0" applyFont="1" applyFill="1" applyBorder="1" applyAlignment="1">
      <alignment horizontal="left" vertical="center"/>
    </xf>
    <xf numFmtId="0" fontId="23" fillId="3" borderId="1" xfId="0" applyFont="1" applyFill="1" applyBorder="1" applyAlignment="1">
      <alignment horizontal="center" vertical="center"/>
    </xf>
    <xf numFmtId="0" fontId="23" fillId="2" borderId="1" xfId="0" applyFont="1" applyFill="1" applyBorder="1" applyAlignment="1">
      <alignment horizontal="center" vertical="center"/>
    </xf>
    <xf numFmtId="0" fontId="10" fillId="0" borderId="0" xfId="0" applyFont="1" applyAlignment="1">
      <alignment horizontal="justify" vertical="center"/>
    </xf>
    <xf numFmtId="0" fontId="0" fillId="0" borderId="1" xfId="0" applyFill="1" applyBorder="1" applyAlignment="1">
      <alignment horizontal="right"/>
    </xf>
    <xf numFmtId="0" fontId="0" fillId="0" borderId="7" xfId="0" applyBorder="1" applyAlignment="1">
      <alignment vertical="center"/>
    </xf>
  </cellXfs>
  <cellStyles count="4">
    <cellStyle name="Lien hypertexte" xfId="2" builtinId="8"/>
    <cellStyle name="Milliers" xfId="1" builtinId="3"/>
    <cellStyle name="Normal" xfId="0" builtinId="0"/>
    <cellStyle name="Normal 2" xfId="3" xr:uid="{701CEF42-C84A-407A-A21A-1CBBCEE82A03}"/>
  </cellStyles>
  <dxfs count="0"/>
  <tableStyles count="0" defaultTableStyle="TableStyleMedium2" defaultPivotStyle="PivotStyleLight16"/>
  <colors>
    <mruColors>
      <color rgb="FF002060"/>
      <color rgb="FFFF8200"/>
      <color rgb="FFC0C0C0"/>
      <color rgb="FFFFFFFF"/>
      <color rgb="FF804000"/>
      <color rgb="FFFFB3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data id="1">
      <cx:numDim type="val">
        <cx:f>_xlchart.v1.3</cx:f>
      </cx:numDim>
    </cx:data>
    <cx:data id="2">
      <cx:numDim type="val">
        <cx:f>_xlchart.v1.5</cx:f>
      </cx:numDim>
    </cx:data>
    <cx:data id="3">
      <cx:numDim type="val">
        <cx:f>_xlchart.v1.7</cx:f>
      </cx:numDim>
    </cx:data>
    <cx:data id="4">
      <cx:numDim type="val">
        <cx:f>_xlchart.v1.9</cx:f>
      </cx:numDim>
    </cx:data>
    <cx:data id="5">
      <cx:numDim type="val">
        <cx:f>_xlchart.v1.11</cx:f>
      </cx:numDim>
    </cx:data>
  </cx:chartData>
  <cx:chart>
    <cx:title pos="t" align="ctr" overlay="0">
      <cx:tx>
        <cx:rich>
          <a:bodyPr spcFirstLastPara="1" vertOverflow="ellipsis" horzOverflow="overflow" wrap="square" lIns="0" tIns="0" rIns="0" bIns="0" anchor="ctr" anchorCtr="1"/>
          <a:lstStyle/>
          <a:p>
            <a:pPr>
              <a:defRPr sz="1000">
                <a:solidFill>
                  <a:srgbClr val="002060"/>
                </a:solidFill>
              </a:defRPr>
            </a:pPr>
            <a:r>
              <a:rPr lang="en-US" sz="1000" i="1">
                <a:solidFill>
                  <a:srgbClr val="002060"/>
                </a:solidFill>
                <a:effectLst/>
              </a:rPr>
              <a:t>Median number between each new headset on the market by hardware provider, data source: List of virtual reality headsets. (2024). In Wikipedia. </a:t>
            </a:r>
            <a:r>
              <a:rPr lang="en-US" sz="1000" i="1" u="sng">
                <a:solidFill>
                  <a:srgbClr val="002060"/>
                </a:solidFill>
                <a:effectLst/>
              </a:rPr>
              <a:t>https://en.wikipedia.org/w/index.php?title=List_of_virtual_reality_headsets&amp;oldid=1208303712</a:t>
            </a:r>
            <a:r>
              <a:rPr lang="en-US" sz="1000" i="1">
                <a:solidFill>
                  <a:srgbClr val="002060"/>
                </a:solidFill>
                <a:effectLst/>
              </a:rPr>
              <a:t> - CC BY-SA 4.0</a:t>
            </a:r>
            <a:endParaRPr lang="fr-FR" sz="1000" i="1">
              <a:solidFill>
                <a:srgbClr val="002060"/>
              </a:solidFill>
              <a:effectLst/>
            </a:endParaRPr>
          </a:p>
        </cx:rich>
      </cx:tx>
    </cx:title>
    <cx:plotArea>
      <cx:plotAreaRegion>
        <cx:plotSurface>
          <cx:spPr>
            <a:ln>
              <a:solidFill>
                <a:srgbClr val="002060"/>
              </a:solidFill>
            </a:ln>
          </cx:spPr>
        </cx:plotSurface>
        <cx:series layoutId="boxWhisker" uniqueId="{9D2E17E1-9D7F-4C13-99F2-88D40D98CCB4}">
          <cx:tx>
            <cx:txData>
              <cx:f>_xlchart.v1.0</cx:f>
              <cx:v>HTC Vive</cx:v>
            </cx:txData>
          </cx:tx>
          <cx:dataId val="0"/>
          <cx:layoutPr>
            <cx:visibility meanLine="1" meanMarker="1" nonoutliers="0" outliers="1"/>
            <cx:statistics quartileMethod="exclusive"/>
          </cx:layoutPr>
        </cx:series>
        <cx:series layoutId="boxWhisker" uniqueId="{72405AF6-6F8E-465B-996D-9B1F1332A06D}">
          <cx:tx>
            <cx:txData>
              <cx:f>_xlchart.v1.2</cx:f>
              <cx:v>HP Reverb</cx:v>
            </cx:txData>
          </cx:tx>
          <cx:dataId val="1"/>
          <cx:layoutPr>
            <cx:visibility meanLine="1" meanMarker="1" nonoutliers="0" outliers="1"/>
            <cx:statistics quartileMethod="exclusive"/>
          </cx:layoutPr>
        </cx:series>
        <cx:series layoutId="boxWhisker" uniqueId="{FDC12517-936E-4F4E-AD82-EC86F735608E}">
          <cx:tx>
            <cx:txData>
              <cx:f>_xlchart.v1.4</cx:f>
              <cx:v>Meta / Oculus</cx:v>
            </cx:txData>
          </cx:tx>
          <cx:dataId val="2"/>
          <cx:layoutPr>
            <cx:visibility meanLine="1" meanMarker="1" nonoutliers="0" outliers="1"/>
            <cx:statistics quartileMethod="exclusive"/>
          </cx:layoutPr>
        </cx:series>
        <cx:series layoutId="boxWhisker" uniqueId="{C1DF7507-603E-4E26-872C-0E7368AE40D0}">
          <cx:tx>
            <cx:txData>
              <cx:f>_xlchart.v1.6</cx:f>
              <cx:v>Pico</cx:v>
            </cx:txData>
          </cx:tx>
          <cx:dataId val="3"/>
          <cx:layoutPr>
            <cx:visibility meanLine="1" meanMarker="1" nonoutliers="0" outliers="1"/>
            <cx:statistics quartileMethod="exclusive"/>
          </cx:layoutPr>
        </cx:series>
        <cx:series layoutId="boxWhisker" uniqueId="{9702087F-F124-46DF-A94F-98DFB1C9D03F}">
          <cx:tx>
            <cx:txData>
              <cx:f>_xlchart.v1.8</cx:f>
              <cx:v>Samsung</cx:v>
            </cx:txData>
          </cx:tx>
          <cx:dataId val="4"/>
          <cx:layoutPr>
            <cx:visibility meanLine="1" meanMarker="1" nonoutliers="0" outliers="1"/>
            <cx:statistics quartileMethod="exclusive"/>
          </cx:layoutPr>
        </cx:series>
        <cx:series layoutId="boxWhisker" uniqueId="{C83C37B9-342D-42F6-9518-BD76C375021B}">
          <cx:tx>
            <cx:txData>
              <cx:f>_xlchart.v1.10</cx:f>
              <cx:v>Varjo</cx:v>
            </cx:txData>
          </cx:tx>
          <cx:dataId val="5"/>
          <cx:layoutPr>
            <cx:visibility meanLine="1" meanMarker="1" nonoutliers="0" outliers="1"/>
            <cx:statistics quartileMethod="exclusive"/>
          </cx:layoutPr>
        </cx:series>
      </cx:plotAreaRegion>
      <cx:axis id="0">
        <cx:catScaling gapWidth="1"/>
        <cx:tickLabels/>
        <cx:txPr>
          <a:bodyPr spcFirstLastPara="1" vertOverflow="ellipsis" horzOverflow="overflow" wrap="square" lIns="0" tIns="0" rIns="0" bIns="0" anchor="ctr" anchorCtr="1"/>
          <a:lstStyle/>
          <a:p>
            <a:pPr algn="ctr" rtl="0">
              <a:defRPr>
                <a:solidFill>
                  <a:srgbClr val="002060"/>
                </a:solidFill>
              </a:defRPr>
            </a:pPr>
            <a:endParaRPr lang="fr-FR" sz="900" b="0" i="0" u="none" strike="noStrike" baseline="0">
              <a:solidFill>
                <a:srgbClr val="002060"/>
              </a:solidFill>
              <a:latin typeface="Calibri" panose="020F0502020204030204"/>
            </a:endParaRPr>
          </a:p>
        </cx:txPr>
      </cx:axis>
      <cx:axis id="1">
        <cx:valScaling/>
        <cx:majorGridlines>
          <cx:spPr>
            <a:ln>
              <a:solidFill>
                <a:srgbClr val="002060"/>
              </a:solidFill>
            </a:ln>
          </cx:spPr>
        </cx:majorGridlines>
        <cx:tickLabels/>
        <cx:txPr>
          <a:bodyPr spcFirstLastPara="1" vertOverflow="ellipsis" horzOverflow="overflow" wrap="square" lIns="0" tIns="0" rIns="0" bIns="0" anchor="ctr" anchorCtr="1"/>
          <a:lstStyle/>
          <a:p>
            <a:pPr algn="ctr" rtl="0">
              <a:defRPr>
                <a:solidFill>
                  <a:srgbClr val="002060"/>
                </a:solidFill>
              </a:defRPr>
            </a:pPr>
            <a:endParaRPr lang="fr-FR" sz="900" b="0" i="0" u="none" strike="noStrike" baseline="0">
              <a:solidFill>
                <a:srgbClr val="002060"/>
              </a:solidFill>
              <a:latin typeface="Calibri" panose="020F0502020204030204"/>
            </a:endParaRPr>
          </a:p>
        </cx:txPr>
      </cx:axis>
    </cx:plotArea>
    <cx:legend pos="b" align="ctr" overlay="0">
      <cx:txPr>
        <a:bodyPr spcFirstLastPara="1" vertOverflow="ellipsis" horzOverflow="overflow" wrap="square" lIns="0" tIns="0" rIns="0" bIns="0" anchor="ctr" anchorCtr="1"/>
        <a:lstStyle/>
        <a:p>
          <a:pPr algn="ctr" rtl="0">
            <a:defRPr>
              <a:solidFill>
                <a:srgbClr val="002060"/>
              </a:solidFill>
            </a:defRPr>
          </a:pPr>
          <a:endParaRPr lang="fr-FR" sz="900" b="0" i="0" u="none" strike="noStrike" baseline="0">
            <a:solidFill>
              <a:srgbClr val="002060"/>
            </a:solidFill>
            <a:latin typeface="Calibri" panose="020F0502020204030204"/>
          </a:endParaRPr>
        </a:p>
      </cx:txPr>
    </cx:legend>
  </cx:chart>
  <cx:spPr>
    <a:solidFill>
      <a:srgbClr val="FFFFFF"/>
    </a:solidFill>
  </cx:spPr>
</cx: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373">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0</xdr:col>
      <xdr:colOff>753080</xdr:colOff>
      <xdr:row>11</xdr:row>
      <xdr:rowOff>39233</xdr:rowOff>
    </xdr:from>
    <xdr:to>
      <xdr:col>6</xdr:col>
      <xdr:colOff>734786</xdr:colOff>
      <xdr:row>29</xdr:row>
      <xdr:rowOff>154214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72CB68BB-EC62-416A-A994-12CA08F50A8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53080" y="2064883"/>
              <a:ext cx="5131556" cy="3429681"/>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theme/theme1.xml><?xml version="1.0" encoding="utf-8"?>
<a:theme xmlns:a="http://schemas.openxmlformats.org/drawingml/2006/main" name="Thème1">
  <a:themeElements>
    <a:clrScheme name="TSP 2021">
      <a:dk1>
        <a:srgbClr val="00005A"/>
      </a:dk1>
      <a:lt1>
        <a:srgbClr val="00008E"/>
      </a:lt1>
      <a:dk2>
        <a:srgbClr val="0028DC"/>
      </a:dk2>
      <a:lt2>
        <a:srgbClr val="0072FF"/>
      </a:lt2>
      <a:accent1>
        <a:srgbClr val="00CAFE"/>
      </a:accent1>
      <a:accent2>
        <a:srgbClr val="B0EBFF"/>
      </a:accent2>
      <a:accent3>
        <a:srgbClr val="FFF1B7"/>
      </a:accent3>
      <a:accent4>
        <a:srgbClr val="FFDC23"/>
      </a:accent4>
      <a:accent5>
        <a:srgbClr val="FAB758"/>
      </a:accent5>
      <a:accent6>
        <a:srgbClr val="FF820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6489F-B67A-4786-9A42-C257D82A8EA4}">
  <dimension ref="B1:I9"/>
  <sheetViews>
    <sheetView tabSelected="1" zoomScale="70" zoomScaleNormal="70" workbookViewId="0">
      <selection activeCell="B2" sqref="B2:C4"/>
    </sheetView>
  </sheetViews>
  <sheetFormatPr baseColWidth="10" defaultRowHeight="14.5" x14ac:dyDescent="0.35"/>
  <cols>
    <col min="1" max="1" width="5.36328125" customWidth="1"/>
    <col min="2" max="2" width="25.81640625" customWidth="1"/>
    <col min="3" max="3" width="50.90625" customWidth="1"/>
    <col min="4" max="4" width="5.08984375" bestFit="1" customWidth="1"/>
    <col min="5" max="5" width="10.1796875" bestFit="1" customWidth="1"/>
    <col min="6" max="6" width="9.36328125" bestFit="1" customWidth="1"/>
    <col min="7" max="7" width="5.08984375" bestFit="1" customWidth="1"/>
    <col min="8" max="8" width="10.1796875" bestFit="1" customWidth="1"/>
    <col min="9" max="9" width="9.36328125" bestFit="1" customWidth="1"/>
    <col min="10" max="10" width="12.26953125" customWidth="1"/>
    <col min="11" max="11" width="9.26953125" customWidth="1"/>
    <col min="12" max="12" width="10.6328125" customWidth="1"/>
  </cols>
  <sheetData>
    <row r="1" spans="2:9" x14ac:dyDescent="0.35">
      <c r="C1" s="14"/>
      <c r="D1" s="14"/>
      <c r="E1" s="14"/>
    </row>
    <row r="2" spans="2:9" x14ac:dyDescent="0.35">
      <c r="B2" s="81" t="s">
        <v>46</v>
      </c>
      <c r="C2" s="82"/>
      <c r="D2" s="80">
        <v>2030</v>
      </c>
      <c r="E2" s="80"/>
      <c r="F2" s="80"/>
      <c r="G2" s="80"/>
      <c r="H2" s="80"/>
      <c r="I2" s="80"/>
    </row>
    <row r="3" spans="2:9" x14ac:dyDescent="0.35">
      <c r="B3" s="83"/>
      <c r="C3" s="84"/>
      <c r="D3" s="79" t="s">
        <v>49</v>
      </c>
      <c r="E3" s="79"/>
      <c r="F3" s="79"/>
      <c r="G3" s="79" t="s">
        <v>50</v>
      </c>
      <c r="H3" s="79"/>
      <c r="I3" s="79"/>
    </row>
    <row r="4" spans="2:9" x14ac:dyDescent="0.35">
      <c r="B4" s="83"/>
      <c r="C4" s="84"/>
      <c r="D4" s="25" t="s">
        <v>4</v>
      </c>
      <c r="E4" s="25" t="s">
        <v>51</v>
      </c>
      <c r="F4" s="25" t="s">
        <v>52</v>
      </c>
      <c r="G4" s="25" t="s">
        <v>4</v>
      </c>
      <c r="H4" s="25" t="s">
        <v>51</v>
      </c>
      <c r="I4" s="25" t="s">
        <v>52</v>
      </c>
    </row>
    <row r="5" spans="2:9" ht="88.5" customHeight="1" x14ac:dyDescent="0.35">
      <c r="B5" s="23" t="s">
        <v>47</v>
      </c>
      <c r="C5" s="23" t="s">
        <v>53</v>
      </c>
      <c r="D5" s="27">
        <f>E5+F5</f>
        <v>26.138058850286143</v>
      </c>
      <c r="E5" s="27">
        <f>Calcul!C27</f>
        <v>25.696554850286145</v>
      </c>
      <c r="F5" s="38">
        <f>Calcul!C29</f>
        <v>0.44150400000000012</v>
      </c>
      <c r="G5" s="27">
        <f>H5+I5</f>
        <v>93.713144281389333</v>
      </c>
      <c r="H5" s="27">
        <f>Calcul!C26</f>
        <v>92.691144281389327</v>
      </c>
      <c r="I5" s="27">
        <f>Calcul!C28</f>
        <v>1.0220000000000002</v>
      </c>
    </row>
    <row r="6" spans="2:9" ht="73.5" customHeight="1" x14ac:dyDescent="0.35">
      <c r="B6" s="23" t="s">
        <v>48</v>
      </c>
      <c r="C6" s="24" t="s">
        <v>54</v>
      </c>
      <c r="D6" s="26">
        <f>E6+F6</f>
        <v>28.327220597813451</v>
      </c>
      <c r="E6" s="27">
        <f>Calcul!G27</f>
        <v>2.6723793016805137</v>
      </c>
      <c r="F6" s="26">
        <f>Calcul!G29</f>
        <v>25.654841296132936</v>
      </c>
      <c r="G6" s="27">
        <f>H6+I6</f>
        <v>68.294137709613139</v>
      </c>
      <c r="H6" s="26">
        <f>Calcul!G26</f>
        <v>8.9079310056017142</v>
      </c>
      <c r="I6" s="26">
        <f>Calcul!G28</f>
        <v>59.386206704011428</v>
      </c>
    </row>
    <row r="9" spans="2:9" x14ac:dyDescent="0.35">
      <c r="B9" s="41"/>
    </row>
  </sheetData>
  <mergeCells count="4">
    <mergeCell ref="G3:I3"/>
    <mergeCell ref="D2:I2"/>
    <mergeCell ref="B2:C4"/>
    <mergeCell ref="D3:F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FCA1-B74B-496C-8690-A27831447A13}">
  <dimension ref="B2:B5"/>
  <sheetViews>
    <sheetView zoomScale="60" zoomScaleNormal="60" workbookViewId="0">
      <selection activeCell="B2" sqref="B2"/>
    </sheetView>
  </sheetViews>
  <sheetFormatPr baseColWidth="10" defaultRowHeight="14.5" x14ac:dyDescent="0.35"/>
  <cols>
    <col min="1" max="1" width="15.90625" bestFit="1" customWidth="1"/>
    <col min="2" max="2" width="25.54296875" customWidth="1"/>
    <col min="3" max="4" width="16.54296875" customWidth="1"/>
    <col min="5" max="5" width="16.453125" customWidth="1"/>
  </cols>
  <sheetData>
    <row r="2" spans="2:2" x14ac:dyDescent="0.35">
      <c r="B2" s="1" t="s">
        <v>57</v>
      </c>
    </row>
    <row r="3" spans="2:2" x14ac:dyDescent="0.35">
      <c r="B3" s="16" t="s">
        <v>58</v>
      </c>
    </row>
    <row r="4" spans="2:2" x14ac:dyDescent="0.35">
      <c r="B4" s="16" t="s">
        <v>59</v>
      </c>
    </row>
    <row r="5" spans="2:2" x14ac:dyDescent="0.35">
      <c r="B5" s="55" t="s">
        <v>60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C252-3E64-4B7B-AD00-8647FF78531E}">
  <dimension ref="B2:C21"/>
  <sheetViews>
    <sheetView zoomScale="70" zoomScaleNormal="70" workbookViewId="0">
      <selection activeCell="C2" sqref="C2"/>
    </sheetView>
  </sheetViews>
  <sheetFormatPr baseColWidth="10" defaultRowHeight="14.5" x14ac:dyDescent="0.35"/>
  <cols>
    <col min="1" max="1" width="4.81640625" customWidth="1"/>
    <col min="2" max="2" width="20.1796875" style="33" customWidth="1"/>
    <col min="3" max="3" width="115.54296875" customWidth="1"/>
  </cols>
  <sheetData>
    <row r="2" spans="2:3" x14ac:dyDescent="0.35">
      <c r="B2" s="34"/>
      <c r="C2" s="35" t="s">
        <v>61</v>
      </c>
    </row>
    <row r="3" spans="2:3" ht="25.5" x14ac:dyDescent="0.35">
      <c r="B3" s="36" t="s">
        <v>5</v>
      </c>
      <c r="C3" s="37" t="s">
        <v>6</v>
      </c>
    </row>
    <row r="4" spans="2:3" ht="25.5" x14ac:dyDescent="0.35">
      <c r="B4" s="56" t="s">
        <v>7</v>
      </c>
      <c r="C4" s="29" t="s">
        <v>8</v>
      </c>
    </row>
    <row r="5" spans="2:3" ht="25.5" x14ac:dyDescent="0.35">
      <c r="B5" s="28" t="s">
        <v>9</v>
      </c>
      <c r="C5" s="29" t="s">
        <v>10</v>
      </c>
    </row>
    <row r="6" spans="2:3" ht="25.5" x14ac:dyDescent="0.35">
      <c r="B6" s="28" t="s">
        <v>11</v>
      </c>
      <c r="C6" s="29" t="s">
        <v>12</v>
      </c>
    </row>
    <row r="7" spans="2:3" ht="25.5" x14ac:dyDescent="0.35">
      <c r="B7" s="28" t="s">
        <v>19</v>
      </c>
      <c r="C7" s="29" t="s">
        <v>20</v>
      </c>
    </row>
    <row r="8" spans="2:3" ht="25" x14ac:dyDescent="0.35">
      <c r="B8" s="56" t="s">
        <v>33</v>
      </c>
      <c r="C8" s="29" t="s">
        <v>34</v>
      </c>
    </row>
    <row r="9" spans="2:3" ht="25.5" x14ac:dyDescent="0.35">
      <c r="B9" s="28" t="s">
        <v>13</v>
      </c>
      <c r="C9" s="29" t="s">
        <v>14</v>
      </c>
    </row>
    <row r="10" spans="2:3" x14ac:dyDescent="0.35">
      <c r="B10" s="89" t="s">
        <v>141</v>
      </c>
      <c r="C10" s="87" t="s">
        <v>127</v>
      </c>
    </row>
    <row r="11" spans="2:3" ht="25" x14ac:dyDescent="0.35">
      <c r="B11" s="54" t="s">
        <v>29</v>
      </c>
      <c r="C11" s="29" t="s">
        <v>30</v>
      </c>
    </row>
    <row r="12" spans="2:3" x14ac:dyDescent="0.35">
      <c r="B12" s="30"/>
      <c r="C12" s="31" t="s">
        <v>62</v>
      </c>
    </row>
    <row r="13" spans="2:3" ht="29" x14ac:dyDescent="0.35">
      <c r="B13" s="28" t="s">
        <v>32</v>
      </c>
      <c r="C13" s="73" t="s">
        <v>31</v>
      </c>
    </row>
    <row r="14" spans="2:3" x14ac:dyDescent="0.35">
      <c r="B14" s="28" t="s">
        <v>15</v>
      </c>
      <c r="C14" s="29" t="s">
        <v>16</v>
      </c>
    </row>
    <row r="15" spans="2:3" ht="25.5" x14ac:dyDescent="0.35">
      <c r="B15" s="28" t="s">
        <v>17</v>
      </c>
      <c r="C15" s="29" t="s">
        <v>18</v>
      </c>
    </row>
    <row r="16" spans="2:3" ht="25.5" x14ac:dyDescent="0.35">
      <c r="B16" s="28" t="s">
        <v>7</v>
      </c>
      <c r="C16" s="29" t="s">
        <v>8</v>
      </c>
    </row>
    <row r="17" spans="2:3" ht="25.5" x14ac:dyDescent="0.35">
      <c r="B17" s="28" t="s">
        <v>21</v>
      </c>
      <c r="C17" s="29" t="s">
        <v>22</v>
      </c>
    </row>
    <row r="18" spans="2:3" x14ac:dyDescent="0.35">
      <c r="B18" s="28" t="s">
        <v>44</v>
      </c>
      <c r="C18" s="29" t="s">
        <v>43</v>
      </c>
    </row>
    <row r="19" spans="2:3" x14ac:dyDescent="0.35">
      <c r="B19" s="32" t="s">
        <v>45</v>
      </c>
      <c r="C19" s="39" t="s">
        <v>42</v>
      </c>
    </row>
    <row r="20" spans="2:3" x14ac:dyDescent="0.35">
      <c r="C20" s="33"/>
    </row>
    <row r="21" spans="2:3" x14ac:dyDescent="0.35">
      <c r="C21" s="8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69374-FE77-4119-BB56-BB7260B8880C}">
  <dimension ref="B2:J30"/>
  <sheetViews>
    <sheetView zoomScale="60" zoomScaleNormal="60" workbookViewId="0">
      <selection activeCell="B14" sqref="B14:J14"/>
    </sheetView>
  </sheetViews>
  <sheetFormatPr baseColWidth="10" defaultRowHeight="14.5" x14ac:dyDescent="0.35"/>
  <cols>
    <col min="1" max="1" width="4.54296875" customWidth="1"/>
    <col min="2" max="2" width="46.08984375" customWidth="1"/>
    <col min="3" max="3" width="19.08984375" customWidth="1"/>
    <col min="4" max="4" width="19.7265625" customWidth="1"/>
    <col min="5" max="5" width="8.6328125" customWidth="1"/>
    <col min="6" max="6" width="38.7265625" customWidth="1"/>
    <col min="7" max="7" width="12.453125" customWidth="1"/>
    <col min="8" max="8" width="22.26953125" customWidth="1"/>
    <col min="9" max="9" width="19.7265625" customWidth="1"/>
    <col min="10" max="10" width="25.6328125" customWidth="1"/>
  </cols>
  <sheetData>
    <row r="2" spans="2:10" ht="18.5" x14ac:dyDescent="0.35">
      <c r="B2" s="86" t="s">
        <v>109</v>
      </c>
      <c r="C2" s="86"/>
      <c r="D2" s="86"/>
      <c r="E2" s="86"/>
      <c r="F2" s="86"/>
      <c r="G2" s="86"/>
      <c r="H2" s="86"/>
      <c r="I2" s="86"/>
      <c r="J2" s="86"/>
    </row>
    <row r="4" spans="2:10" x14ac:dyDescent="0.35">
      <c r="B4" s="42" t="s">
        <v>110</v>
      </c>
      <c r="C4" s="42">
        <v>2030</v>
      </c>
      <c r="D4" s="42" t="s">
        <v>111</v>
      </c>
      <c r="F4" s="42" t="s">
        <v>112</v>
      </c>
      <c r="G4" s="42">
        <v>2030</v>
      </c>
      <c r="H4" s="42" t="s">
        <v>111</v>
      </c>
      <c r="J4" s="42" t="s">
        <v>113</v>
      </c>
    </row>
    <row r="5" spans="2:10" x14ac:dyDescent="0.35">
      <c r="B5" s="19" t="s">
        <v>129</v>
      </c>
      <c r="C5" s="59">
        <f>'1'!B4</f>
        <v>400</v>
      </c>
      <c r="D5" s="64" t="s">
        <v>35</v>
      </c>
      <c r="F5" s="65" t="s">
        <v>132</v>
      </c>
      <c r="G5" s="65">
        <f>(50-3)</f>
        <v>47</v>
      </c>
      <c r="H5" s="64" t="s">
        <v>41</v>
      </c>
      <c r="J5" s="19" t="s">
        <v>114</v>
      </c>
    </row>
    <row r="6" spans="2:10" x14ac:dyDescent="0.35">
      <c r="B6" s="19" t="s">
        <v>74</v>
      </c>
      <c r="C6" s="59">
        <v>2</v>
      </c>
      <c r="D6" s="64" t="s">
        <v>36</v>
      </c>
      <c r="F6" s="19" t="s">
        <v>133</v>
      </c>
      <c r="G6" s="59">
        <f>'7'!D4*C5</f>
        <v>146000</v>
      </c>
      <c r="H6" s="88" t="s">
        <v>41</v>
      </c>
      <c r="J6" s="19" t="s">
        <v>115</v>
      </c>
    </row>
    <row r="7" spans="2:10" x14ac:dyDescent="0.35">
      <c r="B7" s="19" t="s">
        <v>130</v>
      </c>
      <c r="C7" s="20">
        <f>'3'!J13</f>
        <v>285.5172761142905</v>
      </c>
      <c r="D7" s="64" t="s">
        <v>37</v>
      </c>
      <c r="F7" s="66" t="s">
        <v>134</v>
      </c>
      <c r="G7" s="68">
        <v>6.5926813706686984E-3</v>
      </c>
      <c r="H7" s="88" t="s">
        <v>140</v>
      </c>
    </row>
    <row r="8" spans="2:10" ht="16.5" x14ac:dyDescent="0.45">
      <c r="B8" s="19" t="s">
        <v>131</v>
      </c>
      <c r="C8" s="20">
        <v>90</v>
      </c>
      <c r="D8" s="64" t="s">
        <v>38</v>
      </c>
      <c r="F8" s="66" t="s">
        <v>135</v>
      </c>
      <c r="G8" s="68">
        <v>6.5926813706686984E-3</v>
      </c>
      <c r="H8" s="88" t="s">
        <v>140</v>
      </c>
    </row>
    <row r="9" spans="2:10" x14ac:dyDescent="0.35">
      <c r="B9" s="19" t="s">
        <v>71</v>
      </c>
      <c r="C9" s="62">
        <v>2.5550000000000002</v>
      </c>
      <c r="D9" s="64" t="s">
        <v>39</v>
      </c>
      <c r="F9" s="66" t="s">
        <v>136</v>
      </c>
      <c r="G9" s="68">
        <v>6.9788811264000009E-2</v>
      </c>
      <c r="H9" s="88" t="s">
        <v>140</v>
      </c>
    </row>
    <row r="10" spans="2:10" ht="16.5" x14ac:dyDescent="0.45">
      <c r="B10" s="19" t="s">
        <v>79</v>
      </c>
      <c r="C10" s="20">
        <f>'6'!C13</f>
        <v>324.64285714285722</v>
      </c>
      <c r="D10" s="64" t="s">
        <v>40</v>
      </c>
      <c r="F10" s="70" t="s">
        <v>137</v>
      </c>
      <c r="G10" s="71">
        <v>0.432</v>
      </c>
      <c r="H10" s="88" t="s">
        <v>140</v>
      </c>
      <c r="I10" s="69"/>
    </row>
    <row r="11" spans="2:10" ht="30" customHeight="1" x14ac:dyDescent="0.35">
      <c r="F11" s="72" t="s">
        <v>139</v>
      </c>
      <c r="G11" s="40">
        <v>0.3</v>
      </c>
      <c r="H11" s="88" t="s">
        <v>128</v>
      </c>
      <c r="I11" s="69"/>
    </row>
    <row r="12" spans="2:10" ht="30" customHeight="1" x14ac:dyDescent="0.35">
      <c r="F12" s="72" t="s">
        <v>138</v>
      </c>
      <c r="G12" s="19">
        <v>0.15</v>
      </c>
      <c r="H12" s="88" t="s">
        <v>128</v>
      </c>
    </row>
    <row r="13" spans="2:10" x14ac:dyDescent="0.35">
      <c r="F13" s="22"/>
      <c r="G13" s="22"/>
      <c r="H13" s="22"/>
      <c r="I13" s="22"/>
      <c r="J13" s="22"/>
    </row>
    <row r="14" spans="2:10" ht="18.5" x14ac:dyDescent="0.35">
      <c r="B14" s="85" t="s">
        <v>108</v>
      </c>
      <c r="C14" s="85"/>
      <c r="D14" s="85"/>
      <c r="E14" s="85"/>
      <c r="F14" s="85"/>
      <c r="G14" s="85"/>
      <c r="H14" s="85"/>
      <c r="I14" s="85"/>
      <c r="J14" s="85"/>
    </row>
    <row r="16" spans="2:10" x14ac:dyDescent="0.35">
      <c r="F16" s="44" t="s">
        <v>107</v>
      </c>
      <c r="G16" s="44">
        <v>2030</v>
      </c>
      <c r="H16" s="22"/>
      <c r="I16" s="22"/>
      <c r="J16" s="22"/>
    </row>
    <row r="17" spans="2:10" x14ac:dyDescent="0.35">
      <c r="F17" s="19" t="s">
        <v>106</v>
      </c>
      <c r="G17" s="59">
        <f>G5*3600*G6/8/1000*10^-9*10^6</f>
        <v>3087.9</v>
      </c>
    </row>
    <row r="19" spans="2:10" ht="16.5" x14ac:dyDescent="0.35">
      <c r="F19" s="44" t="s">
        <v>118</v>
      </c>
      <c r="G19" s="44" t="s">
        <v>119</v>
      </c>
      <c r="H19" s="44" t="s">
        <v>120</v>
      </c>
      <c r="I19" s="44" t="s">
        <v>121</v>
      </c>
      <c r="J19" s="44" t="s">
        <v>122</v>
      </c>
    </row>
    <row r="20" spans="2:10" x14ac:dyDescent="0.35">
      <c r="F20" s="66" t="s">
        <v>116</v>
      </c>
      <c r="G20" s="59">
        <f>0.27*G17</f>
        <v>833.73300000000006</v>
      </c>
      <c r="H20" s="61">
        <f>G20*G7</f>
        <v>5.4965360172117261</v>
      </c>
      <c r="I20" s="61">
        <f>$G$12*H20</f>
        <v>0.82448040258175892</v>
      </c>
      <c r="J20" s="61">
        <f>$G$11*I20</f>
        <v>0.24734412077452766</v>
      </c>
    </row>
    <row r="21" spans="2:10" x14ac:dyDescent="0.35">
      <c r="F21" s="66" t="s">
        <v>117</v>
      </c>
      <c r="G21" s="59">
        <f>0.53*G17</f>
        <v>1636.5870000000002</v>
      </c>
      <c r="H21" s="61">
        <f>G21*G8</f>
        <v>10.789496626378574</v>
      </c>
      <c r="I21" s="61">
        <f>$G$12*H21</f>
        <v>1.618424493956786</v>
      </c>
      <c r="J21" s="61">
        <f>$G$11*I21</f>
        <v>0.4855273481870358</v>
      </c>
    </row>
    <row r="22" spans="2:10" x14ac:dyDescent="0.35">
      <c r="F22" s="66" t="s">
        <v>2</v>
      </c>
      <c r="G22" s="59">
        <f>0.2*G17</f>
        <v>617.58000000000004</v>
      </c>
      <c r="H22" s="61">
        <f>G22*G9</f>
        <v>43.100174060421125</v>
      </c>
      <c r="I22" s="61">
        <f>$G$12*H22</f>
        <v>6.4650261090631682</v>
      </c>
      <c r="J22" s="61">
        <f>$G$11*I22</f>
        <v>1.9395078327189503</v>
      </c>
    </row>
    <row r="23" spans="2:10" x14ac:dyDescent="0.35">
      <c r="F23" s="44" t="s">
        <v>4</v>
      </c>
      <c r="G23" s="20">
        <f>SUM(G20:G22)</f>
        <v>3087.9</v>
      </c>
      <c r="H23" s="67">
        <f>SUM(H20:H22)</f>
        <v>59.386206704011428</v>
      </c>
      <c r="I23" s="67">
        <f t="shared" ref="I23:J23" si="0">SUM(I20:I22)</f>
        <v>8.9079310056017142</v>
      </c>
      <c r="J23" s="67">
        <f t="shared" si="0"/>
        <v>2.6723793016805137</v>
      </c>
    </row>
    <row r="25" spans="2:10" x14ac:dyDescent="0.35">
      <c r="B25" s="44" t="s">
        <v>3</v>
      </c>
      <c r="C25" s="44">
        <v>2030</v>
      </c>
      <c r="F25" s="44" t="s">
        <v>118</v>
      </c>
      <c r="G25" s="44">
        <v>2030</v>
      </c>
    </row>
    <row r="26" spans="2:10" x14ac:dyDescent="0.35">
      <c r="B26" s="19" t="s">
        <v>123</v>
      </c>
      <c r="C26" s="40">
        <f>C7*10^6*C10*10^-9</f>
        <v>92.691144281389327</v>
      </c>
      <c r="F26" s="19" t="s">
        <v>123</v>
      </c>
      <c r="G26" s="40">
        <f>I23</f>
        <v>8.9079310056017142</v>
      </c>
    </row>
    <row r="27" spans="2:10" ht="16.5" x14ac:dyDescent="0.45">
      <c r="B27" s="19" t="s">
        <v>124</v>
      </c>
      <c r="C27" s="40">
        <f>C7*10^6*C8*10^-9</f>
        <v>25.696554850286145</v>
      </c>
      <c r="F27" s="19" t="s">
        <v>124</v>
      </c>
      <c r="G27" s="40">
        <f>J23</f>
        <v>2.6723793016805137</v>
      </c>
    </row>
    <row r="28" spans="2:10" x14ac:dyDescent="0.35">
      <c r="B28" s="19" t="s">
        <v>125</v>
      </c>
      <c r="C28" s="40">
        <f>C5*10^6*C9*10^-9</f>
        <v>1.0220000000000002</v>
      </c>
      <c r="F28" s="19" t="s">
        <v>125</v>
      </c>
      <c r="G28" s="40">
        <f>H23</f>
        <v>59.386206704011428</v>
      </c>
    </row>
    <row r="29" spans="2:10" s="22" customFormat="1" ht="16.5" x14ac:dyDescent="0.45">
      <c r="B29" s="60" t="s">
        <v>126</v>
      </c>
      <c r="C29" s="40">
        <f>C28*G10</f>
        <v>0.44150400000000012</v>
      </c>
      <c r="F29" s="60" t="s">
        <v>126</v>
      </c>
      <c r="G29" s="40">
        <f>G28*G10</f>
        <v>25.654841296132936</v>
      </c>
      <c r="H29"/>
      <c r="I29"/>
      <c r="J29"/>
    </row>
    <row r="30" spans="2:10" s="22" customFormat="1" ht="13.5" x14ac:dyDescent="0.3"/>
  </sheetData>
  <mergeCells count="2">
    <mergeCell ref="B14:J14"/>
    <mergeCell ref="B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8A7A-61F0-4E1C-A882-F3E31D1931C3}">
  <dimension ref="B2:B11"/>
  <sheetViews>
    <sheetView zoomScale="70" zoomScaleNormal="70" workbookViewId="0">
      <selection activeCell="B2" sqref="B2"/>
    </sheetView>
  </sheetViews>
  <sheetFormatPr baseColWidth="10" defaultRowHeight="14.5" x14ac:dyDescent="0.35"/>
  <cols>
    <col min="2" max="2" width="38.54296875" customWidth="1"/>
  </cols>
  <sheetData>
    <row r="2" spans="2:2" x14ac:dyDescent="0.35">
      <c r="B2" s="45" t="s">
        <v>55</v>
      </c>
    </row>
    <row r="3" spans="2:2" x14ac:dyDescent="0.35">
      <c r="B3" s="46" t="s">
        <v>72</v>
      </c>
    </row>
    <row r="4" spans="2:2" x14ac:dyDescent="0.35">
      <c r="B4" s="47">
        <v>400</v>
      </c>
    </row>
    <row r="6" spans="2:2" x14ac:dyDescent="0.35">
      <c r="B6" s="1" t="s">
        <v>73</v>
      </c>
    </row>
    <row r="7" spans="2:2" x14ac:dyDescent="0.35">
      <c r="B7" s="16" t="s">
        <v>102</v>
      </c>
    </row>
    <row r="8" spans="2:2" x14ac:dyDescent="0.35">
      <c r="B8" s="16" t="s">
        <v>103</v>
      </c>
    </row>
    <row r="9" spans="2:2" x14ac:dyDescent="0.35">
      <c r="B9" s="16"/>
    </row>
    <row r="10" spans="2:2" x14ac:dyDescent="0.35">
      <c r="B10" s="16" t="s">
        <v>104</v>
      </c>
    </row>
    <row r="11" spans="2:2" x14ac:dyDescent="0.35">
      <c r="B11" s="16"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3C48-EA64-4C90-85FA-B89121013A68}">
  <dimension ref="B2:M46"/>
  <sheetViews>
    <sheetView zoomScale="70" zoomScaleNormal="70" workbookViewId="0">
      <selection activeCell="B2" sqref="B2"/>
    </sheetView>
  </sheetViews>
  <sheetFormatPr baseColWidth="10" defaultRowHeight="14.5" x14ac:dyDescent="0.35"/>
  <cols>
    <col min="2" max="2" width="19.1796875" customWidth="1"/>
  </cols>
  <sheetData>
    <row r="2" spans="2:12" x14ac:dyDescent="0.35">
      <c r="B2" s="45" t="s">
        <v>55</v>
      </c>
    </row>
    <row r="3" spans="2:12" x14ac:dyDescent="0.35">
      <c r="B3" s="46" t="s">
        <v>74</v>
      </c>
    </row>
    <row r="4" spans="2:12" x14ac:dyDescent="0.35">
      <c r="B4" s="47">
        <v>2</v>
      </c>
    </row>
    <row r="5" spans="2:12" x14ac:dyDescent="0.35">
      <c r="B5" s="48"/>
    </row>
    <row r="6" spans="2:12" x14ac:dyDescent="0.35">
      <c r="B6" t="s">
        <v>101</v>
      </c>
    </row>
    <row r="7" spans="2:12" x14ac:dyDescent="0.35">
      <c r="B7" t="s">
        <v>97</v>
      </c>
    </row>
    <row r="8" spans="2:12" x14ac:dyDescent="0.35">
      <c r="B8" t="s">
        <v>98</v>
      </c>
    </row>
    <row r="9" spans="2:12" x14ac:dyDescent="0.35">
      <c r="B9" t="s">
        <v>99</v>
      </c>
    </row>
    <row r="10" spans="2:12" x14ac:dyDescent="0.35">
      <c r="B10" t="s">
        <v>100</v>
      </c>
    </row>
    <row r="11" spans="2:12" x14ac:dyDescent="0.35">
      <c r="B11" s="48"/>
      <c r="L11" s="33"/>
    </row>
    <row r="12" spans="2:12" x14ac:dyDescent="0.35">
      <c r="B12" s="48"/>
      <c r="L12" s="49"/>
    </row>
    <row r="13" spans="2:12" x14ac:dyDescent="0.35">
      <c r="B13" s="48"/>
      <c r="L13" s="50"/>
    </row>
    <row r="14" spans="2:12" x14ac:dyDescent="0.35">
      <c r="B14" s="48"/>
      <c r="L14" s="51"/>
    </row>
    <row r="15" spans="2:12" x14ac:dyDescent="0.35">
      <c r="B15" s="48"/>
      <c r="L15" s="51"/>
    </row>
    <row r="16" spans="2:12" x14ac:dyDescent="0.35">
      <c r="B16" s="48"/>
    </row>
    <row r="17" spans="2:2" x14ac:dyDescent="0.35">
      <c r="B17" s="48"/>
    </row>
    <row r="18" spans="2:2" x14ac:dyDescent="0.35">
      <c r="B18" s="48"/>
    </row>
    <row r="19" spans="2:2" x14ac:dyDescent="0.35">
      <c r="B19" s="48"/>
    </row>
    <row r="20" spans="2:2" x14ac:dyDescent="0.35">
      <c r="B20" s="48"/>
    </row>
    <row r="21" spans="2:2" x14ac:dyDescent="0.35">
      <c r="B21" s="48"/>
    </row>
    <row r="22" spans="2:2" x14ac:dyDescent="0.35">
      <c r="B22" s="48"/>
    </row>
    <row r="23" spans="2:2" x14ac:dyDescent="0.35">
      <c r="B23" s="48"/>
    </row>
    <row r="24" spans="2:2" x14ac:dyDescent="0.35">
      <c r="B24" s="48"/>
    </row>
    <row r="25" spans="2:2" x14ac:dyDescent="0.35">
      <c r="B25" s="48"/>
    </row>
    <row r="26" spans="2:2" x14ac:dyDescent="0.35">
      <c r="B26" s="48"/>
    </row>
    <row r="27" spans="2:2" x14ac:dyDescent="0.35">
      <c r="B27" s="48"/>
    </row>
    <row r="28" spans="2:2" x14ac:dyDescent="0.35">
      <c r="B28" s="48"/>
    </row>
    <row r="29" spans="2:2" x14ac:dyDescent="0.35">
      <c r="B29" s="48"/>
    </row>
    <row r="30" spans="2:2" x14ac:dyDescent="0.35">
      <c r="B30" s="48"/>
    </row>
    <row r="31" spans="2:2" x14ac:dyDescent="0.35">
      <c r="B31" s="48"/>
    </row>
    <row r="32" spans="2:2" x14ac:dyDescent="0.35">
      <c r="B32" s="48"/>
    </row>
    <row r="33" spans="2:13" x14ac:dyDescent="0.35">
      <c r="B33" s="48"/>
    </row>
    <row r="34" spans="2:13" x14ac:dyDescent="0.35">
      <c r="B34" s="48"/>
    </row>
    <row r="35" spans="2:13" x14ac:dyDescent="0.35">
      <c r="B35" s="21" t="s">
        <v>23</v>
      </c>
      <c r="C35" s="21" t="s">
        <v>24</v>
      </c>
      <c r="D35" s="21" t="s">
        <v>25</v>
      </c>
      <c r="E35" s="21" t="s">
        <v>26</v>
      </c>
      <c r="F35" s="21" t="s">
        <v>27</v>
      </c>
      <c r="G35" s="21" t="s">
        <v>28</v>
      </c>
      <c r="H35" s="21" t="s">
        <v>23</v>
      </c>
      <c r="I35" s="21" t="s">
        <v>24</v>
      </c>
      <c r="J35" s="21" t="s">
        <v>25</v>
      </c>
      <c r="K35" s="21" t="s">
        <v>26</v>
      </c>
      <c r="L35" s="21" t="s">
        <v>27</v>
      </c>
      <c r="M35" s="21" t="s">
        <v>28</v>
      </c>
    </row>
    <row r="36" spans="2:13" x14ac:dyDescent="0.35">
      <c r="B36" s="52">
        <v>2016</v>
      </c>
      <c r="C36" s="52">
        <v>2019</v>
      </c>
      <c r="D36" s="52">
        <v>2016</v>
      </c>
      <c r="E36" s="52">
        <v>2016</v>
      </c>
      <c r="F36" s="52">
        <v>2015</v>
      </c>
      <c r="G36" s="52">
        <v>2019</v>
      </c>
      <c r="H36">
        <f t="shared" ref="H36:M44" si="0">SUM(B37-B36)</f>
        <v>2</v>
      </c>
      <c r="I36">
        <f t="shared" si="0"/>
        <v>1</v>
      </c>
      <c r="J36">
        <f t="shared" si="0"/>
        <v>2</v>
      </c>
      <c r="K36">
        <f t="shared" si="0"/>
        <v>1</v>
      </c>
      <c r="L36">
        <f t="shared" si="0"/>
        <v>1</v>
      </c>
      <c r="M36">
        <f t="shared" si="0"/>
        <v>2</v>
      </c>
    </row>
    <row r="37" spans="2:13" x14ac:dyDescent="0.35">
      <c r="B37" s="52">
        <v>2018</v>
      </c>
      <c r="C37" s="52">
        <v>2020</v>
      </c>
      <c r="D37" s="52">
        <v>2018</v>
      </c>
      <c r="E37" s="52">
        <v>2017</v>
      </c>
      <c r="F37" s="52">
        <v>2016</v>
      </c>
      <c r="G37" s="52">
        <v>2021</v>
      </c>
      <c r="H37">
        <f>SUM(B38-B37)</f>
        <v>0</v>
      </c>
      <c r="J37">
        <f t="shared" si="0"/>
        <v>1</v>
      </c>
      <c r="K37">
        <f t="shared" si="0"/>
        <v>2</v>
      </c>
      <c r="L37">
        <f t="shared" si="0"/>
        <v>1</v>
      </c>
      <c r="M37">
        <f>SUM(G38-G37)</f>
        <v>0</v>
      </c>
    </row>
    <row r="38" spans="2:13" x14ac:dyDescent="0.35">
      <c r="B38" s="52">
        <v>2018</v>
      </c>
      <c r="C38" s="52"/>
      <c r="D38" s="52">
        <v>2019</v>
      </c>
      <c r="E38" s="52">
        <v>2019</v>
      </c>
      <c r="F38" s="52">
        <v>2017</v>
      </c>
      <c r="G38" s="52">
        <v>2021</v>
      </c>
      <c r="H38">
        <f>SUM(B39-B38)</f>
        <v>1</v>
      </c>
      <c r="J38">
        <f t="shared" si="0"/>
        <v>0</v>
      </c>
      <c r="K38">
        <f t="shared" si="0"/>
        <v>2</v>
      </c>
      <c r="L38">
        <f t="shared" si="0"/>
        <v>1</v>
      </c>
    </row>
    <row r="39" spans="2:13" x14ac:dyDescent="0.35">
      <c r="B39" s="52">
        <v>2019</v>
      </c>
      <c r="D39" s="52">
        <v>2019</v>
      </c>
      <c r="E39" s="52">
        <v>2021</v>
      </c>
      <c r="F39" s="52">
        <v>2018</v>
      </c>
      <c r="G39" s="52"/>
      <c r="H39">
        <f>SUM(B40-B39)</f>
        <v>2</v>
      </c>
      <c r="J39">
        <f t="shared" si="0"/>
        <v>0</v>
      </c>
      <c r="K39">
        <f t="shared" si="0"/>
        <v>1</v>
      </c>
    </row>
    <row r="40" spans="2:13" x14ac:dyDescent="0.35">
      <c r="B40" s="52">
        <v>2021</v>
      </c>
      <c r="C40" s="52"/>
      <c r="D40" s="52">
        <v>2019</v>
      </c>
      <c r="E40" s="52">
        <v>2022</v>
      </c>
      <c r="F40" s="52"/>
      <c r="G40" s="52"/>
      <c r="H40">
        <f>SUM(B41-B40)</f>
        <v>0</v>
      </c>
      <c r="J40">
        <f t="shared" si="0"/>
        <v>0</v>
      </c>
    </row>
    <row r="41" spans="2:13" x14ac:dyDescent="0.35">
      <c r="B41" s="52">
        <v>2021</v>
      </c>
      <c r="C41" s="52"/>
      <c r="D41" s="52">
        <v>2019</v>
      </c>
      <c r="E41" s="52"/>
      <c r="F41" s="52"/>
      <c r="G41" s="52"/>
      <c r="H41">
        <f>SUM(B42-B41)</f>
        <v>1</v>
      </c>
      <c r="J41">
        <f t="shared" si="0"/>
        <v>1</v>
      </c>
    </row>
    <row r="42" spans="2:13" x14ac:dyDescent="0.35">
      <c r="B42" s="52">
        <v>2022</v>
      </c>
      <c r="C42" s="52"/>
      <c r="D42" s="52">
        <v>2020</v>
      </c>
      <c r="E42" s="52"/>
      <c r="F42" s="52"/>
      <c r="G42" s="52"/>
      <c r="J42">
        <f t="shared" si="0"/>
        <v>0</v>
      </c>
    </row>
    <row r="43" spans="2:13" x14ac:dyDescent="0.35">
      <c r="B43" s="52"/>
      <c r="C43" s="52"/>
      <c r="D43" s="52">
        <v>2020</v>
      </c>
      <c r="E43" s="52"/>
      <c r="F43" s="52"/>
      <c r="G43" s="52"/>
      <c r="J43">
        <f t="shared" si="0"/>
        <v>2</v>
      </c>
    </row>
    <row r="44" spans="2:13" x14ac:dyDescent="0.35">
      <c r="B44" s="52"/>
      <c r="C44" s="52"/>
      <c r="D44" s="52">
        <v>2022</v>
      </c>
      <c r="E44" s="52"/>
      <c r="F44" s="52"/>
      <c r="G44" s="52"/>
      <c r="J44">
        <f t="shared" si="0"/>
        <v>1</v>
      </c>
    </row>
    <row r="45" spans="2:13" x14ac:dyDescent="0.35">
      <c r="B45" s="52"/>
      <c r="C45" s="52"/>
      <c r="D45" s="52">
        <v>2023</v>
      </c>
      <c r="E45" s="52"/>
      <c r="F45" s="52"/>
      <c r="G45" s="52"/>
    </row>
    <row r="46" spans="2:13" x14ac:dyDescent="0.35">
      <c r="G46" s="53">
        <f>AVERAGE(H36:M44)</f>
        <v>1</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9B85-0C74-477D-BDDD-4C2E5381A582}">
  <dimension ref="B2:M34"/>
  <sheetViews>
    <sheetView zoomScale="70" zoomScaleNormal="70" workbookViewId="0">
      <selection activeCell="B2" sqref="B2"/>
    </sheetView>
  </sheetViews>
  <sheetFormatPr baseColWidth="10" defaultRowHeight="14.5" x14ac:dyDescent="0.35"/>
  <cols>
    <col min="1" max="1" width="4.7265625" customWidth="1"/>
    <col min="2" max="2" width="36.81640625" customWidth="1"/>
    <col min="3" max="3" width="11.26953125" customWidth="1"/>
    <col min="4" max="4" width="17.26953125" customWidth="1"/>
    <col min="5" max="10" width="12.54296875" customWidth="1"/>
    <col min="11" max="11" width="14.1796875" bestFit="1" customWidth="1"/>
    <col min="12" max="12" width="18.1796875" customWidth="1"/>
  </cols>
  <sheetData>
    <row r="2" spans="2:13" x14ac:dyDescent="0.35">
      <c r="B2" s="45" t="s">
        <v>55</v>
      </c>
    </row>
    <row r="3" spans="2:13" x14ac:dyDescent="0.35">
      <c r="B3" s="46" t="s">
        <v>75</v>
      </c>
    </row>
    <row r="4" spans="2:13" x14ac:dyDescent="0.35">
      <c r="B4" s="74">
        <f>J13</f>
        <v>285.5172761142905</v>
      </c>
    </row>
    <row r="5" spans="2:13" x14ac:dyDescent="0.35">
      <c r="B5" s="63"/>
    </row>
    <row r="6" spans="2:13" x14ac:dyDescent="0.35">
      <c r="B6" s="1" t="s">
        <v>92</v>
      </c>
      <c r="K6" s="5"/>
    </row>
    <row r="7" spans="2:13" x14ac:dyDescent="0.35">
      <c r="B7" t="s">
        <v>93</v>
      </c>
      <c r="K7" s="5"/>
    </row>
    <row r="8" spans="2:13" x14ac:dyDescent="0.35">
      <c r="B8" s="17"/>
    </row>
    <row r="9" spans="2:13" ht="30" customHeight="1" x14ac:dyDescent="0.35">
      <c r="B9" s="9" t="s">
        <v>94</v>
      </c>
      <c r="C9" s="10">
        <f>'1'!B4</f>
        <v>400</v>
      </c>
    </row>
    <row r="10" spans="2:13" x14ac:dyDescent="0.35">
      <c r="B10" s="2"/>
      <c r="C10" s="3"/>
      <c r="D10" s="3"/>
      <c r="E10" s="4"/>
      <c r="F10" s="4"/>
      <c r="L10" s="4"/>
    </row>
    <row r="11" spans="2:13" x14ac:dyDescent="0.35">
      <c r="B11" s="5"/>
      <c r="C11" s="6">
        <v>2023</v>
      </c>
      <c r="D11" s="6">
        <v>2024</v>
      </c>
      <c r="E11" s="6">
        <v>2025</v>
      </c>
      <c r="F11" s="6">
        <v>2026</v>
      </c>
      <c r="G11" s="6">
        <v>2027</v>
      </c>
      <c r="H11" s="6">
        <v>2028</v>
      </c>
      <c r="I11" s="6">
        <v>2029</v>
      </c>
      <c r="J11" s="6">
        <v>2030</v>
      </c>
      <c r="K11" s="18"/>
      <c r="L11" s="43" t="s">
        <v>0</v>
      </c>
    </row>
    <row r="12" spans="2:13" ht="29" x14ac:dyDescent="0.35">
      <c r="B12" s="9" t="s">
        <v>96</v>
      </c>
      <c r="C12" s="11">
        <v>242</v>
      </c>
      <c r="D12" s="11">
        <f>C12*(1+$L$12)</f>
        <v>260.01186692855651</v>
      </c>
      <c r="E12" s="11">
        <f t="shared" ref="E12:I12" si="0">D12*(1+$L$12)</f>
        <v>279.36434274245198</v>
      </c>
      <c r="F12" s="11">
        <f t="shared" si="0"/>
        <v>300.15720789146309</v>
      </c>
      <c r="G12" s="11">
        <f t="shared" si="0"/>
        <v>322.49766940463707</v>
      </c>
      <c r="H12" s="11">
        <f t="shared" si="0"/>
        <v>346.50091364466158</v>
      </c>
      <c r="I12" s="11">
        <f t="shared" si="0"/>
        <v>372.29070020330164</v>
      </c>
      <c r="J12" s="11">
        <f>C9</f>
        <v>400</v>
      </c>
      <c r="L12" s="75">
        <f>(400/242)^(1/7)-1</f>
        <v>7.4429202184117749E-2</v>
      </c>
    </row>
    <row r="13" spans="2:13" ht="29" x14ac:dyDescent="0.35">
      <c r="B13" s="9" t="s">
        <v>95</v>
      </c>
      <c r="C13" s="11">
        <v>47</v>
      </c>
      <c r="D13" s="11">
        <f>D12-C13</f>
        <v>213.01186692855651</v>
      </c>
      <c r="E13" s="11">
        <f>E12-D13</f>
        <v>66.352475813895467</v>
      </c>
      <c r="F13" s="11">
        <f t="shared" ref="F13:J13" si="1">F12-E13</f>
        <v>233.80473207756762</v>
      </c>
      <c r="G13" s="11">
        <f t="shared" si="1"/>
        <v>88.692937327069444</v>
      </c>
      <c r="H13" s="11">
        <f t="shared" si="1"/>
        <v>257.80797631759214</v>
      </c>
      <c r="I13" s="11">
        <f t="shared" si="1"/>
        <v>114.4827238857095</v>
      </c>
      <c r="J13" s="11">
        <f t="shared" si="1"/>
        <v>285.5172761142905</v>
      </c>
      <c r="K13" s="58"/>
      <c r="L13" s="4"/>
    </row>
    <row r="15" spans="2:13" x14ac:dyDescent="0.35">
      <c r="M15" s="18"/>
    </row>
    <row r="16" spans="2:13" x14ac:dyDescent="0.35">
      <c r="K16" s="5"/>
    </row>
    <row r="20" spans="11:13" x14ac:dyDescent="0.35">
      <c r="K20" s="7"/>
    </row>
    <row r="26" spans="11:13" x14ac:dyDescent="0.35">
      <c r="K26" s="18"/>
    </row>
    <row r="27" spans="11:13" x14ac:dyDescent="0.35">
      <c r="K27" s="18"/>
    </row>
    <row r="30" spans="11:13" x14ac:dyDescent="0.35">
      <c r="M30" s="18"/>
    </row>
    <row r="32" spans="11:13" x14ac:dyDescent="0.35">
      <c r="K32" s="15"/>
    </row>
    <row r="34" spans="11:11" x14ac:dyDescent="0.35">
      <c r="K3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C3869-D33F-41AC-B7D9-DB211BEB1A52}">
  <dimension ref="B2:E20"/>
  <sheetViews>
    <sheetView zoomScale="70" zoomScaleNormal="70" workbookViewId="0">
      <selection activeCell="B2" sqref="B2"/>
    </sheetView>
  </sheetViews>
  <sheetFormatPr baseColWidth="10" defaultRowHeight="14.5" x14ac:dyDescent="0.35"/>
  <cols>
    <col min="1" max="1" width="8.54296875" customWidth="1"/>
    <col min="2" max="2" width="46.1796875" customWidth="1"/>
    <col min="5" max="5" width="41.81640625" customWidth="1"/>
  </cols>
  <sheetData>
    <row r="2" spans="2:5" x14ac:dyDescent="0.35">
      <c r="B2" s="45" t="s">
        <v>55</v>
      </c>
      <c r="E2" s="13"/>
    </row>
    <row r="3" spans="2:5" x14ac:dyDescent="0.35">
      <c r="B3" s="46" t="s">
        <v>76</v>
      </c>
    </row>
    <row r="4" spans="2:5" x14ac:dyDescent="0.35">
      <c r="B4" s="76">
        <v>90</v>
      </c>
    </row>
    <row r="5" spans="2:5" x14ac:dyDescent="0.35">
      <c r="B5" s="58"/>
    </row>
    <row r="6" spans="2:5" x14ac:dyDescent="0.35">
      <c r="B6" t="s">
        <v>1</v>
      </c>
    </row>
    <row r="7" spans="2:5" x14ac:dyDescent="0.35">
      <c r="B7" t="s">
        <v>88</v>
      </c>
    </row>
    <row r="8" spans="2:5" x14ac:dyDescent="0.35">
      <c r="B8" t="s">
        <v>89</v>
      </c>
    </row>
    <row r="10" spans="2:5" x14ac:dyDescent="0.35">
      <c r="B10" t="s">
        <v>90</v>
      </c>
    </row>
    <row r="11" spans="2:5" x14ac:dyDescent="0.35">
      <c r="B11" t="s">
        <v>91</v>
      </c>
    </row>
    <row r="20" spans="2:2" x14ac:dyDescent="0.35">
      <c r="B20" s="1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65D67-BBD9-4764-A027-1751E47E7A8C}">
  <dimension ref="B2:C13"/>
  <sheetViews>
    <sheetView zoomScale="70" zoomScaleNormal="70" workbookViewId="0">
      <selection activeCell="B2" sqref="B2"/>
    </sheetView>
  </sheetViews>
  <sheetFormatPr baseColWidth="10" defaultRowHeight="14.5" x14ac:dyDescent="0.35"/>
  <cols>
    <col min="1" max="1" width="8.54296875" customWidth="1"/>
    <col min="2" max="2" width="45.7265625" customWidth="1"/>
    <col min="3" max="3" width="15.54296875" customWidth="1"/>
  </cols>
  <sheetData>
    <row r="2" spans="2:3" x14ac:dyDescent="0.35">
      <c r="B2" s="45" t="s">
        <v>55</v>
      </c>
    </row>
    <row r="3" spans="2:3" x14ac:dyDescent="0.35">
      <c r="B3" s="46" t="s">
        <v>71</v>
      </c>
    </row>
    <row r="4" spans="2:3" x14ac:dyDescent="0.35">
      <c r="B4" s="76">
        <f>C13</f>
        <v>2.5550000000000002</v>
      </c>
    </row>
    <row r="5" spans="2:3" x14ac:dyDescent="0.35">
      <c r="B5" s="58"/>
      <c r="C5" s="57"/>
    </row>
    <row r="6" spans="2:3" x14ac:dyDescent="0.35">
      <c r="B6" s="1" t="s">
        <v>65</v>
      </c>
    </row>
    <row r="7" spans="2:3" x14ac:dyDescent="0.35">
      <c r="B7" t="s">
        <v>86</v>
      </c>
    </row>
    <row r="8" spans="2:3" x14ac:dyDescent="0.35">
      <c r="B8" t="s">
        <v>87</v>
      </c>
    </row>
    <row r="10" spans="2:3" ht="15" customHeight="1" x14ac:dyDescent="0.35">
      <c r="B10" s="9" t="s">
        <v>82</v>
      </c>
      <c r="C10" s="10">
        <v>14</v>
      </c>
    </row>
    <row r="11" spans="2:3" x14ac:dyDescent="0.35">
      <c r="B11" s="8" t="s">
        <v>83</v>
      </c>
      <c r="C11" s="10">
        <v>2</v>
      </c>
    </row>
    <row r="12" spans="2:3" x14ac:dyDescent="0.35">
      <c r="B12" s="9" t="s">
        <v>84</v>
      </c>
      <c r="C12" s="10">
        <f>C10/C11</f>
        <v>7</v>
      </c>
    </row>
    <row r="13" spans="2:3" x14ac:dyDescent="0.35">
      <c r="B13" s="8" t="s">
        <v>85</v>
      </c>
      <c r="C13" s="10">
        <f>C12*365*10^-3</f>
        <v>2.5550000000000002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A0905-AD59-486A-9C60-DBCAAB929DC0}">
  <dimension ref="B2:C13"/>
  <sheetViews>
    <sheetView zoomScale="70" zoomScaleNormal="70" workbookViewId="0">
      <selection activeCell="B2" sqref="B2"/>
    </sheetView>
  </sheetViews>
  <sheetFormatPr baseColWidth="10" defaultRowHeight="14.5" x14ac:dyDescent="0.35"/>
  <cols>
    <col min="2" max="2" width="44.08984375" customWidth="1"/>
  </cols>
  <sheetData>
    <row r="2" spans="2:3" x14ac:dyDescent="0.35">
      <c r="B2" s="45" t="s">
        <v>55</v>
      </c>
    </row>
    <row r="3" spans="2:3" x14ac:dyDescent="0.35">
      <c r="B3" s="46" t="s">
        <v>79</v>
      </c>
    </row>
    <row r="4" spans="2:3" x14ac:dyDescent="0.35">
      <c r="B4" s="77">
        <f>C13</f>
        <v>324.64285714285722</v>
      </c>
    </row>
    <row r="6" spans="2:3" x14ac:dyDescent="0.35">
      <c r="B6" s="1" t="s">
        <v>65</v>
      </c>
    </row>
    <row r="7" spans="2:3" x14ac:dyDescent="0.35">
      <c r="B7" t="s">
        <v>77</v>
      </c>
    </row>
    <row r="8" spans="2:3" x14ac:dyDescent="0.35">
      <c r="B8" t="s">
        <v>78</v>
      </c>
    </row>
    <row r="10" spans="2:3" x14ac:dyDescent="0.35">
      <c r="B10" s="19" t="s">
        <v>81</v>
      </c>
      <c r="C10" s="19">
        <v>56</v>
      </c>
    </row>
    <row r="11" spans="2:3" x14ac:dyDescent="0.35">
      <c r="B11" s="19" t="s">
        <v>79</v>
      </c>
      <c r="C11" s="19">
        <v>202</v>
      </c>
    </row>
    <row r="12" spans="2:3" x14ac:dyDescent="0.35">
      <c r="B12" s="19" t="s">
        <v>80</v>
      </c>
      <c r="C12" s="61">
        <f>('4'!B4/C10)^(1/7)-1</f>
        <v>7.0129545141097038E-2</v>
      </c>
    </row>
    <row r="13" spans="2:3" x14ac:dyDescent="0.35">
      <c r="B13" s="19" t="s">
        <v>79</v>
      </c>
      <c r="C13" s="61">
        <f>C11*(1+C12)^7</f>
        <v>324.64285714285722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DDE1C-CDF5-4DC3-83C1-72197C43440D}">
  <dimension ref="B2:D12"/>
  <sheetViews>
    <sheetView zoomScale="70" zoomScaleNormal="70" workbookViewId="0">
      <selection activeCell="B2" sqref="B2"/>
    </sheetView>
  </sheetViews>
  <sheetFormatPr baseColWidth="10" defaultRowHeight="14.5" x14ac:dyDescent="0.35"/>
  <cols>
    <col min="2" max="2" width="23.36328125" customWidth="1"/>
    <col min="3" max="3" width="19.54296875" customWidth="1"/>
    <col min="4" max="4" width="29.26953125" customWidth="1"/>
    <col min="5" max="5" width="14.08984375" bestFit="1" customWidth="1"/>
    <col min="7" max="7" width="17.36328125" customWidth="1"/>
  </cols>
  <sheetData>
    <row r="2" spans="2:4" x14ac:dyDescent="0.35">
      <c r="B2" s="45" t="s">
        <v>56</v>
      </c>
      <c r="D2" s="45" t="s">
        <v>56</v>
      </c>
    </row>
    <row r="3" spans="2:4" x14ac:dyDescent="0.35">
      <c r="B3" s="46" t="s">
        <v>63</v>
      </c>
      <c r="D3" s="46" t="s">
        <v>64</v>
      </c>
    </row>
    <row r="4" spans="2:4" x14ac:dyDescent="0.35">
      <c r="B4" s="78">
        <f>50-3</f>
        <v>47</v>
      </c>
      <c r="D4" s="78">
        <v>365</v>
      </c>
    </row>
    <row r="6" spans="2:4" x14ac:dyDescent="0.35">
      <c r="B6" s="1" t="s">
        <v>65</v>
      </c>
    </row>
    <row r="7" spans="2:4" x14ac:dyDescent="0.35">
      <c r="B7" t="s">
        <v>66</v>
      </c>
    </row>
    <row r="8" spans="2:4" x14ac:dyDescent="0.35">
      <c r="B8" t="s">
        <v>67</v>
      </c>
    </row>
    <row r="10" spans="2:4" x14ac:dyDescent="0.35">
      <c r="B10" t="s">
        <v>68</v>
      </c>
    </row>
    <row r="11" spans="2:4" x14ac:dyDescent="0.35">
      <c r="B11" t="s">
        <v>69</v>
      </c>
    </row>
    <row r="12" spans="2:4" x14ac:dyDescent="0.35">
      <c r="B12" t="s">
        <v>70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Resume scenario</vt:lpstr>
      <vt:lpstr>Calcul</vt:lpstr>
      <vt:lpstr>1</vt:lpstr>
      <vt:lpstr>2</vt:lpstr>
      <vt:lpstr>3</vt:lpstr>
      <vt:lpstr>4</vt:lpstr>
      <vt:lpstr>5</vt:lpstr>
      <vt:lpstr>6</vt:lpstr>
      <vt:lpstr>7</vt:lpstr>
      <vt:lpstr>8</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Marlene de Bank</dc:creator>
  <cp:lastModifiedBy>Marlène de Bank</cp:lastModifiedBy>
  <dcterms:created xsi:type="dcterms:W3CDTF">2023-10-25T13:26:00Z</dcterms:created>
  <dcterms:modified xsi:type="dcterms:W3CDTF">2024-03-23T11:44:59Z</dcterms:modified>
</cp:coreProperties>
</file>