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P_User\Nextcloud\Projets\Programme Numérique\4 - Projets\2024 - Mondes virtuels\9 - Livrables\2024_03_28 - Rapport final\"/>
    </mc:Choice>
  </mc:AlternateContent>
  <xr:revisionPtr revIDLastSave="0" documentId="13_ncr:1_{337E5A53-38E0-4F04-990C-C7E44AC86F3F}" xr6:coauthVersionLast="47" xr6:coauthVersionMax="47" xr10:uidLastSave="{00000000-0000-0000-0000-000000000000}"/>
  <bookViews>
    <workbookView xWindow="-110" yWindow="-110" windowWidth="19420" windowHeight="10300" tabRatio="786" xr2:uid="{07BD8BB3-F8A7-4B2A-8F21-0A9A0F179D6B}"/>
  </bookViews>
  <sheets>
    <sheet name="MetaMetavers" sheetId="13" r:id="rId1"/>
    <sheet name="1" sheetId="6" r:id="rId2"/>
    <sheet name="2" sheetId="21" r:id="rId3"/>
    <sheet name="3" sheetId="8" r:id="rId4"/>
    <sheet name="4" sheetId="9" r:id="rId5"/>
    <sheet name="5" sheetId="10" r:id="rId6"/>
    <sheet name="6" sheetId="3" r:id="rId7"/>
    <sheet name="6bis" sheetId="22" r:id="rId8"/>
    <sheet name="7" sheetId="11" r:id="rId9"/>
    <sheet name="8" sheetId="16" r:id="rId10"/>
    <sheet name="9" sheetId="15" r:id="rId11"/>
    <sheet name="10" sheetId="17" r:id="rId12"/>
    <sheet name="11" sheetId="18" r:id="rId13"/>
    <sheet name="12" sheetId="19" r:id="rId14"/>
    <sheet name="Références" sheetId="14" r:id="rId15"/>
  </sheets>
  <definedNames>
    <definedName name="_xlchart.v1.0" hidden="1">'2'!$H$35</definedName>
    <definedName name="_xlchart.v1.1" hidden="1">'2'!$H$36:$H$44</definedName>
    <definedName name="_xlchart.v1.10" hidden="1">'2'!$M$35</definedName>
    <definedName name="_xlchart.v1.11" hidden="1">'2'!$M$36:$M$44</definedName>
    <definedName name="_xlchart.v1.2" hidden="1">'2'!$I$35</definedName>
    <definedName name="_xlchart.v1.3" hidden="1">'2'!$I$36:$I$44</definedName>
    <definedName name="_xlchart.v1.4" hidden="1">'2'!$J$35</definedName>
    <definedName name="_xlchart.v1.5" hidden="1">'2'!$J$36:$J$44</definedName>
    <definedName name="_xlchart.v1.6" hidden="1">'2'!$K$35</definedName>
    <definedName name="_xlchart.v1.7" hidden="1">'2'!$K$36:$K$44</definedName>
    <definedName name="_xlchart.v1.8" hidden="1">'2'!$L$35</definedName>
    <definedName name="_xlchart.v1.9" hidden="1">'2'!$L$36:$L$44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2" l="1"/>
  <c r="C12" i="22"/>
  <c r="I19" i="22"/>
  <c r="D29" i="3"/>
  <c r="C9" i="22" l="1"/>
  <c r="C29" i="22"/>
  <c r="F17" i="22" s="1"/>
  <c r="J18" i="22"/>
  <c r="K18" i="22" s="1"/>
  <c r="L18" i="22" s="1"/>
  <c r="M18" i="22" s="1"/>
  <c r="N18" i="22" s="1"/>
  <c r="C19" i="22"/>
  <c r="C24" i="22"/>
  <c r="D17" i="22" l="1"/>
  <c r="E17" i="22"/>
  <c r="M17" i="22"/>
  <c r="L17" i="22"/>
  <c r="K17" i="22"/>
  <c r="J17" i="22"/>
  <c r="I17" i="22"/>
  <c r="H17" i="22"/>
  <c r="G17" i="22"/>
  <c r="J44" i="21"/>
  <c r="J43" i="21"/>
  <c r="J42" i="21"/>
  <c r="J41" i="21"/>
  <c r="H41" i="21"/>
  <c r="J40" i="21"/>
  <c r="H40" i="21"/>
  <c r="K39" i="21"/>
  <c r="J39" i="21"/>
  <c r="H39" i="21"/>
  <c r="L38" i="21"/>
  <c r="K38" i="21"/>
  <c r="J38" i="21"/>
  <c r="H38" i="21"/>
  <c r="M37" i="21"/>
  <c r="L37" i="21"/>
  <c r="K37" i="21"/>
  <c r="J37" i="21"/>
  <c r="H37" i="21"/>
  <c r="M36" i="21"/>
  <c r="L36" i="21"/>
  <c r="K36" i="21"/>
  <c r="J36" i="21"/>
  <c r="I36" i="21"/>
  <c r="H36" i="21"/>
  <c r="B40" i="13"/>
  <c r="C43" i="3"/>
  <c r="C42" i="3"/>
  <c r="G46" i="21" l="1"/>
  <c r="B23" i="13"/>
  <c r="B22" i="13"/>
  <c r="B21" i="13"/>
  <c r="B24" i="19"/>
  <c r="C40" i="19"/>
  <c r="D40" i="19" s="1"/>
  <c r="C32" i="19"/>
  <c r="D32" i="19" s="1"/>
  <c r="B16" i="19"/>
  <c r="B5" i="19"/>
  <c r="C5" i="19" s="1"/>
  <c r="D5" i="15" l="1"/>
  <c r="C5" i="15"/>
  <c r="N14" i="17" l="1"/>
  <c r="M14" i="17"/>
  <c r="I13" i="17" l="1"/>
  <c r="H13" i="17"/>
  <c r="G13" i="17"/>
  <c r="C5" i="16"/>
  <c r="C50" i="11" l="1"/>
  <c r="C49" i="11"/>
  <c r="E50" i="11"/>
  <c r="C43" i="11"/>
  <c r="C51" i="11" l="1"/>
  <c r="G14" i="17"/>
  <c r="F14" i="17"/>
  <c r="B17" i="13"/>
  <c r="B5" i="18"/>
  <c r="C5" i="18" s="1"/>
  <c r="B5" i="17"/>
  <c r="C5" i="17" s="1"/>
  <c r="H14" i="17" l="1"/>
  <c r="I14" i="17" l="1"/>
  <c r="B13" i="13"/>
  <c r="J13" i="17" l="1"/>
  <c r="J14" i="17" s="1"/>
  <c r="K13" i="17" l="1"/>
  <c r="K14" i="17" s="1"/>
  <c r="C39" i="11"/>
  <c r="C38" i="11"/>
  <c r="C29" i="3"/>
  <c r="C28" i="3"/>
  <c r="C27" i="3"/>
  <c r="L13" i="17" l="1"/>
  <c r="L14" i="17" s="1"/>
  <c r="D21" i="6"/>
  <c r="J20" i="6"/>
  <c r="K20" i="6"/>
  <c r="K21" i="6" s="1"/>
  <c r="C5" i="9" s="1"/>
  <c r="D5" i="9" s="1"/>
  <c r="H20" i="6"/>
  <c r="I20" i="6"/>
  <c r="E20" i="6"/>
  <c r="F20" i="6"/>
  <c r="G20" i="6"/>
  <c r="D5" i="8"/>
  <c r="D20" i="6"/>
  <c r="C18" i="3"/>
  <c r="C15" i="10"/>
  <c r="C16" i="10" s="1"/>
  <c r="C5" i="10" s="1"/>
  <c r="M13" i="17" l="1"/>
  <c r="N21" i="6"/>
  <c r="E21" i="6" s="1"/>
  <c r="C17" i="3"/>
  <c r="N13" i="17" l="1"/>
  <c r="F21" i="6"/>
  <c r="E22" i="6"/>
  <c r="C22" i="3"/>
  <c r="C27" i="11" s="1"/>
  <c r="C40" i="11"/>
  <c r="C42" i="11" s="1"/>
  <c r="C44" i="11" l="1"/>
  <c r="D51" i="11" s="1"/>
  <c r="B16" i="13"/>
  <c r="G21" i="6"/>
  <c r="F22" i="6"/>
  <c r="D7" i="3"/>
  <c r="E7" i="3" s="1"/>
  <c r="C4" i="22" s="1"/>
  <c r="D19" i="22" s="1"/>
  <c r="E19" i="22" s="1"/>
  <c r="F19" i="22" s="1"/>
  <c r="G19" i="22" s="1"/>
  <c r="H19" i="22" s="1"/>
  <c r="D28" i="3"/>
  <c r="D6" i="3" s="1"/>
  <c r="E6" i="3" s="1"/>
  <c r="B30" i="13" s="1"/>
  <c r="D27" i="3"/>
  <c r="D5" i="3" s="1"/>
  <c r="E5" i="3" s="1"/>
  <c r="B29" i="13" s="1"/>
  <c r="D5" i="10"/>
  <c r="B9" i="13" s="1"/>
  <c r="B8" i="13"/>
  <c r="B6" i="13"/>
  <c r="B7" i="13" s="1"/>
  <c r="J19" i="22" l="1"/>
  <c r="K19" i="22" s="1"/>
  <c r="L19" i="22" s="1"/>
  <c r="M19" i="22" s="1"/>
  <c r="N19" i="22" s="1"/>
  <c r="H21" i="6"/>
  <c r="I21" i="6" s="1"/>
  <c r="J21" i="6" s="1"/>
  <c r="G22" i="6"/>
  <c r="E29" i="3"/>
  <c r="E28" i="3"/>
  <c r="E27" i="3"/>
  <c r="H22" i="6" l="1"/>
  <c r="I22" i="6" s="1"/>
  <c r="J22" i="6" s="1"/>
  <c r="K22" i="6" s="1"/>
  <c r="C5" i="6" s="1"/>
  <c r="D5" i="6" s="1"/>
  <c r="B5" i="13" s="1"/>
</calcChain>
</file>

<file path=xl/sharedStrings.xml><?xml version="1.0" encoding="utf-8"?>
<sst xmlns="http://schemas.openxmlformats.org/spreadsheetml/2006/main" count="465" uniqueCount="277">
  <si>
    <t>CAGR 2023-2030</t>
  </si>
  <si>
    <t>Le nombre de terminaux produits (millions d’unités)</t>
  </si>
  <si>
    <t>Le nombre de terminaux connectés (millions d’unités)</t>
  </si>
  <si>
    <t>La consommation électrique unitaire (kWh/an)</t>
  </si>
  <si>
    <t>VR headsets</t>
  </si>
  <si>
    <t xml:space="preserve">Hypothèses : </t>
  </si>
  <si>
    <t>Growth</t>
  </si>
  <si>
    <t>Conservative</t>
  </si>
  <si>
    <t xml:space="preserve">Growth </t>
  </si>
  <si>
    <t xml:space="preserve">Consumer devices </t>
  </si>
  <si>
    <t>CAGR 2019-2030</t>
  </si>
  <si>
    <t>Devices Production (in millions of units)</t>
  </si>
  <si>
    <t>Production Energy Intensity (in kWh/unit)</t>
  </si>
  <si>
    <t>Connected Devices (in millions of units)</t>
  </si>
  <si>
    <t>Connected Devices Unitary Elec. Cons. (in kwh/year)</t>
  </si>
  <si>
    <t>Networks and data centers</t>
  </si>
  <si>
    <r>
      <rPr>
        <u/>
        <sz val="11"/>
        <color theme="1"/>
        <rFont val="Calibri"/>
        <family val="2"/>
        <scheme val="minor"/>
      </rPr>
      <t xml:space="preserve">Sources et hypothèses </t>
    </r>
    <r>
      <rPr>
        <sz val="11"/>
        <color theme="1"/>
        <rFont val="Calibri"/>
        <family val="2"/>
        <scheme val="minor"/>
      </rPr>
      <t xml:space="preserve">: </t>
    </r>
  </si>
  <si>
    <t xml:space="preserve">Le nombre d'utilisateurs d'internet en 2030 est compatible des deux hypothèses suivantes : </t>
  </si>
  <si>
    <t>CAGR utilisateurs d'internet 2005-2021</t>
  </si>
  <si>
    <t>% d'utilisateurs d'internet passent 1h dans le métaverse</t>
  </si>
  <si>
    <t xml:space="preserve">La projection de Gartner est décalée à 2030. </t>
  </si>
  <si>
    <r>
      <rPr>
        <u/>
        <sz val="11"/>
        <color theme="1"/>
        <rFont val="Calibri"/>
        <family val="2"/>
        <scheme val="minor"/>
      </rPr>
      <t xml:space="preserve">Hypothèse </t>
    </r>
    <r>
      <rPr>
        <sz val="11"/>
        <color theme="1"/>
        <rFont val="Calibri"/>
        <family val="2"/>
        <scheme val="minor"/>
      </rPr>
      <t xml:space="preserve">: </t>
    </r>
  </si>
  <si>
    <t xml:space="preserve">Les lunettes AR auront peut-être une empreinte entre le petit boîtier et le casque VR. </t>
  </si>
  <si>
    <t xml:space="preserve">Capacité de la batterie (Wh) </t>
  </si>
  <si>
    <t>Autonomie (h)</t>
  </si>
  <si>
    <t>Puissance (W)</t>
  </si>
  <si>
    <t>Summary</t>
  </si>
  <si>
    <t>Tab</t>
  </si>
  <si>
    <t>Trafic (EB)</t>
  </si>
  <si>
    <r>
      <rPr>
        <u/>
        <sz val="11"/>
        <color theme="1"/>
        <rFont val="Calibri"/>
        <family val="2"/>
        <scheme val="minor"/>
      </rPr>
      <t>Hypothèse</t>
    </r>
    <r>
      <rPr>
        <sz val="11"/>
        <color theme="1"/>
        <rFont val="Calibri"/>
        <family val="2"/>
        <scheme val="minor"/>
      </rPr>
      <t xml:space="preserve"> : </t>
    </r>
  </si>
  <si>
    <t>Casques VR</t>
  </si>
  <si>
    <t>Réseaux</t>
  </si>
  <si>
    <t>Fixe filaire</t>
  </si>
  <si>
    <t>Fixe wi-fi</t>
  </si>
  <si>
    <t>Mobile</t>
  </si>
  <si>
    <t>Consommation / an à 1h / jour (kWh)</t>
  </si>
  <si>
    <t>Utilisateurs d'internet (millions)</t>
  </si>
  <si>
    <t>Nombre de terminaux VR (millions)</t>
  </si>
  <si>
    <t>Nombre d'h métavers / utilisateur / an</t>
  </si>
  <si>
    <t>Débit VOD (Mbps)</t>
  </si>
  <si>
    <t>Débit métavers (Mbps)</t>
  </si>
  <si>
    <t>Données additionnelles (EB)</t>
  </si>
  <si>
    <t>Centres de données</t>
  </si>
  <si>
    <t>Centre de données hyperscale</t>
  </si>
  <si>
    <t>Autres centres de données</t>
  </si>
  <si>
    <t>Nombre de terminaux VR à produire (millions)</t>
  </si>
  <si>
    <t xml:space="preserve">CAGR </t>
  </si>
  <si>
    <t>CAGR 2019-2025</t>
  </si>
  <si>
    <t>CAGR 2025-2030</t>
  </si>
  <si>
    <t>Meta-métavers</t>
  </si>
  <si>
    <t>Hypothèse proportion</t>
  </si>
  <si>
    <r>
      <t>Production GHG Intensity (in kgCO</t>
    </r>
    <r>
      <rPr>
        <vertAlign val="subscript"/>
        <sz val="11"/>
        <color rgb="FF002060"/>
        <rFont val="Calibri"/>
        <family val="2"/>
        <scheme val="minor"/>
      </rPr>
      <t>2</t>
    </r>
    <r>
      <rPr>
        <sz val="11"/>
        <color rgb="FF002060"/>
        <rFont val="Calibri"/>
        <family val="2"/>
        <scheme val="minor"/>
      </rPr>
      <t>e/unit)</t>
    </r>
  </si>
  <si>
    <t xml:space="preserve">Les casques comme l'Apple Vision Pro auront peut-être une empreinte bien supérieure au casque VR (résolution 10x supérieure, processeur 2x plus puissant).  </t>
  </si>
  <si>
    <r>
      <rPr>
        <u/>
        <sz val="11"/>
        <color theme="1"/>
        <rFont val="Calibri"/>
        <family val="2"/>
        <scheme val="minor"/>
      </rPr>
      <t>Hypothèse :</t>
    </r>
    <r>
      <rPr>
        <sz val="11"/>
        <color theme="1"/>
        <rFont val="Calibri"/>
        <family val="2"/>
        <scheme val="minor"/>
      </rPr>
      <t xml:space="preserve"> Voir hypothèses sur le nombre d'utilisateurs dans l'onglet [1].  </t>
    </r>
  </si>
  <si>
    <t>Gartner, 2022</t>
  </si>
  <si>
    <r>
      <t xml:space="preserve">Gartner. (2022). </t>
    </r>
    <r>
      <rPr>
        <i/>
        <sz val="10"/>
        <color rgb="FF00005A"/>
        <rFont val="Arial"/>
        <family val="2"/>
      </rPr>
      <t>Qu’est-ce qu’un metaverse ? Devez-vous investir dans ce domaine ?</t>
    </r>
    <r>
      <rPr>
        <sz val="10"/>
        <color rgb="FF00005A"/>
        <rFont val="Arial"/>
        <family val="2"/>
      </rPr>
      <t xml:space="preserve"> https://www.gartner.fr/fr/articles/qu-est-ce-qu-un-metavers</t>
    </r>
  </si>
  <si>
    <r>
      <t xml:space="preserve">CEPIR. (2023). </t>
    </r>
    <r>
      <rPr>
        <i/>
        <sz val="10"/>
        <color rgb="FF00005A"/>
        <rFont val="Arial"/>
        <family val="2"/>
      </rPr>
      <t>Cas d’Etude Pour un Immersif Responsable, webinaire de restitution intermédiaire</t>
    </r>
    <r>
      <rPr>
        <sz val="10"/>
        <color rgb="FF00005A"/>
        <rFont val="Arial"/>
        <family val="2"/>
      </rPr>
      <t>. https://www.cepir.info/webinaire-juin-2023</t>
    </r>
  </si>
  <si>
    <t>Cepir, 2023</t>
  </si>
  <si>
    <t>En 2026, 25% des personnes passeront 1h dans le métavers [Gartner, 2022]</t>
  </si>
  <si>
    <t>Pour un casque VR calcul intégré, écran OLED, sur batterie : 90 kgCO2eq [Cepir, 2023]</t>
  </si>
  <si>
    <t>Pour un casque VR calcul intégré, écran OLED, sur batterie : 14Wh [Cepir, 2023]</t>
  </si>
  <si>
    <r>
      <t xml:space="preserve">Cisco. (2020). </t>
    </r>
    <r>
      <rPr>
        <i/>
        <sz val="10"/>
        <color rgb="FF00005A"/>
        <rFont val="Arial"/>
        <family val="2"/>
      </rPr>
      <t>Cisco Annual Internet Report 2018-2023</t>
    </r>
    <r>
      <rPr>
        <sz val="10"/>
        <color rgb="FF00005A"/>
        <rFont val="Arial"/>
        <family val="2"/>
      </rPr>
      <t>. https://www.cisco.com/c/en/us/solutions/collateral/executive-perspectives/annual-internet-report/white-paper-c11-741490.html</t>
    </r>
  </si>
  <si>
    <t>Cisco, 2020</t>
  </si>
  <si>
    <t xml:space="preserve">Ils substituent 1h de métavers à 1h de VOD : 50 Mbps (VR)  contre 3 Mbps de débit descendant [CISCO, 2020] </t>
  </si>
  <si>
    <t>Valeur moyenne dans le bas de la fourchette :500 Mbps (UHD VR), 167 Mbps (HD VR), 30 Mbps (cloud gaming), 17 Mbps (VR) [CISCO, 2020]</t>
  </si>
  <si>
    <r>
      <t xml:space="preserve">Ericsson. (2023). </t>
    </r>
    <r>
      <rPr>
        <i/>
        <sz val="10"/>
        <color rgb="FF00005A"/>
        <rFont val="Arial"/>
        <family val="2"/>
      </rPr>
      <t>AR uptake enabled by mobile networks, Ericsson Mobility Report</t>
    </r>
    <r>
      <rPr>
        <sz val="10"/>
        <color rgb="FF00005A"/>
        <rFont val="Arial"/>
        <family val="2"/>
      </rPr>
      <t>. https://www.ericsson.com/en/reports-and-papers/mobility-report/reports/june-2023</t>
    </r>
  </si>
  <si>
    <t>Ericsson, 2023</t>
  </si>
  <si>
    <r>
      <t xml:space="preserve">Intel. (2021). </t>
    </r>
    <r>
      <rPr>
        <i/>
        <sz val="10"/>
        <color rgb="FF00005A"/>
        <rFont val="Arial"/>
        <family val="2"/>
      </rPr>
      <t>Powering the metaverse. Intel is working on the plumbing for a persistent and immersive internet</t>
    </r>
    <r>
      <rPr>
        <sz val="10"/>
        <color rgb="FF00005A"/>
        <rFont val="Arial"/>
        <family val="2"/>
      </rPr>
      <t>. https://www.intel.com/content/www/us/en/newsroom/opinion/powering-metaverse.html</t>
    </r>
  </si>
  <si>
    <t>Intel, 2021</t>
  </si>
  <si>
    <r>
      <t xml:space="preserve">The Shift Project. (2021). </t>
    </r>
    <r>
      <rPr>
        <i/>
        <sz val="10"/>
        <color rgb="FF00005A"/>
        <rFont val="Arial"/>
        <family val="2"/>
      </rPr>
      <t>Impact environnemental du numérique : Tendances à 5 ans et gouvernance de la 5G</t>
    </r>
    <r>
      <rPr>
        <sz val="10"/>
        <color rgb="FF00005A"/>
        <rFont val="Arial"/>
        <family val="2"/>
      </rPr>
      <t>. The Shift Project. https://theshiftproject.org/article/impact-environnemental-du-numerique-5g-nouvelle-etude-du-shift/</t>
    </r>
  </si>
  <si>
    <t>The Shift Project, 2021</t>
  </si>
  <si>
    <t>VR headset, OLED, battery, integrated computing [CEPIR, 2023]</t>
  </si>
  <si>
    <t>Valeurs de débits comparatives : 50 Mbps (downlink), 10 Mbps (uplink), l'usager AR consomme 12 fois plus de ressources que l'usager VOD : 3x plus de bits, 4x plus de ressources pour de meilleures latences-fiabilités [Ericsson, 2023]</t>
  </si>
  <si>
    <t>Les données additionnelles sont ajoutées au scénario Conservative [The Shift Project, 2021]</t>
  </si>
  <si>
    <t xml:space="preserve">Pour un petit boîtier dans lequel s'insère un smartphone : 15kgCO2eq [Andrae, 2017] </t>
  </si>
  <si>
    <t>Andrae, 2017</t>
  </si>
  <si>
    <t>Le nombre d'utilisateurs d'internet en 2022 est de 5300 [ITU, 2022]</t>
  </si>
  <si>
    <t>Le taux de croissance annuel moyen entre 2005 et 2021 est de 6.1 % [ITU, 2022]</t>
  </si>
  <si>
    <t>ITU, 2022</t>
  </si>
  <si>
    <t xml:space="preserve">100% des foyers ont internet en 2030 [ITU, s.d] </t>
  </si>
  <si>
    <t>8,5 milliards en 2030 [United Nations, s.d]</t>
  </si>
  <si>
    <t>ITU, s.d</t>
  </si>
  <si>
    <t>United Nations, s.d</t>
  </si>
  <si>
    <r>
      <t xml:space="preserve">Andrae A. (2017). </t>
    </r>
    <r>
      <rPr>
        <i/>
        <sz val="10"/>
        <color rgb="FF00005A"/>
        <rFont val="Arial"/>
        <family val="2"/>
      </rPr>
      <t>Life Cycle Assessment of a Virtual Reality Device.</t>
    </r>
    <r>
      <rPr>
        <sz val="10"/>
        <color rgb="FF00005A"/>
        <rFont val="Arial"/>
        <family val="2"/>
      </rPr>
      <t xml:space="preserve"> https://www.mdpi.com/2078-1547/8/2/15</t>
    </r>
  </si>
  <si>
    <r>
      <t xml:space="preserve">ITU. (s. d.). </t>
    </r>
    <r>
      <rPr>
        <i/>
        <sz val="10"/>
        <color rgb="FF00005A"/>
        <rFont val="Arial"/>
        <family val="2"/>
      </rPr>
      <t>Aspirational targets for 2030</t>
    </r>
    <r>
      <rPr>
        <sz val="10"/>
        <color rgb="FF00005A"/>
        <rFont val="Arial"/>
        <family val="2"/>
      </rPr>
      <t>. Consulté 7 décembre 2023, à l’adresse https://www.itu.int/itu-d/meetings/statistics/wp-content/uploads/sites/8/2022/04/UniversalMeaningfulDigitalConnectivityTargets2030.pdf</t>
    </r>
  </si>
  <si>
    <r>
      <t xml:space="preserve">ITU. (2022). </t>
    </r>
    <r>
      <rPr>
        <i/>
        <sz val="10"/>
        <color rgb="FF00005A"/>
        <rFont val="Arial"/>
        <family val="2"/>
      </rPr>
      <t>Measuring digital development, Facts and figures</t>
    </r>
    <r>
      <rPr>
        <sz val="10"/>
        <color rgb="FF00005A"/>
        <rFont val="Arial"/>
        <family val="2"/>
      </rPr>
      <t>. https://www.itu.int/hub/publication/d-ind-ict_mdd-2022/</t>
    </r>
  </si>
  <si>
    <r>
      <t xml:space="preserve">United Nations. (s. d.). </t>
    </r>
    <r>
      <rPr>
        <i/>
        <sz val="10"/>
        <color rgb="FF00005A"/>
        <rFont val="Arial"/>
        <family val="2"/>
      </rPr>
      <t>Population</t>
    </r>
    <r>
      <rPr>
        <sz val="10"/>
        <color rgb="FF00005A"/>
        <rFont val="Arial"/>
        <family val="2"/>
      </rPr>
      <t>. Consulté 7 décembre 2023, à l’adresse https://www.un.org/en/global-issues/population</t>
    </r>
  </si>
  <si>
    <t xml:space="preserve">Traffic fixed wired (EB) </t>
  </si>
  <si>
    <t xml:space="preserve">Traffic fixed wifi (EB) </t>
  </si>
  <si>
    <t xml:space="preserve">Traffic Hyperscale (EB) </t>
  </si>
  <si>
    <t xml:space="preserve">Traffic Others (EB) </t>
  </si>
  <si>
    <t>Utilisateurs métavers en 2030 (millions)</t>
  </si>
  <si>
    <r>
      <t xml:space="preserve">Amazon Web Services. (2018). </t>
    </r>
    <r>
      <rPr>
        <i/>
        <sz val="10"/>
        <color rgb="FF00005A"/>
        <rFont val="Arial"/>
        <family val="2"/>
      </rPr>
      <t>AWS re:Invent 2018 : Chris Dyl, Director of Platform at Epic Games, Speaks at Monday Night Live (4’33’’)</t>
    </r>
    <r>
      <rPr>
        <sz val="10"/>
        <color rgb="FF00005A"/>
        <rFont val="Arial"/>
        <family val="2"/>
      </rPr>
      <t>. https://youtu.be/MCLrA401vHw?si=HfYDrm1OgNBqYBpi</t>
    </r>
  </si>
  <si>
    <t>Amazon Web Services, 2018</t>
  </si>
  <si>
    <t>Iphonote, 2020</t>
  </si>
  <si>
    <t>Le temps moyen passé par un joueur est de 7.2h / mois [Iphonote, 2020]</t>
  </si>
  <si>
    <t>La quantité de données collectable pour un métavers par rapport à la quantité de données collectable par Fortnite est dans le rapport des débits descendants : 50 / 3 (cf. onglet [5])</t>
  </si>
  <si>
    <t>Fornite : Nombre de joueurs (millions)</t>
  </si>
  <si>
    <t>Fornite : Nombre d'heures de jeu par an (h)</t>
  </si>
  <si>
    <t xml:space="preserve">Fornite : Données collectées par an (EB) </t>
  </si>
  <si>
    <t xml:space="preserve">Forntite : Nombre moyen d'heure de jeu par mois </t>
  </si>
  <si>
    <t xml:space="preserve">Fornite : Données collectées par mois (Po) </t>
  </si>
  <si>
    <t>Métavers en 2030 : Nombre d'utilisateurs en 2030 (millions)</t>
  </si>
  <si>
    <t>Métavers en 2030 : Nombre moyen d'heures par an (h)</t>
  </si>
  <si>
    <t xml:space="preserve">Métavers en 2030 : Nombre d'heures par an (h) </t>
  </si>
  <si>
    <t xml:space="preserve">Métavers en 2030 : Données collectées par an (EB) </t>
  </si>
  <si>
    <t xml:space="preserve">Débits Métavers en 2030 / Débits Fornite </t>
  </si>
  <si>
    <t>Données transitant sur les réseaux (EB)</t>
  </si>
  <si>
    <t>Collecte de données similaires au jeu Fortnite</t>
  </si>
  <si>
    <t>Synergy Research Group, 2023</t>
  </si>
  <si>
    <t>Consommation électrique centre de données hyperscale (TWh)</t>
  </si>
  <si>
    <t xml:space="preserve">CAGR 2023-2030 : Trafic centre de données hyperscale (EB)  </t>
  </si>
  <si>
    <t>Consommation électrique autres centres de données (TWh)</t>
  </si>
  <si>
    <t xml:space="preserve">CAGR 2023-2030 : Trafic autres centres de données (EB)  </t>
  </si>
  <si>
    <t>x1000 d'efficacité computationnelle [Intel, 2021]</t>
  </si>
  <si>
    <t>IOT</t>
  </si>
  <si>
    <t>IOT modules</t>
  </si>
  <si>
    <t>Pirson, Bol, 2021</t>
  </si>
  <si>
    <t xml:space="preserve">Sources et hypothèses : </t>
  </si>
  <si>
    <t>Oko, 2016</t>
  </si>
  <si>
    <t>For information only</t>
  </si>
  <si>
    <t>Same hypothesis as production GHG intensity</t>
  </si>
  <si>
    <t>Compliant from connected devices, with hypothesis of 2-years life duration</t>
  </si>
  <si>
    <t>By 2026, 25% of people will spend at least 1h per day in the metaverse [Gartner, 2022], hypothesis to postpone to 2030</t>
  </si>
  <si>
    <r>
      <t xml:space="preserve">Pirson T., Bol D. (2021). </t>
    </r>
    <r>
      <rPr>
        <i/>
        <sz val="11"/>
        <color theme="1"/>
        <rFont val="Calibri"/>
        <family val="2"/>
        <scheme val="minor"/>
      </rPr>
      <t>Assessing the embodied carbon footprint of IoT edge devices with a bottom-up life-cycle approach.</t>
    </r>
    <r>
      <rPr>
        <sz val="11"/>
        <color theme="1"/>
        <rFont val="Calibri"/>
        <family val="2"/>
        <scheme val="minor"/>
      </rPr>
      <t xml:space="preserve"> https://arxiv.org/abs/2105.02082</t>
    </r>
  </si>
  <si>
    <t>IEA E4 EDNA, 2019</t>
  </si>
  <si>
    <t>Ademe et Arcep, 2023</t>
  </si>
  <si>
    <t>-5% [ADEME et ARCEP, 2023] (p47 à partir de Total Energy Model for Connected Devices, IEA 4E EDNA, 2019, p.33-34, 53-60, 62-68)</t>
  </si>
  <si>
    <t xml:space="preserve">Comparaison : </t>
  </si>
  <si>
    <t>27 milliards en 2023, 46 milliards en 2030 [IEA 4E EDNA, 2019]</t>
  </si>
  <si>
    <t>7 milliards en 2023, 9 milliards en 2030 [iEA 4E EDNA, 2019]</t>
  </si>
  <si>
    <t xml:space="preserve">Sur la prise en compte d'un gain d'efficacité carbone pour les casques VR : amélioration technique en même temps qu'amélioration performances : </t>
  </si>
  <si>
    <r>
      <rPr>
        <u/>
        <sz val="11"/>
        <color rgb="FF002060"/>
        <rFont val="Calibri"/>
        <family val="2"/>
        <scheme val="minor"/>
      </rPr>
      <t xml:space="preserve">Comparaison </t>
    </r>
    <r>
      <rPr>
        <sz val="11"/>
        <color rgb="FF002060"/>
        <rFont val="Calibri"/>
        <family val="2"/>
        <scheme val="minor"/>
      </rPr>
      <t xml:space="preserve">: </t>
    </r>
  </si>
  <si>
    <t>- voir évolution iPhone3 à iPhone6 [Oko, 2016]</t>
  </si>
  <si>
    <r>
      <rPr>
        <u/>
        <sz val="11"/>
        <color theme="1"/>
        <rFont val="Calibri"/>
        <family val="2"/>
        <scheme val="minor"/>
      </rPr>
      <t xml:space="preserve">Hypothèses </t>
    </r>
    <r>
      <rPr>
        <sz val="11"/>
        <color theme="1"/>
        <rFont val="Calibri"/>
        <family val="2"/>
        <scheme val="minor"/>
      </rPr>
      <t xml:space="preserve">: </t>
    </r>
  </si>
  <si>
    <r>
      <rPr>
        <u/>
        <sz val="11"/>
        <color theme="1"/>
        <rFont val="Calibri"/>
        <family val="2"/>
        <scheme val="minor"/>
      </rPr>
      <t>Hypothèses</t>
    </r>
    <r>
      <rPr>
        <sz val="11"/>
        <color theme="1"/>
        <rFont val="Calibri"/>
        <family val="2"/>
        <scheme val="minor"/>
      </rPr>
      <t xml:space="preserve"> : </t>
    </r>
  </si>
  <si>
    <t>- clear increase of the environmental footprint with technology downscaling [Pirson, 2022]</t>
  </si>
  <si>
    <t>Pirson, 2022</t>
  </si>
  <si>
    <t>La répartition des données entre les 3 réseaux : 1/3 1/3 1/3</t>
  </si>
  <si>
    <t>répartition en 2030 (pour info)</t>
  </si>
  <si>
    <r>
      <t xml:space="preserve">IEA 4E EDNA. (2019). </t>
    </r>
    <r>
      <rPr>
        <i/>
        <sz val="10"/>
        <color rgb="FF00005A"/>
        <rFont val="Arial"/>
        <family val="2"/>
      </rPr>
      <t>Total Energy Model for Connected Devices</t>
    </r>
    <r>
      <rPr>
        <sz val="10"/>
        <color rgb="FF00005A"/>
        <rFont val="Arial"/>
        <family val="2"/>
      </rPr>
      <t>. https://www.iea-4e.org/wp-content/uploads/2021/01/A2b_-_EDNA_TEM_Report_V1.0.pdf</t>
    </r>
  </si>
  <si>
    <r>
      <t xml:space="preserve">Oko Institute. (2016). </t>
    </r>
    <r>
      <rPr>
        <i/>
        <sz val="10"/>
        <color rgb="FF00005A"/>
        <rFont val="Arial"/>
        <family val="2"/>
      </rPr>
      <t>Resource Efficiency in the ICT Sector</t>
    </r>
    <r>
      <rPr>
        <sz val="10"/>
        <color rgb="FF00005A"/>
        <rFont val="Arial"/>
        <family val="2"/>
      </rPr>
      <t>. https://www.oeko.de/fileadmin/oekodoc/Resource_Efficiency_ICT_LV.pdf</t>
    </r>
  </si>
  <si>
    <r>
      <t xml:space="preserve">Pirson T. (2022). </t>
    </r>
    <r>
      <rPr>
        <i/>
        <sz val="10"/>
        <color rgb="FF00005A"/>
        <rFont val="Arial"/>
        <family val="2"/>
      </rPr>
      <t>The Environmental Footprint of IC Production : Meta-Analysis and Historical Trends</t>
    </r>
    <r>
      <rPr>
        <sz val="10"/>
        <color rgb="FF00005A"/>
        <rFont val="Arial"/>
        <family val="2"/>
      </rPr>
      <t>. https://www.researchgate.net/publication/366172064_The_Environmental_Footprint_of_IC_Production_Review_Analysis_and_Lessons_from_Historical_Trends</t>
    </r>
  </si>
  <si>
    <r>
      <t xml:space="preserve">ADEME, &amp; Arcep. (2023). </t>
    </r>
    <r>
      <rPr>
        <i/>
        <sz val="10"/>
        <color rgb="FF00005A"/>
        <rFont val="Arial"/>
        <family val="2"/>
      </rPr>
      <t>Evaluation de l’impact environnemental du numérique en France et analyse prospective—Analyse prospective à 2030 et 2050 (3/3)</t>
    </r>
    <r>
      <rPr>
        <sz val="10"/>
        <color rgb="FF00005A"/>
        <rFont val="Arial"/>
        <family val="2"/>
      </rPr>
      <t>. https://www.arcep.fr/uploads/tx_gspublication/etude-prospective-2030-2050_mars2023.pdf</t>
    </r>
  </si>
  <si>
    <t xml:space="preserve">Comparaisons : </t>
  </si>
  <si>
    <r>
      <t xml:space="preserve">DatacenterDynamics. (2023). </t>
    </r>
    <r>
      <rPr>
        <i/>
        <sz val="10"/>
        <color rgb="FF00005A"/>
        <rFont val="Arial"/>
        <family val="2"/>
      </rPr>
      <t>The future of the edge and metaverse</t>
    </r>
    <r>
      <rPr>
        <sz val="10"/>
        <color rgb="FF00005A"/>
        <rFont val="Arial"/>
        <family val="2"/>
      </rPr>
      <t>. https://www.datacenterdynamics.com/en/magazines/the-future-of-the-edge-and-the-metaverse/</t>
    </r>
  </si>
  <si>
    <t>DatacenterDynamics, 2023</t>
  </si>
  <si>
    <r>
      <t xml:space="preserve">Synergy Research Group. (2023, octobre 17). </t>
    </r>
    <r>
      <rPr>
        <i/>
        <sz val="10"/>
        <color rgb="FF00005A"/>
        <rFont val="Arial"/>
        <family val="2"/>
      </rPr>
      <t>Hyperscale Data Center Capacity to Almost Triple in Next Six Years</t>
    </r>
    <r>
      <rPr>
        <sz val="10"/>
        <color rgb="FF00005A"/>
        <rFont val="Arial"/>
        <family val="2"/>
      </rPr>
      <t>. https://www.srgresearch.com/articles/hyperscale-data-center-capacity-to-almost-triple-in-next-six-years-driven-by-ai</t>
    </r>
  </si>
  <si>
    <t xml:space="preserve">Par comparaison, avec x10, on aurait obtenu un CAGR 2023-2030 de 60% pour les hyperscale et 50% pour les autres centres de données. </t>
  </si>
  <si>
    <t>Les données additionnelles transitant sur les réseaux sont toutes collectées et stockées [voir onglet 5]</t>
  </si>
  <si>
    <t>De plus, le jeu Fortnite rassemble 200 millions d'utilisateurs par mois et collecte 5 Po de données par mois [Amazon Web Services, 2018]</t>
  </si>
  <si>
    <t>Cela donnerait 1,44 milliards d'heures de jeu par mois que l'on peut comparer à 1,6 milliards d'heure de jeu en décembre 2023 [Instant Gaming, 2023]</t>
  </si>
  <si>
    <t>Données transitant et collectées (EB)</t>
  </si>
  <si>
    <t>CAGR 2023-2030 total données</t>
  </si>
  <si>
    <t xml:space="preserve">Les données transitant et collectées sont ajoutées au scénario Conservative [The Shift Project, 2021] et on fait l'hypothèse que le taux d'accroissement pour les différents types de centres de données est le même. </t>
  </si>
  <si>
    <t>Conservative 2030</t>
  </si>
  <si>
    <t>Total</t>
  </si>
  <si>
    <t>(Méthode de calcul : les 28% sont calculés grâce à la fonctionnalité valeur cible dans le fichier Lean_ICT.)</t>
  </si>
  <si>
    <t xml:space="preserve">A partir de cette vision d'Intel, l'hypothèse avancée est : si tous les humains étaient en 2030 dans le métavers, la consommation électrique des data centers serait multipliée par 10 par rapport à aujourd'hui. </t>
  </si>
  <si>
    <t xml:space="preserve">Considérer l'hypothèse Gartner avec 25% des utilisateurs d'internet dans le métavers, conduit alors à : x2,5 sur la consommation électrique des data centers entre 2023 et 2030. </t>
  </si>
  <si>
    <t xml:space="preserve">La capacité des centres de données hyperscale serait multipliée par 3 en 6 ans (2022 à 2028) [Synergy Research Group, 2023] </t>
  </si>
  <si>
    <t xml:space="preserve">Puis on prolonge avec le même CAGR jusqu'en 2030. </t>
  </si>
  <si>
    <t>x3 sur le edge [DatacenterDynamics, 2023]</t>
  </si>
  <si>
    <r>
      <t xml:space="preserve">Avec le même taux d'accroissement pour les différents types de centres de données : </t>
    </r>
    <r>
      <rPr>
        <sz val="11"/>
        <color theme="4"/>
        <rFont val="Calibri"/>
        <family val="2"/>
        <scheme val="minor"/>
      </rPr>
      <t xml:space="preserve"> 24% et 24%</t>
    </r>
  </si>
  <si>
    <t>La consommation électrique des centres de données croît de 11% [Schneider Electric, 2023]</t>
  </si>
  <si>
    <r>
      <t xml:space="preserve">Instant gaming. (2024, janvier 12). </t>
    </r>
    <r>
      <rPr>
        <i/>
        <sz val="10"/>
        <color rgb="FF00005A"/>
        <rFont val="Arial"/>
        <family val="2"/>
      </rPr>
      <t>Les joueurs de Fortnite ont passé 1,6 milliard d’heures à jouer en décembre 2023</t>
    </r>
    <r>
      <rPr>
        <sz val="10"/>
        <color rgb="FF00005A"/>
        <rFont val="Arial"/>
        <family val="2"/>
      </rPr>
      <t>. https://news.instant-gaming.com/fr/articles/4308-les-joueurs-de-fortnite-ont-passe-1-6-milliard-d-heures-a-jouer-en-decembre-2023</t>
    </r>
  </si>
  <si>
    <t>Instant Gaming, 2024</t>
  </si>
  <si>
    <r>
      <t xml:space="preserve">Iphonote. (2020, octobre 2). </t>
    </r>
    <r>
      <rPr>
        <i/>
        <sz val="10"/>
        <color rgb="FF00005A"/>
        <rFont val="Arial"/>
        <family val="2"/>
      </rPr>
      <t>10,4 millions d’années ! C’est le temps passer à jouer à Fortnite.</t>
    </r>
    <r>
      <rPr>
        <sz val="10"/>
        <color rgb="FF00005A"/>
        <rFont val="Arial"/>
        <family val="2"/>
      </rPr>
      <t xml:space="preserve"> https://www.iphonote.com/actu/163636/104-millions-dannees-cest-le-temps-passer-a-jouer-a-fortnite</t>
    </r>
  </si>
  <si>
    <r>
      <t xml:space="preserve">Schneider Electric, Energy Management Research Center. (2023). </t>
    </r>
    <r>
      <rPr>
        <i/>
        <sz val="10"/>
        <color rgb="FF00005A"/>
        <rFont val="Arial"/>
        <family val="2"/>
      </rPr>
      <t>The AI Disruption : Challenges and Guidance for Data Center Design</t>
    </r>
    <r>
      <rPr>
        <sz val="10"/>
        <color rgb="FF00005A"/>
        <rFont val="Arial"/>
        <family val="2"/>
      </rPr>
      <t>. https://www.se.com/us/en/download/document/SPD_WP110_EN/</t>
    </r>
  </si>
  <si>
    <t>Schneider Electric, 2023</t>
  </si>
  <si>
    <t>- 1 milliard d'utilisateurs en 2030 [ABI Research, 2023]</t>
  </si>
  <si>
    <r>
      <t>ABI Research. (2023, octobre 19).</t>
    </r>
    <r>
      <rPr>
        <i/>
        <sz val="10"/>
        <color rgb="FF00005A"/>
        <rFont val="Arial"/>
        <family val="2"/>
      </rPr>
      <t xml:space="preserve"> Key Enabling Technologies, Like AI, Will Fuel the Build-Up Toward the Metaverse, Keeping the Path Open to 1 Billion Users by 2030.</t>
    </r>
    <r>
      <rPr>
        <sz val="10"/>
        <color rgb="FF00005A"/>
        <rFont val="Arial"/>
        <family val="2"/>
      </rPr>
      <t xml:space="preserve"> https://www.abiresearch.com/press/key-enabling-technologies-like-ai-will-fuel-the-build-up-toward-the-metaverse-keeping-the-path-open-to-1-billion-users-by-2030/</t>
    </r>
  </si>
  <si>
    <t>ABI Research, 2023</t>
  </si>
  <si>
    <t>Statista, 2023a</t>
  </si>
  <si>
    <t>Statista 2023c</t>
  </si>
  <si>
    <t xml:space="preserve">Traffic mobile (EB) </t>
  </si>
  <si>
    <t>Update for mobile networks</t>
  </si>
  <si>
    <t>Meta-metaverse</t>
  </si>
  <si>
    <t>IP cameras</t>
  </si>
  <si>
    <t xml:space="preserve">25% / 30% </t>
  </si>
  <si>
    <t>2% / 4%</t>
  </si>
  <si>
    <t xml:space="preserve">Le CAGR du scénario Conservative est réhaussé pour modéliser un besoin accru de communication virtuel / réel </t>
  </si>
  <si>
    <t>Vérification de la taille du parc avec le nombre de terminaux produits pour 6,8 ans de durée de vie - pour comparaison : durée de vie moyenne de 4 ans [Edna, 2019]</t>
  </si>
  <si>
    <t>Mais diminué pour modéliser une consommation accrue due au gain "d'intelligence' de ces modules IOT</t>
  </si>
  <si>
    <t>CAGR is 3% higher than for the Conservative scenario to model the intelligence gain in the IOT modules</t>
  </si>
  <si>
    <t>CAGR 2023-2025</t>
  </si>
  <si>
    <t>CAGR 2025 - 2030</t>
  </si>
  <si>
    <t>La moyenne des objets IOT simples (0.3 - 1.3kgCO2) et complexes (16.6 - 47.4kgCO2e) est à 16 kgCO2e/unité [Pirson, Bol, 2021]</t>
  </si>
  <si>
    <r>
      <t>L’empreinte carbone de la fabrication (kgCO</t>
    </r>
    <r>
      <rPr>
        <b/>
        <vertAlign val="subscript"/>
        <sz val="11"/>
        <color rgb="FF804000"/>
        <rFont val="Calibri"/>
        <family val="2"/>
        <scheme val="minor"/>
      </rPr>
      <t>2</t>
    </r>
    <r>
      <rPr>
        <b/>
        <sz val="11"/>
        <color rgb="FF804000"/>
        <rFont val="Calibri"/>
        <family val="2"/>
        <scheme val="minor"/>
      </rPr>
      <t>e/unité)</t>
    </r>
  </si>
  <si>
    <t>L’empreinte carbone de la fabrication (kgCO2e/unité)</t>
  </si>
  <si>
    <t>Production GHG/energy intensity increase [Pirson, Bol, 2021] (entanglement of physical and virtual words thanks to IOT modules, the carbon footprint of each module is rising) - except 40% for 2023-2025 period</t>
  </si>
  <si>
    <t>CAGR du scénario conservative</t>
  </si>
  <si>
    <t>CAGR is 2% higher than for the Conservative scenario to model an increased need for real / virtual communication</t>
  </si>
  <si>
    <t>CAGR is 3% higher than for the Conservative scenario to model an increased need for real / virtual communication</t>
  </si>
  <si>
    <t xml:space="preserve">Le CAGR du scénario Conservative est réhaussé pour modéliser l'intrication communication virtuel / réel </t>
  </si>
  <si>
    <t xml:space="preserve">Le CAGR du scénario Conservative est réhaussé de 5% puis 5% pour modéliser l'intrication communication virtuel / réel </t>
  </si>
  <si>
    <t xml:space="preserve">Le CAGR du scénario Conservative est réhaussé de 2% puis 2% pour modéliser l'intrication communication virtuel / réel </t>
  </si>
  <si>
    <t>40% / 35%</t>
  </si>
  <si>
    <t>By 2026, 25% of people will spend at least 1h per day in the metaverse [Gartner, 2022], hypothesis to postpone to 2030
Hypothesis : Users subtitute 1h of VOD by 1h of metaverse 
Peak trafic speed downlink : 50 Mbps [Ericsson, 2023] 
Hypothesis : data allocation to fixe wired, wi-fi, mobile : 1/3, 1/3, 1/3</t>
  </si>
  <si>
    <t xml:space="preserve">Consolidation : </t>
  </si>
  <si>
    <t xml:space="preserve">Option 1 : </t>
  </si>
  <si>
    <r>
      <t xml:space="preserve">Option 2 : </t>
    </r>
    <r>
      <rPr>
        <sz val="11"/>
        <color theme="1"/>
        <rFont val="Calibri"/>
        <family val="2"/>
        <scheme val="minor"/>
      </rPr>
      <t xml:space="preserve">On considère toutes les données transitant sur les réseaux comme collectées et stockées + une collecte de données à la façon Fortnite : </t>
    </r>
  </si>
  <si>
    <r>
      <t>Option 3 :</t>
    </r>
    <r>
      <rPr>
        <sz val="11"/>
        <color rgb="FF002060"/>
        <rFont val="Calibri"/>
        <family val="2"/>
        <scheme val="minor"/>
      </rPr>
      <t xml:space="preserve"> L'approche est top-down à partir de 2 prévisions pour les centres de données : l'hyperscale non liée aux mondes virtuels, edge liée aux mondes virtuels  </t>
    </r>
  </si>
  <si>
    <r>
      <t>Option 4 :</t>
    </r>
    <r>
      <rPr>
        <sz val="11"/>
        <color theme="1"/>
        <rFont val="Calibri"/>
        <family val="2"/>
        <scheme val="minor"/>
      </rPr>
      <t xml:space="preserve"> L'approche est top-down à partir de la prévision de Schneider Electric pour les centres de données (liée à l'IA et non aux mondes virtuels)</t>
    </r>
  </si>
  <si>
    <t>Les CAGR de 30% et 25% sont choisis.</t>
  </si>
  <si>
    <t>Consolidation between : vision of computation power and computational efficiency increase [Intel, 2021] : hypothesis to x2.5 data center electrical consumption 2023-2030 ; trafic increase higher for hyperscale than edge [Synergy Research Group, 2023, Datacenterdynamics, 2023]</t>
  </si>
  <si>
    <r>
      <t xml:space="preserve">Hypothesis : The Meta-metaverse scenario is linked to the conservative scenario from 2023 onwards, </t>
    </r>
    <r>
      <rPr>
        <sz val="11"/>
        <color rgb="FF00B0F0"/>
        <rFont val="Calibri"/>
        <family val="2"/>
        <scheme val="minor"/>
      </rPr>
      <t xml:space="preserve">except the update for mobile networks </t>
    </r>
  </si>
  <si>
    <t>[5]</t>
  </si>
  <si>
    <t xml:space="preserve">[Synergy Research Group, 2023] et [DatacenterDynamics, 2023] indiquent une croissance du trafic plus forte pour les hyperscale. </t>
  </si>
  <si>
    <t xml:space="preserve">Néanmoins, les CAGR 36% et 30% sont réduits pour s'approcher de la vision d'Intel [Intel, 2021] modérée pour 2030 28% et 28% - ou des débits mondes virtuels transitant par les réseaux 27% et 27% [Gartner, 2022] [Cisco, 2020] </t>
  </si>
  <si>
    <t xml:space="preserve">[IEA E4 EDNA, 2019, p32] </t>
  </si>
  <si>
    <t>Références et utilisés pour construction</t>
  </si>
  <si>
    <t>Utilisés pour construction ou comparaison</t>
  </si>
  <si>
    <t>Comparaison :</t>
  </si>
  <si>
    <t xml:space="preserve">Immersion </t>
  </si>
  <si>
    <t>Coexistence physique et numérique</t>
  </si>
  <si>
    <t xml:space="preserve">Simultanéité </t>
  </si>
  <si>
    <t>Localisation</t>
  </si>
  <si>
    <t>Taille critique requise</t>
  </si>
  <si>
    <t>Utilisation au pic</t>
  </si>
  <si>
    <t>Persistance</t>
  </si>
  <si>
    <t xml:space="preserve">Virtualisation et rempliassage </t>
  </si>
  <si>
    <t>Commercialisation</t>
  </si>
  <si>
    <t>x</t>
  </si>
  <si>
    <t xml:space="preserve">A propos de la mise à jour mobile pour CAGR 2019-2025 : </t>
  </si>
  <si>
    <t xml:space="preserve">Pour mobile : à partir du trafic Ericsson en 2023, des 37% de CAGR 2023-2025 et des 23% de CAGR 2025-2030 du scénario Conservative </t>
  </si>
  <si>
    <t>[Ericsson visualizer: https://www.ericsson.com/en/reports-and-papers/mobility-report/mobility-visualizer?f=8&amp;ft=2&amp;r=1&amp;t=1,20&amp;s=4&amp;u=3&amp;y=2019,2025&amp;c=3]</t>
  </si>
  <si>
    <t xml:space="preserve">Mobile data traffic 2019-2023 : </t>
  </si>
  <si>
    <t xml:space="preserve">Mobile data traffic Quaterly 2019 Q1 - 2023 Q1 : </t>
  </si>
  <si>
    <t>IOTmodules</t>
  </si>
  <si>
    <t>-&gt;</t>
  </si>
  <si>
    <r>
      <t xml:space="preserve">Tous les utilisateurs ont un casque, les casques ont une durée de vie de </t>
    </r>
    <r>
      <rPr>
        <sz val="11"/>
        <color rgb="FF00B0F0"/>
        <rFont val="Calibri"/>
        <family val="2"/>
        <scheme val="minor"/>
      </rPr>
      <t>2 ans</t>
    </r>
    <r>
      <rPr>
        <sz val="11"/>
        <color theme="1"/>
        <rFont val="Calibri"/>
        <family val="2"/>
        <scheme val="minor"/>
      </rPr>
      <t xml:space="preserve"> : voir onglet [2]</t>
    </r>
  </si>
  <si>
    <t>Durée de vie (ans)</t>
  </si>
  <si>
    <t>HTC Vive</t>
  </si>
  <si>
    <t>HP Reverb</t>
  </si>
  <si>
    <t>Meta / Oculus</t>
  </si>
  <si>
    <t>Pico</t>
  </si>
  <si>
    <t>Samsung</t>
  </si>
  <si>
    <t>Varjo</t>
  </si>
  <si>
    <t>La gamme est renouvellée tous les 1 +/- 0.76 ans (calcul)</t>
  </si>
  <si>
    <t xml:space="preserve">Nous avons retenu 2 ans, par croisement. </t>
  </si>
  <si>
    <t>Wikipedia, 2024</t>
  </si>
  <si>
    <t>7 constructeurs de casque proposant des modèles entre 2015 et 2024 : Meta / Oculus (10 modèles), HTC Vive (7 modèles), Pico (5 modèles), Samsung (3 modèles), Varjo (3 modèles) [Wikipedia, 2024]</t>
  </si>
  <si>
    <t xml:space="preserve">Input scénario GT Réseaux : </t>
  </si>
  <si>
    <t xml:space="preserve">CAGR 2023-2030 </t>
  </si>
  <si>
    <t xml:space="preserve">Sortie pour l'outil du GT Réseaux : Réseaux mobiles : Pour modéliser un scénario Méta-métavers : </t>
  </si>
  <si>
    <t xml:space="preserve">Go / mois </t>
  </si>
  <si>
    <t xml:space="preserve">Output : Estimation pour 2030 : </t>
  </si>
  <si>
    <t>CAGR 2024-2030</t>
  </si>
  <si>
    <t>[6bis]</t>
  </si>
  <si>
    <t>Scenario for Mobile Networks TSP Report 2024 -&gt;</t>
  </si>
  <si>
    <t xml:space="preserve">CAGR 2024-20240 </t>
  </si>
  <si>
    <t>Méta-métavers</t>
  </si>
  <si>
    <t>ADL</t>
  </si>
  <si>
    <t xml:space="preserve">Pour comparaison : </t>
  </si>
  <si>
    <t>(Go / mois)</t>
  </si>
  <si>
    <t>Ref</t>
  </si>
  <si>
    <t xml:space="preserve">Ref </t>
  </si>
  <si>
    <t>(y1-y0)/(x1-x0)</t>
  </si>
  <si>
    <t>y0</t>
  </si>
  <si>
    <t>Par comparaison aux USA, un smartphone est remplacé tous les 2.67 ans [Statista, 2023b]</t>
  </si>
  <si>
    <t>Statista 2023b</t>
  </si>
  <si>
    <t>Statista, 2023d</t>
  </si>
  <si>
    <t>- By 2030, the number of users in the Metaverse market is expected to reach 2,633.0m users [Statista, 2023c]</t>
  </si>
  <si>
    <t>- 2.9 milliards utilisateurs actifs Meta fin 2022 qui pourrait être dans un monde virtuel en 2030 si le déploiement Meta était généralisé [Statista, 2023d]</t>
  </si>
  <si>
    <t>- Par rapport à la courbe d'adoption du smartphhone [Statista, 2023a] : 2007 (170 millions) et 2017 (1530 millions) : Gartner propose d'aller 4 fois plus vite, ce scénario va 2 fois plus vite</t>
  </si>
  <si>
    <t>Allied Market Research, 2023</t>
  </si>
  <si>
    <r>
      <t xml:space="preserve">Allied Market Research. (2023, novembre). </t>
    </r>
    <r>
      <rPr>
        <i/>
        <sz val="10"/>
        <color rgb="FF00005A"/>
        <rFont val="Arial"/>
        <family val="2"/>
      </rPr>
      <t>Video Surveillance Market Research</t>
    </r>
    <r>
      <rPr>
        <sz val="10"/>
        <color rgb="FF00005A"/>
        <rFont val="Arial"/>
        <family val="2"/>
      </rPr>
      <t>, 2032. https://www.alliedmarketresearch.com/Video-Surveillance-market</t>
    </r>
  </si>
  <si>
    <r>
      <t xml:space="preserve">Statista Research Department. (2023b, juillet 21). </t>
    </r>
    <r>
      <rPr>
        <i/>
        <sz val="10"/>
        <color rgb="FF00005A"/>
        <rFont val="Arial"/>
        <family val="2"/>
      </rPr>
      <t>Number of smartphones sold to end users worldwide from 2007 to 2022</t>
    </r>
    <r>
      <rPr>
        <sz val="10"/>
        <color rgb="FF00005A"/>
        <rFont val="Arial"/>
        <family val="2"/>
      </rPr>
      <t>. https://www.statista.com/statistics/263437/global-smartphone-sales-to-end-users-since-2007/</t>
    </r>
  </si>
  <si>
    <r>
      <t xml:space="preserve">Statista Research Department. (2023c, août 31). Statista. (2023, août 31). </t>
    </r>
    <r>
      <rPr>
        <i/>
        <sz val="10"/>
        <color rgb="FF00005A"/>
        <rFont val="Arial"/>
        <family val="2"/>
      </rPr>
      <t>U.S.  : Smartphones replacement cycle 2013-2027.</t>
    </r>
    <r>
      <rPr>
        <sz val="10"/>
        <color rgb="FF00005A"/>
        <rFont val="Arial"/>
        <family val="2"/>
      </rPr>
      <t xml:space="preserve"> https://www.statista.com/statistics/619788/average-smartphone-life/</t>
    </r>
  </si>
  <si>
    <r>
      <t xml:space="preserve">Statista Research Department. (2023c, octobre). </t>
    </r>
    <r>
      <rPr>
        <i/>
        <sz val="10"/>
        <color rgb="FF00005A"/>
        <rFont val="Arial"/>
        <family val="2"/>
      </rPr>
      <t>Metaverse Worldwide—Highlights</t>
    </r>
    <r>
      <rPr>
        <sz val="10"/>
        <color rgb="FF00005A"/>
        <rFont val="Arial"/>
        <family val="2"/>
      </rPr>
      <t>. https://fr.statista.com/outlook/amo/metaverse/worldwide</t>
    </r>
  </si>
  <si>
    <r>
      <t xml:space="preserve">Statista Research Department. (2023a). </t>
    </r>
    <r>
      <rPr>
        <i/>
        <sz val="10"/>
        <color rgb="FF00005A"/>
        <rFont val="Arial"/>
        <family val="2"/>
      </rPr>
      <t>Nombre d’utilisateurs actifs de Facebook par trimestre dans le monde 2008-2022.</t>
    </r>
    <r>
      <rPr>
        <sz val="10"/>
        <color rgb="FF00005A"/>
        <rFont val="Arial"/>
        <family val="2"/>
      </rPr>
      <t xml:space="preserve"> https://fr.statista.com/statistiques/565258/facebook-nombre-d-utilisateurs-actifs-mensuels-dans-le-monde/</t>
    </r>
  </si>
  <si>
    <r>
      <t xml:space="preserve">Wikipédia. (2024). </t>
    </r>
    <r>
      <rPr>
        <i/>
        <sz val="10"/>
        <color rgb="FF00005A"/>
        <rFont val="Arial"/>
        <family val="2"/>
      </rPr>
      <t>List of virtual reality headsets</t>
    </r>
    <r>
      <rPr>
        <sz val="10"/>
        <color rgb="FF00005A"/>
        <rFont val="Arial"/>
        <family val="2"/>
      </rPr>
      <t>. https://en.wikipedia.org/w/index.php?title=List_of_virtual_reality_headsets&amp;oldid=1208303712</t>
    </r>
  </si>
  <si>
    <t>CAGR is 2% higher than for the Conservative scenario to model an increased need for real / virtual communication (expert advice based on [Allied Market Research, 2023])</t>
  </si>
  <si>
    <t>CAGR conservative kept (expert advice based on [Allied Market Research, 2023])</t>
  </si>
  <si>
    <t>CAGR of the Conservative scenario is increased by 5% (2023-2025) and then 5% (2025-2030) to model virtual/real communication entanglement (expert advice based on [Allied Market Research, 2023])</t>
  </si>
  <si>
    <t>CAGR of the Conservative scenario is increased by 2% (2023-2025) and then 2% (2025-2030) to model virtual/real communication entanglement (expert advice based on [Allied Market Research, 2023])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</si>
</sst>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\ _€_-;\-* #,##0.00\ _€_-;_-* &quot;-&quot;??\ _€_-;_-@_-"/>
    <numFmt numFmtId="167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804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rgb="FFC0C0C0"/>
      <name val="Calibri"/>
      <family val="2"/>
      <scheme val="minor"/>
    </font>
    <font>
      <sz val="11"/>
      <color rgb="FFC0C0C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rgb="FF002060"/>
      <name val="Calibri"/>
      <family val="2"/>
      <scheme val="minor"/>
    </font>
    <font>
      <sz val="10"/>
      <color rgb="FF00005A"/>
      <name val="Arial"/>
      <family val="2"/>
    </font>
    <font>
      <i/>
      <sz val="10"/>
      <color rgb="FF00005A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8"/>
      <color rgb="FF00005A"/>
      <name val="Arial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u/>
      <sz val="11"/>
      <color rgb="FF00206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b/>
      <vertAlign val="subscript"/>
      <sz val="11"/>
      <color rgb="FF804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CC99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/>
      <right style="dotted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/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dott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dotted">
        <color rgb="FF002060"/>
      </bottom>
      <diagonal/>
    </border>
    <border>
      <left style="thin">
        <color rgb="FF002060"/>
      </left>
      <right/>
      <top style="thin">
        <color rgb="FF002060"/>
      </top>
      <bottom style="dotted">
        <color rgb="FF002060"/>
      </bottom>
      <diagonal/>
    </border>
    <border>
      <left/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dotted">
        <color rgb="FF002060"/>
      </right>
      <top style="dotted">
        <color rgb="FF002060"/>
      </top>
      <bottom style="thin">
        <color rgb="FF002060"/>
      </bottom>
      <diagonal/>
    </border>
    <border>
      <left/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/>
      <bottom style="dotted">
        <color rgb="FF002060"/>
      </bottom>
      <diagonal/>
    </border>
    <border>
      <left/>
      <right style="thin">
        <color rgb="FF002060"/>
      </right>
      <top/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thin">
        <color rgb="FF002060"/>
      </bottom>
      <diagonal/>
    </border>
    <border>
      <left/>
      <right/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dotted">
        <color rgb="FF002060"/>
      </right>
      <top/>
      <bottom/>
      <diagonal/>
    </border>
    <border>
      <left/>
      <right style="dotted">
        <color rgb="FF002060"/>
      </right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thin">
        <color indexed="64"/>
      </left>
      <right style="dotted">
        <color rgb="FF002060"/>
      </right>
      <top style="thin">
        <color indexed="64"/>
      </top>
      <bottom style="dotted">
        <color rgb="FF002060"/>
      </bottom>
      <diagonal/>
    </border>
    <border>
      <left/>
      <right style="dotted">
        <color rgb="FF002060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 style="dotted">
        <color rgb="FF002060"/>
      </top>
      <bottom style="thin">
        <color indexed="64"/>
      </bottom>
      <diagonal/>
    </border>
    <border>
      <left/>
      <right style="dotted">
        <color rgb="FF002060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dotted">
        <color indexed="64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 style="dotted">
        <color rgb="FF002060"/>
      </top>
      <bottom style="thin">
        <color indexed="64"/>
      </bottom>
      <diagonal/>
    </border>
    <border>
      <left/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rgb="FF00206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dotted">
        <color rgb="FF002060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rgb="FF002060"/>
      </bottom>
      <diagonal/>
    </border>
    <border>
      <left style="dotted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dotted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rgb="FF002060"/>
      </left>
      <right style="dotted">
        <color indexed="64"/>
      </right>
      <top/>
      <bottom style="dotted">
        <color rgb="FF002060"/>
      </bottom>
      <diagonal/>
    </border>
    <border>
      <left style="thin">
        <color rgb="FF002060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dotted">
        <color rgb="FF002060"/>
      </top>
      <bottom/>
      <diagonal/>
    </border>
    <border>
      <left/>
      <right style="thin">
        <color rgb="FF002060"/>
      </right>
      <top style="dotted">
        <color rgb="FF002060"/>
      </top>
      <bottom/>
      <diagonal/>
    </border>
    <border>
      <left/>
      <right style="dotted">
        <color rgb="FF002060"/>
      </right>
      <top style="thin">
        <color indexed="64"/>
      </top>
      <bottom/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/>
      <diagonal/>
    </border>
    <border>
      <left style="thin">
        <color indexed="64"/>
      </left>
      <right/>
      <top style="dotted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/>
      <bottom/>
      <diagonal/>
    </border>
    <border>
      <left style="dotted">
        <color rgb="FF002060"/>
      </left>
      <right style="thin">
        <color indexed="64"/>
      </right>
      <top/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rgb="FF002060"/>
      </top>
      <bottom/>
      <diagonal/>
    </border>
    <border>
      <left style="hair">
        <color indexed="64"/>
      </left>
      <right/>
      <top style="hair">
        <color indexed="64"/>
      </top>
      <bottom style="dotted">
        <color rgb="FF002060"/>
      </bottom>
      <diagonal/>
    </border>
    <border>
      <left/>
      <right/>
      <top style="hair">
        <color indexed="64"/>
      </top>
      <bottom style="dotted">
        <color rgb="FF002060"/>
      </bottom>
      <diagonal/>
    </border>
    <border>
      <left/>
      <right style="hair">
        <color indexed="64"/>
      </right>
      <top style="hair">
        <color indexed="64"/>
      </top>
      <bottom style="dotted">
        <color rgb="FF002060"/>
      </bottom>
      <diagonal/>
    </border>
    <border>
      <left style="hair">
        <color indexed="64"/>
      </left>
      <right style="dotted">
        <color rgb="FF002060"/>
      </right>
      <top style="dotted">
        <color rgb="FF002060"/>
      </top>
      <bottom style="hair">
        <color indexed="64"/>
      </bottom>
      <diagonal/>
    </border>
    <border>
      <left/>
      <right style="thin">
        <color indexed="64"/>
      </right>
      <top style="dotted">
        <color rgb="FF002060"/>
      </top>
      <bottom style="hair">
        <color indexed="64"/>
      </bottom>
      <diagonal/>
    </border>
    <border>
      <left/>
      <right style="hair">
        <color indexed="64"/>
      </right>
      <top style="dotted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thin">
        <color rgb="FF00206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1" xfId="1" applyNumberFormat="1" applyFont="1" applyBorder="1" applyAlignment="1">
      <alignment horizontal="center"/>
    </xf>
    <xf numFmtId="164" fontId="0" fillId="0" borderId="0" xfId="0" applyNumberFormat="1"/>
    <xf numFmtId="0" fontId="6" fillId="4" borderId="5" xfId="0" applyFont="1" applyFill="1" applyBorder="1" applyAlignment="1">
      <alignment horizontal="center"/>
    </xf>
    <xf numFmtId="0" fontId="5" fillId="0" borderId="8" xfId="0" applyFont="1" applyBorder="1"/>
    <xf numFmtId="9" fontId="5" fillId="0" borderId="9" xfId="0" applyNumberFormat="1" applyFont="1" applyBorder="1"/>
    <xf numFmtId="0" fontId="5" fillId="0" borderId="4" xfId="0" applyFont="1" applyBorder="1"/>
    <xf numFmtId="9" fontId="5" fillId="0" borderId="7" xfId="0" applyNumberFormat="1" applyFont="1" applyBorder="1"/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/>
    <xf numFmtId="0" fontId="0" fillId="0" borderId="10" xfId="0" applyBorder="1"/>
    <xf numFmtId="0" fontId="0" fillId="0" borderId="1" xfId="1" applyNumberFormat="1" applyFont="1" applyBorder="1" applyAlignment="1">
      <alignment horizontal="left"/>
    </xf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Border="1"/>
    <xf numFmtId="164" fontId="0" fillId="0" borderId="10" xfId="1" applyNumberFormat="1" applyFont="1" applyBorder="1"/>
    <xf numFmtId="0" fontId="5" fillId="0" borderId="16" xfId="0" applyFont="1" applyBorder="1"/>
    <xf numFmtId="0" fontId="8" fillId="0" borderId="1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9" fontId="8" fillId="0" borderId="18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" xfId="1" applyNumberFormat="1" applyFont="1" applyBorder="1" applyAlignment="1">
      <alignment horizontal="left" wrapText="1"/>
    </xf>
    <xf numFmtId="0" fontId="0" fillId="0" borderId="10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16" xfId="1" applyFont="1" applyBorder="1" applyAlignment="1">
      <alignment horizontal="center"/>
    </xf>
    <xf numFmtId="43" fontId="0" fillId="0" borderId="10" xfId="1" applyFont="1" applyBorder="1"/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43" fontId="0" fillId="0" borderId="0" xfId="1" applyFont="1"/>
    <xf numFmtId="0" fontId="6" fillId="4" borderId="16" xfId="0" applyFont="1" applyFill="1" applyBorder="1" applyAlignment="1">
      <alignment horizontal="center"/>
    </xf>
    <xf numFmtId="0" fontId="5" fillId="0" borderId="18" xfId="0" applyFont="1" applyBorder="1"/>
    <xf numFmtId="0" fontId="5" fillId="0" borderId="14" xfId="0" applyFont="1" applyBorder="1"/>
    <xf numFmtId="164" fontId="5" fillId="0" borderId="9" xfId="1" applyNumberFormat="1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9" fontId="8" fillId="0" borderId="23" xfId="0" applyNumberFormat="1" applyFont="1" applyBorder="1" applyAlignment="1">
      <alignment horizontal="center"/>
    </xf>
    <xf numFmtId="0" fontId="5" fillId="0" borderId="2" xfId="0" applyFont="1" applyBorder="1"/>
    <xf numFmtId="164" fontId="5" fillId="0" borderId="3" xfId="1" applyNumberFormat="1" applyFont="1" applyBorder="1"/>
    <xf numFmtId="164" fontId="5" fillId="0" borderId="5" xfId="1" applyNumberFormat="1" applyFont="1" applyBorder="1"/>
    <xf numFmtId="0" fontId="5" fillId="0" borderId="24" xfId="0" applyFont="1" applyBorder="1"/>
    <xf numFmtId="164" fontId="0" fillId="0" borderId="10" xfId="0" applyNumberFormat="1" applyBorder="1"/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5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/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9" fontId="5" fillId="0" borderId="9" xfId="0" applyNumberFormat="1" applyFont="1" applyBorder="1" applyAlignment="1">
      <alignment vertical="center" wrapText="1"/>
    </xf>
    <xf numFmtId="9" fontId="5" fillId="0" borderId="5" xfId="0" applyNumberFormat="1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/>
    </xf>
    <xf numFmtId="9" fontId="5" fillId="0" borderId="9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11" fillId="0" borderId="0" xfId="0" applyFont="1"/>
    <xf numFmtId="43" fontId="0" fillId="0" borderId="10" xfId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64" fontId="0" fillId="0" borderId="25" xfId="1" applyNumberFormat="1" applyFont="1" applyBorder="1" applyAlignment="1">
      <alignment horizontal="center" vertical="center" wrapText="1"/>
    </xf>
    <xf numFmtId="0" fontId="0" fillId="0" borderId="1" xfId="0" applyBorder="1"/>
    <xf numFmtId="0" fontId="6" fillId="4" borderId="26" xfId="0" applyFont="1" applyFill="1" applyBorder="1" applyAlignment="1">
      <alignment horizontal="center"/>
    </xf>
    <xf numFmtId="9" fontId="5" fillId="0" borderId="28" xfId="3" applyFont="1" applyBorder="1"/>
    <xf numFmtId="9" fontId="5" fillId="0" borderId="31" xfId="0" applyNumberFormat="1" applyFont="1" applyBorder="1"/>
    <xf numFmtId="0" fontId="0" fillId="0" borderId="0" xfId="0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32" xfId="0" applyFont="1" applyBorder="1" applyAlignment="1">
      <alignment horizontal="justify" vertical="center"/>
    </xf>
    <xf numFmtId="0" fontId="13" fillId="0" borderId="36" xfId="0" applyFont="1" applyBorder="1" applyAlignment="1">
      <alignment horizontal="justify" vertical="center"/>
    </xf>
    <xf numFmtId="0" fontId="15" fillId="0" borderId="0" xfId="0" applyFont="1"/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64" fontId="0" fillId="0" borderId="1" xfId="1" applyNumberFormat="1" applyFont="1" applyBorder="1"/>
    <xf numFmtId="9" fontId="0" fillId="0" borderId="0" xfId="0" applyNumberFormat="1"/>
    <xf numFmtId="164" fontId="17" fillId="0" borderId="10" xfId="1" applyNumberFormat="1" applyFont="1" applyBorder="1"/>
    <xf numFmtId="164" fontId="17" fillId="0" borderId="1" xfId="1" applyNumberFormat="1" applyFont="1" applyBorder="1"/>
    <xf numFmtId="9" fontId="17" fillId="0" borderId="1" xfId="0" applyNumberFormat="1" applyFont="1" applyBorder="1"/>
    <xf numFmtId="9" fontId="17" fillId="0" borderId="0" xfId="0" applyNumberFormat="1" applyFont="1"/>
    <xf numFmtId="0" fontId="19" fillId="0" borderId="0" xfId="0" applyFont="1"/>
    <xf numFmtId="9" fontId="5" fillId="0" borderId="31" xfId="0" applyNumberFormat="1" applyFont="1" applyBorder="1" applyAlignment="1">
      <alignment vertical="center"/>
    </xf>
    <xf numFmtId="9" fontId="5" fillId="0" borderId="0" xfId="0" applyNumberFormat="1" applyFont="1" applyAlignment="1">
      <alignment vertical="center"/>
    </xf>
    <xf numFmtId="0" fontId="15" fillId="0" borderId="0" xfId="0" quotePrefix="1" applyFont="1"/>
    <xf numFmtId="0" fontId="18" fillId="0" borderId="0" xfId="2" applyFont="1"/>
    <xf numFmtId="0" fontId="20" fillId="0" borderId="0" xfId="0" applyFont="1"/>
    <xf numFmtId="0" fontId="4" fillId="0" borderId="0" xfId="2" applyAlignment="1">
      <alignment vertical="center"/>
    </xf>
    <xf numFmtId="164" fontId="5" fillId="0" borderId="27" xfId="1" applyNumberFormat="1" applyFont="1" applyBorder="1"/>
    <xf numFmtId="164" fontId="5" fillId="0" borderId="29" xfId="1" applyNumberFormat="1" applyFont="1" applyBorder="1"/>
    <xf numFmtId="164" fontId="5" fillId="0" borderId="37" xfId="1" applyNumberFormat="1" applyFont="1" applyBorder="1"/>
    <xf numFmtId="164" fontId="5" fillId="0" borderId="38" xfId="1" applyNumberFormat="1" applyFont="1" applyBorder="1"/>
    <xf numFmtId="164" fontId="5" fillId="0" borderId="39" xfId="1" applyNumberFormat="1" applyFont="1" applyBorder="1"/>
    <xf numFmtId="0" fontId="7" fillId="3" borderId="33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9" fontId="5" fillId="0" borderId="33" xfId="0" applyNumberFormat="1" applyFont="1" applyBorder="1" applyAlignment="1">
      <alignment vertical="center"/>
    </xf>
    <xf numFmtId="9" fontId="5" fillId="0" borderId="41" xfId="0" applyNumberFormat="1" applyFont="1" applyBorder="1" applyAlignment="1">
      <alignment vertical="center"/>
    </xf>
    <xf numFmtId="9" fontId="5" fillId="0" borderId="40" xfId="0" applyNumberFormat="1" applyFont="1" applyBorder="1" applyAlignment="1">
      <alignment vertical="center"/>
    </xf>
    <xf numFmtId="9" fontId="5" fillId="0" borderId="42" xfId="0" applyNumberFormat="1" applyFont="1" applyBorder="1"/>
    <xf numFmtId="9" fontId="5" fillId="0" borderId="43" xfId="0" applyNumberFormat="1" applyFont="1" applyBorder="1"/>
    <xf numFmtId="9" fontId="5" fillId="0" borderId="28" xfId="0" applyNumberFormat="1" applyFont="1" applyBorder="1"/>
    <xf numFmtId="9" fontId="5" fillId="0" borderId="33" xfId="0" applyNumberFormat="1" applyFont="1" applyBorder="1"/>
    <xf numFmtId="9" fontId="5" fillId="0" borderId="41" xfId="0" applyNumberFormat="1" applyFont="1" applyBorder="1"/>
    <xf numFmtId="0" fontId="6" fillId="4" borderId="45" xfId="0" applyFont="1" applyFill="1" applyBorder="1" applyAlignment="1">
      <alignment horizontal="center"/>
    </xf>
    <xf numFmtId="164" fontId="9" fillId="0" borderId="42" xfId="1" applyNumberFormat="1" applyFont="1" applyBorder="1" applyAlignment="1">
      <alignment vertical="center"/>
    </xf>
    <xf numFmtId="9" fontId="5" fillId="0" borderId="47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5" fillId="0" borderId="14" xfId="0" applyFont="1" applyBorder="1" applyAlignment="1">
      <alignment horizontal="right"/>
    </xf>
    <xf numFmtId="164" fontId="5" fillId="0" borderId="30" xfId="1" applyNumberFormat="1" applyFont="1" applyBorder="1" applyAlignment="1">
      <alignment vertical="center"/>
    </xf>
    <xf numFmtId="166" fontId="5" fillId="0" borderId="5" xfId="0" applyNumberFormat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0" fillId="0" borderId="48" xfId="1" applyNumberFormat="1" applyFont="1" applyBorder="1" applyAlignment="1">
      <alignment horizontal="left" wrapText="1"/>
    </xf>
    <xf numFmtId="164" fontId="5" fillId="0" borderId="15" xfId="1" applyNumberFormat="1" applyFont="1" applyBorder="1" applyAlignment="1">
      <alignment horizontal="center"/>
    </xf>
    <xf numFmtId="0" fontId="0" fillId="0" borderId="0" xfId="0" quotePrefix="1"/>
    <xf numFmtId="0" fontId="5" fillId="0" borderId="0" xfId="0" quotePrefix="1" applyFont="1"/>
    <xf numFmtId="43" fontId="5" fillId="0" borderId="5" xfId="1" applyFont="1" applyBorder="1" applyAlignment="1">
      <alignment horizontal="center"/>
    </xf>
    <xf numFmtId="0" fontId="22" fillId="0" borderId="0" xfId="0" applyFont="1"/>
    <xf numFmtId="43" fontId="0" fillId="0" borderId="0" xfId="0" applyNumberFormat="1"/>
    <xf numFmtId="0" fontId="5" fillId="0" borderId="1" xfId="0" applyFont="1" applyBorder="1"/>
    <xf numFmtId="0" fontId="0" fillId="0" borderId="25" xfId="0" applyBorder="1" applyAlignment="1">
      <alignment horizontal="center" vertical="center"/>
    </xf>
    <xf numFmtId="164" fontId="0" fillId="0" borderId="1" xfId="0" applyNumberFormat="1" applyBorder="1"/>
    <xf numFmtId="0" fontId="23" fillId="0" borderId="0" xfId="0" applyFont="1"/>
    <xf numFmtId="0" fontId="5" fillId="0" borderId="48" xfId="0" applyFont="1" applyBorder="1"/>
    <xf numFmtId="0" fontId="5" fillId="0" borderId="40" xfId="0" applyFont="1" applyBorder="1"/>
    <xf numFmtId="0" fontId="21" fillId="0" borderId="0" xfId="4"/>
    <xf numFmtId="0" fontId="5" fillId="0" borderId="62" xfId="0" applyFont="1" applyBorder="1" applyAlignment="1">
      <alignment wrapText="1"/>
    </xf>
    <xf numFmtId="9" fontId="15" fillId="0" borderId="0" xfId="3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/>
    <xf numFmtId="164" fontId="5" fillId="0" borderId="42" xfId="1" applyNumberFormat="1" applyFont="1" applyBorder="1"/>
    <xf numFmtId="9" fontId="5" fillId="0" borderId="42" xfId="0" applyNumberFormat="1" applyFont="1" applyBorder="1" applyAlignment="1">
      <alignment vertic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43" fontId="5" fillId="0" borderId="31" xfId="0" applyNumberFormat="1" applyFont="1" applyBorder="1" applyAlignment="1">
      <alignment horizontal="center"/>
    </xf>
    <xf numFmtId="43" fontId="5" fillId="0" borderId="40" xfId="0" applyNumberFormat="1" applyFont="1" applyBorder="1" applyAlignment="1">
      <alignment horizontal="center"/>
    </xf>
    <xf numFmtId="0" fontId="7" fillId="2" borderId="63" xfId="0" applyFont="1" applyFill="1" applyBorder="1"/>
    <xf numFmtId="0" fontId="6" fillId="4" borderId="64" xfId="0" applyFont="1" applyFill="1" applyBorder="1" applyAlignment="1">
      <alignment horizontal="center"/>
    </xf>
    <xf numFmtId="0" fontId="5" fillId="0" borderId="60" xfId="0" applyFont="1" applyBorder="1" applyAlignment="1">
      <alignment wrapText="1"/>
    </xf>
    <xf numFmtId="0" fontId="5" fillId="0" borderId="33" xfId="0" applyFont="1" applyBorder="1"/>
    <xf numFmtId="0" fontId="5" fillId="0" borderId="66" xfId="0" applyFont="1" applyBorder="1" applyAlignment="1">
      <alignment vertical="center" wrapText="1"/>
    </xf>
    <xf numFmtId="0" fontId="5" fillId="0" borderId="41" xfId="0" applyFont="1" applyBorder="1"/>
    <xf numFmtId="0" fontId="5" fillId="0" borderId="41" xfId="0" applyFont="1" applyBorder="1" applyAlignment="1">
      <alignment horizontal="right"/>
    </xf>
    <xf numFmtId="0" fontId="5" fillId="0" borderId="67" xfId="0" applyFont="1" applyBorder="1" applyAlignment="1">
      <alignment wrapText="1"/>
    </xf>
    <xf numFmtId="9" fontId="5" fillId="0" borderId="31" xfId="0" applyNumberFormat="1" applyFont="1" applyBorder="1" applyAlignment="1">
      <alignment vertical="center" wrapText="1"/>
    </xf>
    <xf numFmtId="43" fontId="5" fillId="0" borderId="13" xfId="1" applyFont="1" applyBorder="1"/>
    <xf numFmtId="43" fontId="5" fillId="0" borderId="14" xfId="1" applyFont="1" applyBorder="1"/>
    <xf numFmtId="9" fontId="17" fillId="0" borderId="50" xfId="3" applyFont="1" applyFill="1" applyBorder="1"/>
    <xf numFmtId="43" fontId="26" fillId="0" borderId="13" xfId="1" applyFont="1" applyBorder="1"/>
    <xf numFmtId="43" fontId="26" fillId="0" borderId="16" xfId="1" applyFont="1" applyBorder="1"/>
    <xf numFmtId="0" fontId="7" fillId="3" borderId="57" xfId="0" applyFont="1" applyFill="1" applyBorder="1" applyAlignment="1">
      <alignment vertical="center"/>
    </xf>
    <xf numFmtId="0" fontId="6" fillId="4" borderId="58" xfId="0" applyFont="1" applyFill="1" applyBorder="1" applyAlignment="1">
      <alignment horizontal="center"/>
    </xf>
    <xf numFmtId="9" fontId="24" fillId="0" borderId="1" xfId="3" applyFont="1" applyBorder="1"/>
    <xf numFmtId="0" fontId="5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 wrapText="1"/>
    </xf>
    <xf numFmtId="164" fontId="5" fillId="0" borderId="0" xfId="1" applyNumberFormat="1" applyFont="1" applyBorder="1"/>
    <xf numFmtId="9" fontId="5" fillId="0" borderId="0" xfId="0" applyNumberFormat="1" applyFont="1" applyBorder="1"/>
    <xf numFmtId="9" fontId="5" fillId="0" borderId="0" xfId="0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6" xfId="0" applyBorder="1" applyAlignment="1">
      <alignment horizontal="center"/>
    </xf>
    <xf numFmtId="164" fontId="5" fillId="0" borderId="5" xfId="1" applyNumberFormat="1" applyFont="1" applyFill="1" applyBorder="1"/>
    <xf numFmtId="43" fontId="5" fillId="0" borderId="16" xfId="1" applyFont="1" applyFill="1" applyBorder="1"/>
    <xf numFmtId="1" fontId="15" fillId="0" borderId="22" xfId="1" applyNumberFormat="1" applyFont="1" applyFill="1" applyBorder="1"/>
    <xf numFmtId="1" fontId="15" fillId="0" borderId="0" xfId="0" applyNumberFormat="1" applyFont="1" applyFill="1"/>
    <xf numFmtId="43" fontId="15" fillId="0" borderId="0" xfId="1" applyFont="1" applyFill="1"/>
    <xf numFmtId="9" fontId="8" fillId="0" borderId="9" xfId="0" applyNumberFormat="1" applyFont="1" applyBorder="1"/>
    <xf numFmtId="0" fontId="22" fillId="0" borderId="0" xfId="2" applyFont="1" applyAlignment="1">
      <alignment horizontal="left" vertical="center" readingOrder="1"/>
    </xf>
    <xf numFmtId="9" fontId="24" fillId="0" borderId="0" xfId="3" applyFont="1" applyBorder="1"/>
    <xf numFmtId="0" fontId="7" fillId="3" borderId="44" xfId="0" applyFont="1" applyFill="1" applyBorder="1" applyAlignment="1">
      <alignment horizontal="center" vertical="center" wrapText="1"/>
    </xf>
    <xf numFmtId="9" fontId="5" fillId="0" borderId="59" xfId="3" applyFont="1" applyBorder="1"/>
    <xf numFmtId="0" fontId="7" fillId="2" borderId="44" xfId="0" applyFont="1" applyFill="1" applyBorder="1" applyAlignment="1">
      <alignment vertical="center"/>
    </xf>
    <xf numFmtId="0" fontId="7" fillId="2" borderId="74" xfId="0" applyFont="1" applyFill="1" applyBorder="1"/>
    <xf numFmtId="0" fontId="5" fillId="0" borderId="75" xfId="0" applyFont="1" applyBorder="1" applyAlignment="1">
      <alignment wrapText="1"/>
    </xf>
    <xf numFmtId="0" fontId="5" fillId="0" borderId="66" xfId="0" applyFont="1" applyBorder="1" applyAlignment="1">
      <alignment wrapText="1"/>
    </xf>
    <xf numFmtId="0" fontId="5" fillId="0" borderId="6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7" xfId="0" applyFont="1" applyBorder="1"/>
    <xf numFmtId="0" fontId="5" fillId="0" borderId="79" xfId="0" applyFont="1" applyBorder="1"/>
    <xf numFmtId="0" fontId="5" fillId="0" borderId="79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9" fontId="5" fillId="0" borderId="51" xfId="3" applyFont="1" applyFill="1" applyBorder="1" applyAlignment="1">
      <alignment vertical="center"/>
    </xf>
    <xf numFmtId="0" fontId="5" fillId="0" borderId="65" xfId="0" applyFont="1" applyBorder="1" applyAlignment="1">
      <alignment vertical="center" wrapText="1"/>
    </xf>
    <xf numFmtId="9" fontId="5" fillId="0" borderId="52" xfId="3" applyFont="1" applyFill="1" applyBorder="1" applyAlignment="1">
      <alignment horizontal="right" vertical="center" wrapText="1"/>
    </xf>
    <xf numFmtId="9" fontId="5" fillId="0" borderId="52" xfId="3" applyFont="1" applyFill="1" applyBorder="1" applyAlignment="1">
      <alignment vertical="center"/>
    </xf>
    <xf numFmtId="9" fontId="5" fillId="0" borderId="53" xfId="3" applyFont="1" applyFill="1" applyBorder="1" applyAlignment="1">
      <alignment vertical="center"/>
    </xf>
    <xf numFmtId="9" fontId="5" fillId="0" borderId="7" xfId="3" applyFont="1" applyBorder="1"/>
    <xf numFmtId="0" fontId="5" fillId="0" borderId="80" xfId="0" applyFont="1" applyBorder="1" applyAlignment="1">
      <alignment vertical="center" wrapText="1"/>
    </xf>
    <xf numFmtId="9" fontId="5" fillId="0" borderId="56" xfId="0" applyNumberFormat="1" applyFont="1" applyBorder="1"/>
    <xf numFmtId="9" fontId="5" fillId="0" borderId="7" xfId="3" applyFont="1" applyBorder="1" applyAlignment="1">
      <alignment horizontal="right"/>
    </xf>
    <xf numFmtId="9" fontId="5" fillId="0" borderId="9" xfId="3" applyFont="1" applyBorder="1" applyAlignment="1">
      <alignment horizontal="right" vertical="center"/>
    </xf>
    <xf numFmtId="9" fontId="5" fillId="0" borderId="41" xfId="0" applyNumberFormat="1" applyFont="1" applyBorder="1" applyAlignment="1">
      <alignment wrapText="1"/>
    </xf>
    <xf numFmtId="9" fontId="5" fillId="0" borderId="31" xfId="3" applyFont="1" applyBorder="1" applyAlignment="1">
      <alignment horizontal="right" vertical="center"/>
    </xf>
    <xf numFmtId="9" fontId="5" fillId="0" borderId="40" xfId="0" applyNumberFormat="1" applyFont="1" applyBorder="1" applyAlignment="1">
      <alignment wrapText="1"/>
    </xf>
    <xf numFmtId="9" fontId="5" fillId="0" borderId="9" xfId="0" applyNumberFormat="1" applyFont="1" applyFill="1" applyBorder="1" applyAlignment="1">
      <alignment vertical="center"/>
    </xf>
    <xf numFmtId="9" fontId="5" fillId="0" borderId="31" xfId="0" applyNumberFormat="1" applyFont="1" applyFill="1" applyBorder="1" applyAlignment="1">
      <alignment vertical="center"/>
    </xf>
    <xf numFmtId="0" fontId="6" fillId="4" borderId="85" xfId="0" applyFont="1" applyFill="1" applyBorder="1" applyAlignment="1">
      <alignment horizontal="center"/>
    </xf>
    <xf numFmtId="0" fontId="6" fillId="4" borderId="86" xfId="0" applyFont="1" applyFill="1" applyBorder="1" applyAlignment="1">
      <alignment horizontal="center"/>
    </xf>
    <xf numFmtId="0" fontId="6" fillId="4" borderId="87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5" fillId="0" borderId="58" xfId="0" applyFont="1" applyBorder="1" applyAlignment="1">
      <alignment horizontal="center"/>
    </xf>
    <xf numFmtId="0" fontId="7" fillId="3" borderId="57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0" xfId="2"/>
    <xf numFmtId="0" fontId="0" fillId="0" borderId="1" xfId="0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43" fontId="0" fillId="0" borderId="1" xfId="0" applyNumberFormat="1" applyBorder="1"/>
    <xf numFmtId="0" fontId="0" fillId="0" borderId="0" xfId="0" applyFont="1"/>
    <xf numFmtId="1" fontId="0" fillId="0" borderId="1" xfId="0" applyNumberFormat="1" applyBorder="1"/>
    <xf numFmtId="2" fontId="0" fillId="0" borderId="1" xfId="0" applyNumberFormat="1" applyBorder="1"/>
    <xf numFmtId="0" fontId="0" fillId="0" borderId="0" xfId="0" applyBorder="1"/>
    <xf numFmtId="46" fontId="0" fillId="0" borderId="0" xfId="0" applyNumberFormat="1"/>
    <xf numFmtId="0" fontId="0" fillId="0" borderId="0" xfId="0" applyFill="1" applyBorder="1"/>
    <xf numFmtId="164" fontId="0" fillId="0" borderId="1" xfId="1" applyNumberFormat="1" applyFont="1" applyFill="1" applyBorder="1"/>
    <xf numFmtId="167" fontId="0" fillId="0" borderId="1" xfId="1" applyNumberFormat="1" applyFont="1" applyBorder="1"/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7" fillId="2" borderId="60" xfId="0" applyFont="1" applyFill="1" applyBorder="1" applyAlignment="1">
      <alignment horizontal="left" vertical="center"/>
    </xf>
    <xf numFmtId="0" fontId="7" fillId="2" borderId="73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5" fillId="0" borderId="76" xfId="0" applyFont="1" applyBorder="1" applyAlignment="1">
      <alignment horizontal="left" vertical="top" wrapText="1"/>
    </xf>
    <xf numFmtId="0" fontId="5" fillId="0" borderId="78" xfId="0" applyFont="1" applyBorder="1" applyAlignment="1">
      <alignment horizontal="left" vertical="top" wrapText="1"/>
    </xf>
    <xf numFmtId="0" fontId="7" fillId="3" borderId="44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/>
    </xf>
    <xf numFmtId="9" fontId="5" fillId="0" borderId="76" xfId="0" applyNumberFormat="1" applyFont="1" applyBorder="1" applyAlignment="1">
      <alignment horizontal="left" vertical="center" wrapText="1"/>
    </xf>
    <xf numFmtId="9" fontId="5" fillId="0" borderId="77" xfId="0" applyNumberFormat="1" applyFont="1" applyBorder="1" applyAlignment="1">
      <alignment horizontal="left" vertical="center" wrapText="1"/>
    </xf>
    <xf numFmtId="0" fontId="7" fillId="2" borderId="44" xfId="0" applyFont="1" applyFill="1" applyBorder="1" applyAlignment="1">
      <alignment horizontal="left" vertical="center"/>
    </xf>
    <xf numFmtId="0" fontId="7" fillId="2" borderId="8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left" vertical="center"/>
    </xf>
    <xf numFmtId="0" fontId="7" fillId="2" borderId="58" xfId="0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</cellXfs>
  <cellStyles count="5">
    <cellStyle name="Lien hypertexte" xfId="2" builtinId="8"/>
    <cellStyle name="Milliers" xfId="1" builtinId="3"/>
    <cellStyle name="Normal" xfId="0" builtinId="0"/>
    <cellStyle name="Normal 2" xfId="4" xr:uid="{34E0F536-207E-49C9-86F5-D3979441BFE4}"/>
    <cellStyle name="Pourcentage" xfId="3" builtinId="5"/>
  </cellStyles>
  <dxfs count="0"/>
  <tableStyles count="0" defaultTableStyle="TableStyleMedium2" defaultPivotStyle="PivotStyleLight16"/>
  <colors>
    <mruColors>
      <color rgb="FFFFFFFF"/>
      <color rgb="FFC0C0C0"/>
      <color rgb="FF002060"/>
      <color rgb="FF804000"/>
      <color rgb="FFFFB366"/>
      <color rgb="FFFFCC99"/>
      <color rgb="FFFF8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'6bis'!$B$17</c:f>
              <c:strCache>
                <c:ptCount val="1"/>
                <c:pt idx="0">
                  <c:v> Ref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'6bis'!$C$16:$N$16</c:f>
              <c:numCache>
                <c:formatCode>_-* #,##0_-;\-* #,##0_-;_-* "-"??_-;_-@_-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xVal>
          <c:yVal>
            <c:numRef>
              <c:f>'6bis'!$C$17:$N$17</c:f>
              <c:numCache>
                <c:formatCode>_-* #,##0_-;\-* #,##0_-;_-* "-"??_-;_-@_-</c:formatCode>
                <c:ptCount val="12"/>
                <c:pt idx="0">
                  <c:v>21</c:v>
                </c:pt>
                <c:pt idx="1">
                  <c:v>23.59090909090909</c:v>
                </c:pt>
                <c:pt idx="2">
                  <c:v>26.18181818181818</c:v>
                </c:pt>
                <c:pt idx="3">
                  <c:v>28.772727272727273</c:v>
                </c:pt>
                <c:pt idx="4">
                  <c:v>31.363636363636363</c:v>
                </c:pt>
                <c:pt idx="5">
                  <c:v>33.954545454545453</c:v>
                </c:pt>
                <c:pt idx="6">
                  <c:v>36.545454545454547</c:v>
                </c:pt>
                <c:pt idx="7">
                  <c:v>39.13636363636364</c:v>
                </c:pt>
                <c:pt idx="8">
                  <c:v>41.727272727272727</c:v>
                </c:pt>
                <c:pt idx="9">
                  <c:v>44.318181818181813</c:v>
                </c:pt>
                <c:pt idx="10">
                  <c:v>46.909090909090907</c:v>
                </c:pt>
                <c:pt idx="11">
                  <c:v>49.5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21-4FEF-B684-3A1AE08D5A17}"/>
            </c:ext>
          </c:extLst>
        </c:ser>
        <c:ser>
          <c:idx val="1"/>
          <c:order val="1"/>
          <c:tx>
            <c:strRef>
              <c:f>'6bis'!$B$18</c:f>
              <c:strCache>
                <c:ptCount val="1"/>
                <c:pt idx="0">
                  <c:v> ADL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'6bis'!$C$16:$N$16</c:f>
              <c:numCache>
                <c:formatCode>_-* #,##0_-;\-* #,##0_-;_-* "-"??_-;_-@_-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xVal>
          <c:yVal>
            <c:numRef>
              <c:f>'6bis'!$C$18:$N$18</c:f>
              <c:numCache>
                <c:formatCode>_-* #,##0_-;\-* #,##0_-;_-* "-"??_-;_-@_-</c:formatCode>
                <c:ptCount val="12"/>
                <c:pt idx="0">
                  <c:v>21</c:v>
                </c:pt>
                <c:pt idx="1">
                  <c:v>31</c:v>
                </c:pt>
                <c:pt idx="2">
                  <c:v>41</c:v>
                </c:pt>
                <c:pt idx="3">
                  <c:v>52</c:v>
                </c:pt>
                <c:pt idx="4">
                  <c:v>65</c:v>
                </c:pt>
                <c:pt idx="5">
                  <c:v>77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21-4FEF-B684-3A1AE08D5A17}"/>
            </c:ext>
          </c:extLst>
        </c:ser>
        <c:ser>
          <c:idx val="2"/>
          <c:order val="2"/>
          <c:tx>
            <c:strRef>
              <c:f>'6bis'!$B$19</c:f>
              <c:strCache>
                <c:ptCount val="1"/>
                <c:pt idx="0">
                  <c:v> Méta-métavers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'6bis'!$C$16:$N$16</c:f>
              <c:numCache>
                <c:formatCode>_-* #,##0_-;\-* #,##0_-;_-* "-"??_-;_-@_-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xVal>
          <c:yVal>
            <c:numRef>
              <c:f>'6bis'!$C$19:$N$19</c:f>
              <c:numCache>
                <c:formatCode>_-* #,##0_-;\-* #,##0_-;_-* "-"??_-;_-@_-</c:formatCode>
                <c:ptCount val="12"/>
                <c:pt idx="0">
                  <c:v>21</c:v>
                </c:pt>
                <c:pt idx="1">
                  <c:v>29.713738303013312</c:v>
                </c:pt>
                <c:pt idx="2">
                  <c:v>42.043154473331448</c:v>
                </c:pt>
                <c:pt idx="3">
                  <c:v>59.488537593034955</c:v>
                </c:pt>
                <c:pt idx="4">
                  <c:v>84.172706574686188</c:v>
                </c:pt>
                <c:pt idx="5">
                  <c:v>119.09932263888349</c:v>
                </c:pt>
                <c:pt idx="6">
                  <c:v>168.51838595037776</c:v>
                </c:pt>
                <c:pt idx="7">
                  <c:v>168.51838595037776</c:v>
                </c:pt>
                <c:pt idx="8">
                  <c:v>168.51838595037776</c:v>
                </c:pt>
                <c:pt idx="9">
                  <c:v>168.51838595037776</c:v>
                </c:pt>
                <c:pt idx="10">
                  <c:v>168.51838595037776</c:v>
                </c:pt>
                <c:pt idx="11">
                  <c:v>168.51838595037776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21-4FEF-B684-3A1AE08D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625343"/>
        <c:axId val="899788175"/>
      </c:scatterChart>
      <c:valAx>
        <c:axId val="1007625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9788175"/>
        <c:crosses val="autoZero"/>
        <c:crossBetween val="midCat"/>
      </c:valAx>
      <c:valAx>
        <c:axId val="89978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Go /</a:t>
                </a:r>
                <a:r>
                  <a:rPr lang="fr-FR" baseline="0"/>
                  <a:t> mois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76253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  <cx:data id="4">
      <cx:numDim type="val">
        <cx:f>_xlchart.v1.9</cx:f>
      </cx:numDim>
    </cx:data>
    <cx:data id="5">
      <cx:numDim type="val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000">
                <a:solidFill>
                  <a:srgbClr val="002060"/>
                </a:solidFill>
              </a:defRPr>
            </a:pPr>
            <a:r>
              <a:rPr lang="en-US" sz="1000" i="1">
                <a:solidFill>
                  <a:srgbClr val="002060"/>
                </a:solidFill>
                <a:effectLst/>
              </a:rPr>
              <a:t>Median number between each new headset on the market by hardware provider, data source: List of virtual reality headsets. (2024). In Wikipedia. </a:t>
            </a:r>
            <a:r>
              <a:rPr lang="en-US" sz="1000" i="1" u="sng">
                <a:solidFill>
                  <a:srgbClr val="002060"/>
                </a:solidFill>
                <a:effectLst/>
              </a:rPr>
              <a:t>https://en.wikipedia.org/w/index.php?title=List_of_virtual_reality_headsets&amp;oldid=1208303712</a:t>
            </a:r>
            <a:r>
              <a:rPr lang="en-US" sz="1000" i="1">
                <a:solidFill>
                  <a:srgbClr val="002060"/>
                </a:solidFill>
                <a:effectLst/>
              </a:rPr>
              <a:t> - CC BY-SA 4.0</a:t>
            </a:r>
            <a:endParaRPr lang="fr-FR" sz="1000" i="1">
              <a:solidFill>
                <a:srgbClr val="002060"/>
              </a:solidFill>
              <a:effectLst/>
            </a:endParaRPr>
          </a:p>
        </cx:rich>
      </cx:tx>
    </cx:title>
    <cx:plotArea>
      <cx:plotAreaRegion>
        <cx:series layoutId="boxWhisker" uniqueId="{9D2E17E1-9D7F-4C13-99F2-88D40D98CCB4}">
          <cx:tx>
            <cx:txData>
              <cx:f>_xlchart.v1.0</cx:f>
              <cx:v>HTC Vive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72405AF6-6F8E-465B-996D-9B1F1332A06D}">
          <cx:tx>
            <cx:txData>
              <cx:f>_xlchart.v1.2</cx:f>
              <cx:v>HP Reverb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FDC12517-936E-4F4E-AD82-EC86F735608E}">
          <cx:tx>
            <cx:txData>
              <cx:f>_xlchart.v1.4</cx:f>
              <cx:v>Meta / Oculus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  <cx:series layoutId="boxWhisker" uniqueId="{C1DF7507-603E-4E26-872C-0E7368AE40D0}">
          <cx:tx>
            <cx:txData>
              <cx:f>_xlchart.v1.6</cx:f>
              <cx:v>Pico</cx:v>
            </cx:txData>
          </cx:tx>
          <cx:dataId val="3"/>
          <cx:layoutPr>
            <cx:visibility meanLine="1" meanMarker="1" nonoutliers="0" outliers="1"/>
            <cx:statistics quartileMethod="exclusive"/>
          </cx:layoutPr>
        </cx:series>
        <cx:series layoutId="boxWhisker" uniqueId="{9702087F-F124-46DF-A94F-98DFB1C9D03F}">
          <cx:tx>
            <cx:txData>
              <cx:f>_xlchart.v1.8</cx:f>
              <cx:v>Samsung</cx:v>
            </cx:txData>
          </cx:tx>
          <cx:dataId val="4"/>
          <cx:layoutPr>
            <cx:visibility meanLine="1" meanMarker="1" nonoutliers="0" outliers="1"/>
            <cx:statistics quartileMethod="exclusive"/>
          </cx:layoutPr>
        </cx:series>
        <cx:series layoutId="boxWhisker" uniqueId="{C83C37B9-342D-42F6-9518-BD76C375021B}">
          <cx:tx>
            <cx:txData>
              <cx:f>_xlchart.v1.10</cx:f>
              <cx:v>Varjo</cx:v>
            </cx:txData>
          </cx:tx>
          <cx:dataId val="5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  <cx:spPr>
    <a:solidFill>
      <a:srgbClr val="FFFFFF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753080</xdr:colOff>
      <xdr:row>11</xdr:row>
      <xdr:rowOff>39233</xdr:rowOff>
    </xdr:from>
    <xdr:to>
      <xdr:col>6</xdr:col>
      <xdr:colOff>734786</xdr:colOff>
      <xdr:row>29</xdr:row>
      <xdr:rowOff>154214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C4AA54B6-1E34-4948-A7FA-13878FED1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3080" y="2064883"/>
              <a:ext cx="4896606" cy="34296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712107</xdr:colOff>
      <xdr:row>20</xdr:row>
      <xdr:rowOff>152402</xdr:rowOff>
    </xdr:from>
    <xdr:to>
      <xdr:col>10</xdr:col>
      <xdr:colOff>712107</xdr:colOff>
      <xdr:row>35</xdr:row>
      <xdr:rowOff>174173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E5988F2-C1F3-48F5-B959-F75BB38AE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433916</xdr:colOff>
      <xdr:row>8</xdr:row>
      <xdr:rowOff>170271</xdr:rowOff>
    </xdr:from>
    <xdr:to>
      <xdr:col>8</xdr:col>
      <xdr:colOff>704629</xdr:colOff>
      <xdr:row>26</xdr:row>
      <xdr:rowOff>129368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42FC6A-E2BB-4787-976B-3B873B67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7833" y="1609604"/>
          <a:ext cx="4027796" cy="3261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1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52E3-A33A-4BB1-AFCA-E04D89781B5A}">
  <dimension ref="A2:T49"/>
  <sheetViews>
    <sheetView tabSelected="1" zoomScale="50" zoomScaleNormal="50" workbookViewId="0">
      <selection activeCell="A3" sqref="A3"/>
    </sheetView>
  </sheetViews>
  <sheetFormatPr baseColWidth="10" defaultRowHeight="14.5" x14ac:dyDescent="0.35"/>
  <cols>
    <col min="1" max="1" width="50.90625" customWidth="1"/>
    <col min="2" max="2" width="20.90625" customWidth="1"/>
    <col min="3" max="3" width="112.54296875" customWidth="1"/>
    <col min="4" max="4" width="6.7265625" customWidth="1"/>
    <col min="5" max="5" width="4.08984375" customWidth="1"/>
    <col min="6" max="6" width="9.7265625" style="61" customWidth="1"/>
    <col min="7" max="7" width="14.26953125" bestFit="1" customWidth="1"/>
    <col min="8" max="8" width="14.26953125" customWidth="1"/>
    <col min="9" max="9" width="14.26953125" bestFit="1" customWidth="1"/>
    <col min="10" max="10" width="14.26953125" customWidth="1"/>
    <col min="11" max="11" width="46.1796875" customWidth="1"/>
    <col min="12" max="12" width="9.6328125" customWidth="1"/>
    <col min="13" max="13" width="15.26953125" customWidth="1"/>
    <col min="14" max="17" width="9.6328125" customWidth="1"/>
    <col min="18" max="18" width="13.453125" customWidth="1"/>
    <col min="19" max="20" width="9.6328125" customWidth="1"/>
  </cols>
  <sheetData>
    <row r="2" spans="1:20" x14ac:dyDescent="0.35">
      <c r="F2" s="239" t="s">
        <v>120</v>
      </c>
      <c r="G2" s="240"/>
      <c r="H2" s="240"/>
      <c r="I2" s="241"/>
    </row>
    <row r="3" spans="1:20" x14ac:dyDescent="0.35">
      <c r="A3" s="12" t="s">
        <v>9</v>
      </c>
      <c r="B3" s="246" t="s">
        <v>49</v>
      </c>
      <c r="C3" s="247"/>
      <c r="D3" s="248"/>
      <c r="F3" s="254" t="s">
        <v>7</v>
      </c>
      <c r="G3" s="255"/>
      <c r="H3" s="256"/>
      <c r="I3" s="95" t="s">
        <v>6</v>
      </c>
      <c r="K3" s="12" t="s">
        <v>9</v>
      </c>
      <c r="L3" s="264" t="s">
        <v>214</v>
      </c>
      <c r="M3" s="264" t="s">
        <v>215</v>
      </c>
      <c r="N3" s="264" t="s">
        <v>216</v>
      </c>
      <c r="O3" s="264" t="s">
        <v>217</v>
      </c>
      <c r="P3" s="264" t="s">
        <v>219</v>
      </c>
      <c r="Q3" s="264" t="s">
        <v>220</v>
      </c>
      <c r="R3" s="264" t="s">
        <v>221</v>
      </c>
      <c r="S3" s="264" t="s">
        <v>222</v>
      </c>
      <c r="T3" s="264" t="s">
        <v>218</v>
      </c>
    </row>
    <row r="4" spans="1:20" x14ac:dyDescent="0.35">
      <c r="A4" s="13" t="s">
        <v>4</v>
      </c>
      <c r="B4" s="7" t="s">
        <v>0</v>
      </c>
      <c r="C4" s="7" t="s">
        <v>26</v>
      </c>
      <c r="D4" s="34" t="s">
        <v>27</v>
      </c>
      <c r="F4" s="96">
        <v>2023</v>
      </c>
      <c r="G4" s="97" t="s">
        <v>47</v>
      </c>
      <c r="H4" s="97" t="s">
        <v>48</v>
      </c>
      <c r="I4" s="98" t="s">
        <v>10</v>
      </c>
      <c r="K4" s="13" t="s">
        <v>4</v>
      </c>
      <c r="L4" s="264"/>
      <c r="M4" s="264"/>
      <c r="N4" s="264"/>
      <c r="O4" s="264"/>
      <c r="P4" s="264"/>
      <c r="Q4" s="264"/>
      <c r="R4" s="264"/>
      <c r="S4" s="264"/>
      <c r="T4" s="264"/>
    </row>
    <row r="5" spans="1:20" ht="15" customHeight="1" x14ac:dyDescent="0.35">
      <c r="A5" s="52" t="s">
        <v>11</v>
      </c>
      <c r="B5" s="58">
        <f>'1'!D5</f>
        <v>0.61201068558825988</v>
      </c>
      <c r="C5" s="55" t="s">
        <v>122</v>
      </c>
      <c r="D5" s="35">
        <v>1.2</v>
      </c>
      <c r="F5" s="92">
        <v>46.667779260000003</v>
      </c>
      <c r="G5" s="67">
        <v>0.67</v>
      </c>
      <c r="H5" s="67">
        <v>0.3</v>
      </c>
      <c r="I5" s="99">
        <v>0.7</v>
      </c>
      <c r="K5" s="52" t="s">
        <v>11</v>
      </c>
      <c r="L5" s="167"/>
      <c r="M5" s="168"/>
      <c r="N5" s="168"/>
      <c r="O5" s="168"/>
      <c r="P5" s="168"/>
      <c r="Q5" s="168"/>
      <c r="R5" s="168"/>
      <c r="S5" s="168"/>
      <c r="T5" s="169" t="s">
        <v>223</v>
      </c>
    </row>
    <row r="6" spans="1:20" ht="15" customHeight="1" x14ac:dyDescent="0.45">
      <c r="A6" s="53" t="s">
        <v>51</v>
      </c>
      <c r="B6" s="59">
        <f>'3'!D5</f>
        <v>7.0129545141097038E-2</v>
      </c>
      <c r="C6" s="56" t="s">
        <v>71</v>
      </c>
      <c r="D6" s="36">
        <v>3</v>
      </c>
      <c r="F6" s="93">
        <v>56.275440500000002</v>
      </c>
      <c r="G6" s="9">
        <v>0.03</v>
      </c>
      <c r="H6" s="9">
        <v>0.03</v>
      </c>
      <c r="I6" s="100">
        <v>0.03</v>
      </c>
      <c r="K6" s="53" t="s">
        <v>51</v>
      </c>
      <c r="L6" s="170" t="s">
        <v>223</v>
      </c>
      <c r="M6" s="171"/>
      <c r="N6" s="171"/>
      <c r="O6" s="171"/>
      <c r="P6" s="171"/>
      <c r="Q6" s="171"/>
      <c r="R6" s="171" t="s">
        <v>223</v>
      </c>
      <c r="S6" s="171"/>
      <c r="T6" s="172"/>
    </row>
    <row r="7" spans="1:20" ht="15" customHeight="1" x14ac:dyDescent="0.35">
      <c r="A7" s="53" t="s">
        <v>12</v>
      </c>
      <c r="B7" s="59">
        <f>B6</f>
        <v>7.0129545141097038E-2</v>
      </c>
      <c r="C7" s="56" t="s">
        <v>121</v>
      </c>
      <c r="D7" s="36">
        <v>3</v>
      </c>
      <c r="F7" s="93">
        <v>201.69975172413797</v>
      </c>
      <c r="G7" s="9">
        <v>0.04</v>
      </c>
      <c r="H7" s="9">
        <v>0.04</v>
      </c>
      <c r="I7" s="100">
        <v>0.04</v>
      </c>
      <c r="K7" s="53" t="s">
        <v>12</v>
      </c>
      <c r="L7" s="170" t="s">
        <v>223</v>
      </c>
      <c r="M7" s="171"/>
      <c r="N7" s="171"/>
      <c r="O7" s="171"/>
      <c r="P7" s="171"/>
      <c r="Q7" s="171"/>
      <c r="R7" s="171" t="s">
        <v>223</v>
      </c>
      <c r="S7" s="171"/>
      <c r="T7" s="172"/>
    </row>
    <row r="8" spans="1:20" ht="15" customHeight="1" x14ac:dyDescent="0.35">
      <c r="A8" s="53" t="s">
        <v>13</v>
      </c>
      <c r="B8" s="59">
        <f>'4'!D5</f>
        <v>0.36418979887191361</v>
      </c>
      <c r="C8" s="56" t="s">
        <v>123</v>
      </c>
      <c r="D8" s="36">
        <v>4</v>
      </c>
      <c r="F8" s="93">
        <v>242.02079999999992</v>
      </c>
      <c r="G8" s="9">
        <v>0.4</v>
      </c>
      <c r="H8" s="9">
        <v>0.11</v>
      </c>
      <c r="I8" s="100">
        <v>0.5</v>
      </c>
      <c r="K8" s="53" t="s">
        <v>13</v>
      </c>
      <c r="L8" s="170"/>
      <c r="M8" s="171"/>
      <c r="N8" s="171"/>
      <c r="O8" s="171"/>
      <c r="P8" s="171"/>
      <c r="Q8" s="171"/>
      <c r="R8" s="171"/>
      <c r="S8" s="171"/>
      <c r="T8" s="172" t="s">
        <v>223</v>
      </c>
    </row>
    <row r="9" spans="1:20" ht="15" customHeight="1" x14ac:dyDescent="0.35">
      <c r="A9" s="54" t="s">
        <v>14</v>
      </c>
      <c r="B9" s="60">
        <f>'5'!D5</f>
        <v>3.5605660431828889E-2</v>
      </c>
      <c r="C9" s="57" t="s">
        <v>71</v>
      </c>
      <c r="D9" s="19">
        <v>5</v>
      </c>
      <c r="F9" s="94">
        <v>2.16486432</v>
      </c>
      <c r="G9" s="68">
        <v>0.02</v>
      </c>
      <c r="H9" s="68">
        <v>0.02</v>
      </c>
      <c r="I9" s="101">
        <v>0.02</v>
      </c>
      <c r="K9" s="54" t="s">
        <v>14</v>
      </c>
      <c r="L9" s="176" t="s">
        <v>223</v>
      </c>
      <c r="M9" s="177"/>
      <c r="N9" s="177"/>
      <c r="O9" s="177"/>
      <c r="P9" s="177"/>
      <c r="Q9" s="177"/>
      <c r="R9" s="177" t="s">
        <v>223</v>
      </c>
      <c r="S9" s="177"/>
      <c r="T9" s="178"/>
    </row>
    <row r="10" spans="1:20" ht="15" customHeight="1" x14ac:dyDescent="0.35">
      <c r="A10" s="161"/>
      <c r="B10" s="162"/>
      <c r="C10" s="163"/>
      <c r="D10" s="134"/>
      <c r="F10" s="164"/>
      <c r="G10" s="165"/>
      <c r="H10" s="165"/>
      <c r="I10" s="166"/>
      <c r="K10" s="161"/>
      <c r="L10" s="171"/>
      <c r="M10" s="171"/>
      <c r="N10" s="171"/>
      <c r="O10" s="171"/>
      <c r="P10" s="171"/>
      <c r="Q10" s="171"/>
      <c r="R10" s="171"/>
      <c r="S10" s="171"/>
      <c r="T10" s="171"/>
    </row>
    <row r="11" spans="1:20" x14ac:dyDescent="0.35">
      <c r="A11" s="12" t="s">
        <v>9</v>
      </c>
      <c r="B11" s="246" t="s">
        <v>49</v>
      </c>
      <c r="C11" s="247"/>
      <c r="D11" s="248"/>
      <c r="F11" s="254" t="s">
        <v>7</v>
      </c>
      <c r="G11" s="255"/>
      <c r="H11" s="256"/>
      <c r="I11" s="95" t="s">
        <v>6</v>
      </c>
      <c r="K11" s="12" t="s">
        <v>9</v>
      </c>
      <c r="L11" s="171"/>
      <c r="M11" s="171"/>
      <c r="N11" s="171"/>
      <c r="O11" s="171"/>
      <c r="P11" s="171"/>
      <c r="Q11" s="171"/>
      <c r="R11" s="171"/>
      <c r="S11" s="171"/>
      <c r="T11" s="171"/>
    </row>
    <row r="12" spans="1:20" x14ac:dyDescent="0.35">
      <c r="A12" s="144" t="s">
        <v>229</v>
      </c>
      <c r="B12" s="66" t="s">
        <v>0</v>
      </c>
      <c r="C12" s="66" t="s">
        <v>26</v>
      </c>
      <c r="D12" s="145" t="s">
        <v>27</v>
      </c>
      <c r="F12" s="96">
        <v>2023</v>
      </c>
      <c r="G12" s="97" t="s">
        <v>47</v>
      </c>
      <c r="H12" s="97" t="s">
        <v>48</v>
      </c>
      <c r="I12" s="98" t="s">
        <v>10</v>
      </c>
      <c r="K12" s="144" t="s">
        <v>115</v>
      </c>
      <c r="L12" s="171"/>
      <c r="M12" s="171"/>
      <c r="N12" s="171"/>
      <c r="O12" s="171"/>
      <c r="P12" s="171"/>
      <c r="Q12" s="171"/>
      <c r="R12" s="171"/>
      <c r="S12" s="171"/>
      <c r="T12" s="171"/>
    </row>
    <row r="13" spans="1:20" x14ac:dyDescent="0.35">
      <c r="A13" s="146" t="s">
        <v>11</v>
      </c>
      <c r="B13" s="199">
        <f>'8'!D5</f>
        <v>0.24</v>
      </c>
      <c r="C13" s="200" t="s">
        <v>192</v>
      </c>
      <c r="D13" s="147">
        <v>8</v>
      </c>
      <c r="F13" s="92">
        <v>3101.4683839999998</v>
      </c>
      <c r="G13" s="67">
        <v>0.22</v>
      </c>
      <c r="H13" s="67">
        <v>0.22</v>
      </c>
      <c r="I13" s="99">
        <v>0.3</v>
      </c>
      <c r="K13" s="146" t="s">
        <v>11</v>
      </c>
      <c r="L13" s="167"/>
      <c r="M13" s="168"/>
      <c r="N13" s="168"/>
      <c r="O13" s="168"/>
      <c r="P13" s="168"/>
      <c r="Q13" s="168"/>
      <c r="R13" s="168"/>
      <c r="S13" s="168"/>
      <c r="T13" s="169" t="s">
        <v>223</v>
      </c>
    </row>
    <row r="14" spans="1:20" ht="16.5" x14ac:dyDescent="0.35">
      <c r="A14" s="148" t="s">
        <v>51</v>
      </c>
      <c r="B14" s="201" t="s">
        <v>197</v>
      </c>
      <c r="C14" s="242" t="s">
        <v>190</v>
      </c>
      <c r="D14" s="149">
        <v>9</v>
      </c>
      <c r="F14" s="93">
        <v>1.8232593750000003</v>
      </c>
      <c r="G14" s="9">
        <v>0.05</v>
      </c>
      <c r="H14" s="9">
        <v>0.05</v>
      </c>
      <c r="I14" s="100">
        <v>0.05</v>
      </c>
      <c r="K14" s="148" t="s">
        <v>51</v>
      </c>
      <c r="L14" s="170"/>
      <c r="M14" s="171" t="s">
        <v>223</v>
      </c>
      <c r="N14" s="171"/>
      <c r="O14" s="171"/>
      <c r="P14" s="171"/>
      <c r="Q14" s="171"/>
      <c r="R14" s="171" t="s">
        <v>223</v>
      </c>
      <c r="S14" s="171"/>
      <c r="T14" s="172"/>
    </row>
    <row r="15" spans="1:20" x14ac:dyDescent="0.35">
      <c r="A15" s="148" t="s">
        <v>12</v>
      </c>
      <c r="B15" s="201">
        <v>0.35</v>
      </c>
      <c r="C15" s="243"/>
      <c r="D15" s="149">
        <v>9</v>
      </c>
      <c r="F15" s="93">
        <v>6.2871012931034489</v>
      </c>
      <c r="G15" s="9">
        <v>0.05</v>
      </c>
      <c r="H15" s="9">
        <v>0.05</v>
      </c>
      <c r="I15" s="100">
        <v>0.05</v>
      </c>
      <c r="K15" s="148" t="s">
        <v>12</v>
      </c>
      <c r="L15" s="170"/>
      <c r="M15" s="171" t="s">
        <v>223</v>
      </c>
      <c r="N15" s="171"/>
      <c r="O15" s="171"/>
      <c r="P15" s="171"/>
      <c r="Q15" s="171"/>
      <c r="R15" s="171" t="s">
        <v>223</v>
      </c>
      <c r="S15" s="171"/>
      <c r="T15" s="172"/>
    </row>
    <row r="16" spans="1:20" x14ac:dyDescent="0.35">
      <c r="A16" s="148" t="s">
        <v>13</v>
      </c>
      <c r="B16" s="202">
        <f>'10'!D5</f>
        <v>0.2</v>
      </c>
      <c r="C16" s="56" t="s">
        <v>193</v>
      </c>
      <c r="D16" s="150">
        <v>10</v>
      </c>
      <c r="F16" s="93">
        <v>15553.263842999997</v>
      </c>
      <c r="G16" s="9">
        <v>0.17</v>
      </c>
      <c r="H16" s="9">
        <v>0.17</v>
      </c>
      <c r="I16" s="100">
        <v>0.25</v>
      </c>
      <c r="K16" s="148" t="s">
        <v>13</v>
      </c>
      <c r="L16" s="170"/>
      <c r="M16" s="171"/>
      <c r="N16" s="171"/>
      <c r="O16" s="171"/>
      <c r="P16" s="171"/>
      <c r="Q16" s="171"/>
      <c r="R16" s="171"/>
      <c r="S16" s="171"/>
      <c r="T16" s="172" t="s">
        <v>223</v>
      </c>
    </row>
    <row r="17" spans="1:20" ht="15" customHeight="1" x14ac:dyDescent="0.35">
      <c r="A17" s="151" t="s">
        <v>14</v>
      </c>
      <c r="B17" s="203">
        <f>'11'!D5</f>
        <v>-0.02</v>
      </c>
      <c r="C17" s="152" t="s">
        <v>184</v>
      </c>
      <c r="D17" s="129">
        <v>11</v>
      </c>
      <c r="F17" s="94">
        <v>7.1350747499999985</v>
      </c>
      <c r="G17" s="68">
        <v>-0.05</v>
      </c>
      <c r="H17" s="68">
        <v>-0.05</v>
      </c>
      <c r="I17" s="101">
        <v>-0.05</v>
      </c>
      <c r="K17" s="151" t="s">
        <v>14</v>
      </c>
      <c r="L17" s="176"/>
      <c r="M17" s="177" t="s">
        <v>223</v>
      </c>
      <c r="N17" s="177"/>
      <c r="O17" s="177"/>
      <c r="P17" s="177"/>
      <c r="Q17" s="177"/>
      <c r="R17" s="177" t="s">
        <v>223</v>
      </c>
      <c r="S17" s="177"/>
      <c r="T17" s="178"/>
    </row>
    <row r="18" spans="1:20" x14ac:dyDescent="0.35">
      <c r="A18" s="131"/>
      <c r="B18" s="132"/>
      <c r="C18" s="133"/>
      <c r="D18" s="134"/>
      <c r="F18" s="135"/>
      <c r="G18" s="102"/>
      <c r="H18" s="103"/>
      <c r="I18" s="136"/>
      <c r="K18" s="131"/>
      <c r="L18" s="171"/>
      <c r="M18" s="171"/>
      <c r="N18" s="171"/>
      <c r="O18" s="171"/>
      <c r="P18" s="171"/>
      <c r="Q18" s="171"/>
      <c r="R18" s="171"/>
      <c r="S18" s="171"/>
      <c r="T18" s="171"/>
    </row>
    <row r="19" spans="1:20" x14ac:dyDescent="0.35">
      <c r="A19" s="189" t="s">
        <v>9</v>
      </c>
      <c r="B19" s="254" t="s">
        <v>49</v>
      </c>
      <c r="C19" s="255"/>
      <c r="D19" s="259"/>
      <c r="F19" s="254" t="s">
        <v>7</v>
      </c>
      <c r="G19" s="255"/>
      <c r="H19" s="256"/>
      <c r="I19" s="95" t="s">
        <v>6</v>
      </c>
      <c r="K19" s="189" t="s">
        <v>9</v>
      </c>
      <c r="L19" s="171"/>
      <c r="M19" s="171"/>
      <c r="N19" s="171"/>
      <c r="O19" s="171"/>
      <c r="P19" s="171"/>
      <c r="Q19" s="171"/>
      <c r="R19" s="171"/>
      <c r="S19" s="171"/>
      <c r="T19" s="171"/>
    </row>
    <row r="20" spans="1:20" x14ac:dyDescent="0.35">
      <c r="A20" s="190" t="s">
        <v>178</v>
      </c>
      <c r="B20" s="96" t="s">
        <v>0</v>
      </c>
      <c r="C20" s="98" t="s">
        <v>26</v>
      </c>
      <c r="D20" s="98" t="s">
        <v>27</v>
      </c>
      <c r="F20" s="96">
        <v>2023</v>
      </c>
      <c r="G20" s="97" t="s">
        <v>47</v>
      </c>
      <c r="H20" s="97" t="s">
        <v>48</v>
      </c>
      <c r="I20" s="98" t="s">
        <v>10</v>
      </c>
      <c r="K20" s="190" t="s">
        <v>178</v>
      </c>
      <c r="L20" s="171"/>
      <c r="M20" s="171"/>
      <c r="N20" s="171"/>
      <c r="O20" s="171"/>
      <c r="P20" s="171"/>
      <c r="Q20" s="171"/>
      <c r="R20" s="171"/>
      <c r="S20" s="171"/>
      <c r="T20" s="171"/>
    </row>
    <row r="21" spans="1:20" ht="29" x14ac:dyDescent="0.35">
      <c r="A21" s="191" t="s">
        <v>11</v>
      </c>
      <c r="B21" s="204">
        <f>'12'!D5</f>
        <v>0.28000000000000003</v>
      </c>
      <c r="C21" s="205" t="s">
        <v>273</v>
      </c>
      <c r="D21" s="35">
        <v>12</v>
      </c>
      <c r="F21" s="92">
        <v>63.011843999999996</v>
      </c>
      <c r="G21" s="67">
        <v>0.26</v>
      </c>
      <c r="H21" s="67">
        <v>0.26</v>
      </c>
      <c r="I21" s="99">
        <v>0.35</v>
      </c>
      <c r="K21" s="191" t="s">
        <v>11</v>
      </c>
      <c r="L21" s="167"/>
      <c r="M21" s="168"/>
      <c r="N21" s="168"/>
      <c r="O21" s="168"/>
      <c r="P21" s="168"/>
      <c r="Q21" s="168"/>
      <c r="R21" s="168"/>
      <c r="S21" s="168"/>
      <c r="T21" s="169" t="s">
        <v>223</v>
      </c>
    </row>
    <row r="22" spans="1:20" ht="16.5" x14ac:dyDescent="0.45">
      <c r="A22" s="192" t="s">
        <v>51</v>
      </c>
      <c r="B22" s="204">
        <f>'12'!D16</f>
        <v>0.02</v>
      </c>
      <c r="C22" s="206" t="s">
        <v>274</v>
      </c>
      <c r="D22" s="36">
        <v>12</v>
      </c>
      <c r="F22" s="93">
        <v>54.121608000000002</v>
      </c>
      <c r="G22" s="9">
        <v>0.02</v>
      </c>
      <c r="H22" s="9">
        <v>0.02</v>
      </c>
      <c r="I22" s="100">
        <v>0.02</v>
      </c>
      <c r="K22" s="192" t="s">
        <v>51</v>
      </c>
      <c r="L22" s="170"/>
      <c r="M22" s="171" t="s">
        <v>223</v>
      </c>
      <c r="N22" s="171"/>
      <c r="O22" s="171"/>
      <c r="P22" s="171"/>
      <c r="Q22" s="171"/>
      <c r="R22" s="171"/>
      <c r="S22" s="171"/>
      <c r="T22" s="172"/>
    </row>
    <row r="23" spans="1:20" x14ac:dyDescent="0.35">
      <c r="A23" s="192" t="s">
        <v>12</v>
      </c>
      <c r="B23" s="207">
        <f>'12'!D24</f>
        <v>0.03</v>
      </c>
      <c r="C23" s="206" t="s">
        <v>274</v>
      </c>
      <c r="D23" s="36">
        <v>12</v>
      </c>
      <c r="F23" s="93">
        <v>194.05324310344832</v>
      </c>
      <c r="G23" s="9">
        <v>0.03</v>
      </c>
      <c r="H23" s="9">
        <v>0.03</v>
      </c>
      <c r="I23" s="100">
        <v>0.03</v>
      </c>
      <c r="K23" s="192" t="s">
        <v>12</v>
      </c>
      <c r="L23" s="170"/>
      <c r="M23" s="171" t="s">
        <v>223</v>
      </c>
      <c r="N23" s="171"/>
      <c r="O23" s="171"/>
      <c r="P23" s="171"/>
      <c r="Q23" s="171"/>
      <c r="R23" s="171"/>
      <c r="S23" s="171"/>
      <c r="T23" s="172"/>
    </row>
    <row r="24" spans="1:20" ht="30" customHeight="1" x14ac:dyDescent="0.35">
      <c r="A24" s="148" t="s">
        <v>13</v>
      </c>
      <c r="B24" s="208" t="s">
        <v>179</v>
      </c>
      <c r="C24" s="209" t="s">
        <v>275</v>
      </c>
      <c r="D24" s="113">
        <v>12</v>
      </c>
      <c r="F24" s="93">
        <v>1492.9919999999997</v>
      </c>
      <c r="G24" s="9">
        <v>0.2</v>
      </c>
      <c r="H24" s="9">
        <v>0.2</v>
      </c>
      <c r="I24" s="100">
        <v>0.25</v>
      </c>
      <c r="K24" s="148" t="s">
        <v>13</v>
      </c>
      <c r="L24" s="170"/>
      <c r="M24" s="171"/>
      <c r="N24" s="171"/>
      <c r="O24" s="171"/>
      <c r="P24" s="171"/>
      <c r="Q24" s="171"/>
      <c r="R24" s="171"/>
      <c r="S24" s="171"/>
      <c r="T24" s="172" t="s">
        <v>223</v>
      </c>
    </row>
    <row r="25" spans="1:20" ht="30" customHeight="1" x14ac:dyDescent="0.35">
      <c r="A25" s="193" t="s">
        <v>14</v>
      </c>
      <c r="B25" s="210" t="s">
        <v>180</v>
      </c>
      <c r="C25" s="211" t="s">
        <v>276</v>
      </c>
      <c r="D25" s="19">
        <v>12</v>
      </c>
      <c r="F25" s="94">
        <v>26.28</v>
      </c>
      <c r="G25" s="68">
        <v>0</v>
      </c>
      <c r="H25" s="68">
        <v>0</v>
      </c>
      <c r="I25" s="101">
        <v>0</v>
      </c>
      <c r="K25" s="193" t="s">
        <v>14</v>
      </c>
      <c r="L25" s="176"/>
      <c r="M25" s="177" t="s">
        <v>223</v>
      </c>
      <c r="N25" s="177"/>
      <c r="O25" s="177"/>
      <c r="P25" s="177"/>
      <c r="Q25" s="177"/>
      <c r="R25" s="177"/>
      <c r="S25" s="177"/>
      <c r="T25" s="178"/>
    </row>
    <row r="26" spans="1:20" x14ac:dyDescent="0.35">
      <c r="A26" s="131"/>
      <c r="B26" s="85"/>
      <c r="C26" s="194"/>
      <c r="D26" s="48"/>
      <c r="F26" s="108"/>
      <c r="G26" s="102"/>
      <c r="H26" s="103"/>
      <c r="I26" s="109"/>
      <c r="K26" s="131"/>
      <c r="L26" s="171"/>
      <c r="M26" s="171"/>
      <c r="N26" s="171"/>
      <c r="O26" s="171"/>
      <c r="P26" s="171"/>
      <c r="Q26" s="171"/>
      <c r="R26" s="171"/>
      <c r="S26" s="171"/>
      <c r="T26" s="171"/>
    </row>
    <row r="27" spans="1:20" x14ac:dyDescent="0.35">
      <c r="A27" s="262" t="s">
        <v>15</v>
      </c>
      <c r="B27" s="249" t="s">
        <v>49</v>
      </c>
      <c r="C27" s="250"/>
      <c r="D27" s="251"/>
      <c r="F27" s="254" t="s">
        <v>7</v>
      </c>
      <c r="G27" s="255"/>
      <c r="H27" s="256"/>
      <c r="I27" s="95" t="s">
        <v>8</v>
      </c>
      <c r="K27" s="244" t="s">
        <v>15</v>
      </c>
      <c r="L27" s="171"/>
      <c r="M27" s="171"/>
      <c r="N27" s="171"/>
      <c r="O27" s="171"/>
      <c r="P27" s="171"/>
      <c r="Q27" s="171"/>
      <c r="R27" s="171"/>
      <c r="S27" s="171"/>
      <c r="T27" s="171"/>
    </row>
    <row r="28" spans="1:20" x14ac:dyDescent="0.35">
      <c r="A28" s="263"/>
      <c r="B28" s="214" t="s">
        <v>0</v>
      </c>
      <c r="C28" s="215" t="s">
        <v>26</v>
      </c>
      <c r="D28" s="216" t="s">
        <v>27</v>
      </c>
      <c r="F28" s="107">
        <v>2023</v>
      </c>
      <c r="G28" s="97" t="s">
        <v>47</v>
      </c>
      <c r="H28" s="97" t="s">
        <v>48</v>
      </c>
      <c r="I28" s="98" t="s">
        <v>10</v>
      </c>
      <c r="K28" s="245"/>
      <c r="L28" s="171"/>
      <c r="M28" s="171"/>
      <c r="N28" s="171"/>
      <c r="O28" s="171"/>
      <c r="P28" s="171"/>
      <c r="Q28" s="171"/>
      <c r="R28" s="171"/>
      <c r="S28" s="171"/>
      <c r="T28" s="171"/>
    </row>
    <row r="29" spans="1:20" ht="14.4" customHeight="1" x14ac:dyDescent="0.35">
      <c r="A29" s="195" t="s">
        <v>87</v>
      </c>
      <c r="B29" s="11">
        <f>'6'!E5</f>
        <v>0.29267835026315692</v>
      </c>
      <c r="C29" s="260" t="s">
        <v>198</v>
      </c>
      <c r="D29" s="35">
        <v>6</v>
      </c>
      <c r="F29" s="90">
        <v>1623.7686574687493</v>
      </c>
      <c r="G29" s="104">
        <v>0.15</v>
      </c>
      <c r="H29" s="104">
        <v>0.09</v>
      </c>
      <c r="I29" s="105">
        <v>0.18</v>
      </c>
      <c r="K29" s="195" t="s">
        <v>87</v>
      </c>
      <c r="L29" s="167"/>
      <c r="M29" s="168"/>
      <c r="N29" s="168" t="s">
        <v>223</v>
      </c>
      <c r="O29" s="168"/>
      <c r="P29" s="168" t="s">
        <v>223</v>
      </c>
      <c r="Q29" s="168"/>
      <c r="R29" s="168" t="s">
        <v>223</v>
      </c>
      <c r="S29" s="168"/>
      <c r="T29" s="169"/>
    </row>
    <row r="30" spans="1:20" x14ac:dyDescent="0.35">
      <c r="A30" s="196" t="s">
        <v>88</v>
      </c>
      <c r="B30" s="9">
        <f>'6'!E6</f>
        <v>0.35399653129949016</v>
      </c>
      <c r="C30" s="260"/>
      <c r="D30" s="36">
        <v>6</v>
      </c>
      <c r="F30" s="91">
        <v>3178.9113677527503</v>
      </c>
      <c r="G30" s="9">
        <v>0.31</v>
      </c>
      <c r="H30" s="9">
        <v>0.13</v>
      </c>
      <c r="I30" s="106">
        <v>0.35</v>
      </c>
      <c r="K30" s="196" t="s">
        <v>88</v>
      </c>
      <c r="L30" s="170"/>
      <c r="M30" s="171"/>
      <c r="N30" s="171" t="s">
        <v>223</v>
      </c>
      <c r="O30" s="171"/>
      <c r="P30" s="171" t="s">
        <v>223</v>
      </c>
      <c r="Q30" s="171"/>
      <c r="R30" s="171" t="s">
        <v>223</v>
      </c>
      <c r="S30" s="171"/>
      <c r="T30" s="172"/>
    </row>
    <row r="31" spans="1:20" ht="29.5" customHeight="1" x14ac:dyDescent="0.35">
      <c r="A31" s="197" t="s">
        <v>175</v>
      </c>
      <c r="B31" s="9">
        <v>0.37</v>
      </c>
      <c r="C31" s="261"/>
      <c r="D31" s="36">
        <v>6</v>
      </c>
      <c r="F31" s="91">
        <v>1225.9182562800004</v>
      </c>
      <c r="G31" s="184">
        <v>0.37</v>
      </c>
      <c r="H31" s="184">
        <v>0.23</v>
      </c>
      <c r="I31" s="106">
        <v>0.45</v>
      </c>
      <c r="K31" s="197" t="s">
        <v>175</v>
      </c>
      <c r="L31" s="170"/>
      <c r="M31" s="171"/>
      <c r="N31" s="171" t="s">
        <v>223</v>
      </c>
      <c r="O31" s="171" t="s">
        <v>223</v>
      </c>
      <c r="P31" s="171" t="s">
        <v>223</v>
      </c>
      <c r="Q31" s="171"/>
      <c r="R31" s="171" t="s">
        <v>223</v>
      </c>
      <c r="S31" s="171"/>
      <c r="T31" s="172"/>
    </row>
    <row r="32" spans="1:20" ht="23" customHeight="1" x14ac:dyDescent="0.35">
      <c r="A32" s="197" t="s">
        <v>89</v>
      </c>
      <c r="B32" s="212">
        <v>0.3</v>
      </c>
      <c r="C32" s="252" t="s">
        <v>205</v>
      </c>
      <c r="D32" s="36">
        <v>7</v>
      </c>
      <c r="F32" s="91">
        <v>19294.14515015914</v>
      </c>
      <c r="G32" s="9">
        <v>0.3</v>
      </c>
      <c r="H32" s="9">
        <v>0.3</v>
      </c>
      <c r="I32" s="106">
        <v>0.34</v>
      </c>
      <c r="K32" s="197" t="s">
        <v>89</v>
      </c>
      <c r="L32" s="170"/>
      <c r="M32" s="171"/>
      <c r="N32" s="171"/>
      <c r="O32" s="171"/>
      <c r="P32" s="171"/>
      <c r="Q32" s="171" t="s">
        <v>223</v>
      </c>
      <c r="R32" s="171" t="s">
        <v>223</v>
      </c>
      <c r="S32" s="171" t="s">
        <v>223</v>
      </c>
      <c r="T32" s="172"/>
    </row>
    <row r="33" spans="1:20" s="69" customFormat="1" ht="23" customHeight="1" x14ac:dyDescent="0.35">
      <c r="A33" s="198" t="s">
        <v>90</v>
      </c>
      <c r="B33" s="213">
        <v>0.25</v>
      </c>
      <c r="C33" s="253"/>
      <c r="D33" s="70">
        <v>7</v>
      </c>
      <c r="F33" s="114">
        <v>11975.149524947348</v>
      </c>
      <c r="G33" s="84">
        <v>0.13</v>
      </c>
      <c r="H33" s="84">
        <v>0.13</v>
      </c>
      <c r="I33" s="101">
        <v>0.16</v>
      </c>
      <c r="J33"/>
      <c r="K33" s="198" t="s">
        <v>90</v>
      </c>
      <c r="L33" s="173"/>
      <c r="M33" s="174"/>
      <c r="N33" s="174"/>
      <c r="O33" s="174"/>
      <c r="P33" s="174"/>
      <c r="Q33" s="174" t="s">
        <v>223</v>
      </c>
      <c r="R33" s="174" t="s">
        <v>223</v>
      </c>
      <c r="S33" s="174" t="s">
        <v>223</v>
      </c>
      <c r="T33" s="175"/>
    </row>
    <row r="36" spans="1:20" x14ac:dyDescent="0.35">
      <c r="A36" s="48" t="s">
        <v>206</v>
      </c>
    </row>
    <row r="37" spans="1:20" x14ac:dyDescent="0.35">
      <c r="A37" s="48"/>
    </row>
    <row r="38" spans="1:20" x14ac:dyDescent="0.35">
      <c r="A38" s="257" t="s">
        <v>176</v>
      </c>
      <c r="B38" s="158" t="s">
        <v>177</v>
      </c>
    </row>
    <row r="39" spans="1:20" x14ac:dyDescent="0.35">
      <c r="A39" s="258"/>
      <c r="B39" s="159" t="s">
        <v>47</v>
      </c>
      <c r="C39" s="50" t="s">
        <v>27</v>
      </c>
    </row>
    <row r="40" spans="1:20" ht="14.5" customHeight="1" x14ac:dyDescent="0.35">
      <c r="A40" s="128" t="s">
        <v>175</v>
      </c>
      <c r="B40" s="160">
        <f>'6'!C39</f>
        <v>0.42</v>
      </c>
      <c r="C40" s="50" t="s">
        <v>207</v>
      </c>
      <c r="D40" s="130"/>
    </row>
    <row r="42" spans="1:20" x14ac:dyDescent="0.35">
      <c r="A42" t="s">
        <v>250</v>
      </c>
      <c r="B42" t="s">
        <v>249</v>
      </c>
    </row>
    <row r="43" spans="1:20" x14ac:dyDescent="0.35">
      <c r="B43" s="61"/>
    </row>
    <row r="49" spans="1:1" x14ac:dyDescent="0.35">
      <c r="A49" s="73"/>
    </row>
  </sheetData>
  <mergeCells count="24">
    <mergeCell ref="Q3:Q4"/>
    <mergeCell ref="R3:R4"/>
    <mergeCell ref="S3:S4"/>
    <mergeCell ref="T3:T4"/>
    <mergeCell ref="L3:L4"/>
    <mergeCell ref="M3:M4"/>
    <mergeCell ref="N3:N4"/>
    <mergeCell ref="O3:O4"/>
    <mergeCell ref="P3:P4"/>
    <mergeCell ref="C32:C33"/>
    <mergeCell ref="F3:H3"/>
    <mergeCell ref="F11:H11"/>
    <mergeCell ref="F27:H27"/>
    <mergeCell ref="A38:A39"/>
    <mergeCell ref="B19:D19"/>
    <mergeCell ref="F19:H19"/>
    <mergeCell ref="C29:C31"/>
    <mergeCell ref="A27:A28"/>
    <mergeCell ref="F2:I2"/>
    <mergeCell ref="C14:C15"/>
    <mergeCell ref="K27:K28"/>
    <mergeCell ref="B3:D3"/>
    <mergeCell ref="B11:D11"/>
    <mergeCell ref="B27:D2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A2FA-EF7B-41E4-8692-14B3AC9C812A}">
  <dimension ref="B2:I12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21.36328125" customWidth="1"/>
    <col min="3" max="3" width="12.1796875" customWidth="1"/>
    <col min="4" max="4" width="15.6328125" customWidth="1"/>
    <col min="5" max="5" width="10.90625" customWidth="1"/>
  </cols>
  <sheetData>
    <row r="2" spans="2:9" x14ac:dyDescent="0.35">
      <c r="B2" s="246" t="s">
        <v>116</v>
      </c>
      <c r="C2" s="247"/>
      <c r="D2" s="248"/>
    </row>
    <row r="3" spans="2:9" x14ac:dyDescent="0.35">
      <c r="B3" s="265" t="s">
        <v>1</v>
      </c>
      <c r="C3" s="266"/>
      <c r="D3" s="267"/>
    </row>
    <row r="4" spans="2:9" x14ac:dyDescent="0.35">
      <c r="B4" s="20">
        <v>2023</v>
      </c>
      <c r="C4" s="21">
        <v>2030</v>
      </c>
      <c r="D4" s="22" t="s">
        <v>0</v>
      </c>
    </row>
    <row r="5" spans="2:9" x14ac:dyDescent="0.35">
      <c r="B5" s="27">
        <v>3101</v>
      </c>
      <c r="C5" s="63">
        <f>B5*(1+D5)^(C4-B4)</f>
        <v>13978.274424129291</v>
      </c>
      <c r="D5" s="29">
        <v>0.24</v>
      </c>
      <c r="F5" s="73"/>
      <c r="H5" s="127"/>
      <c r="I5" s="73"/>
    </row>
    <row r="7" spans="2:9" x14ac:dyDescent="0.35">
      <c r="B7" t="s">
        <v>134</v>
      </c>
    </row>
    <row r="8" spans="2:9" x14ac:dyDescent="0.35">
      <c r="B8" s="48" t="s">
        <v>181</v>
      </c>
      <c r="G8" s="73"/>
    </row>
    <row r="9" spans="2:9" x14ac:dyDescent="0.35">
      <c r="B9" s="48"/>
      <c r="G9" s="73"/>
    </row>
    <row r="10" spans="2:9" x14ac:dyDescent="0.35">
      <c r="G10" s="73"/>
    </row>
    <row r="11" spans="2:9" x14ac:dyDescent="0.35">
      <c r="B11" s="1" t="s">
        <v>128</v>
      </c>
    </row>
    <row r="12" spans="2:9" x14ac:dyDescent="0.35">
      <c r="B12" s="48" t="s">
        <v>130</v>
      </c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685A-5811-40FF-BC38-821026EC98DF}">
  <dimension ref="B2:I13"/>
  <sheetViews>
    <sheetView zoomScale="80" zoomScaleNormal="80" workbookViewId="0">
      <selection activeCell="B2" sqref="B2:F2"/>
    </sheetView>
  </sheetViews>
  <sheetFormatPr baseColWidth="10" defaultRowHeight="14.5" x14ac:dyDescent="0.35"/>
  <cols>
    <col min="1" max="1" width="5.54296875" customWidth="1"/>
    <col min="2" max="2" width="8.453125" customWidth="1"/>
    <col min="3" max="3" width="8.54296875" customWidth="1"/>
    <col min="4" max="4" width="9.36328125" customWidth="1"/>
    <col min="5" max="5" width="17.36328125" customWidth="1"/>
    <col min="6" max="6" width="17.6328125" customWidth="1"/>
  </cols>
  <sheetData>
    <row r="2" spans="2:9" x14ac:dyDescent="0.35">
      <c r="B2" s="271" t="s">
        <v>116</v>
      </c>
      <c r="C2" s="272"/>
      <c r="D2" s="272"/>
      <c r="E2" s="272"/>
      <c r="F2" s="273"/>
    </row>
    <row r="3" spans="2:9" x14ac:dyDescent="0.35">
      <c r="B3" s="274" t="s">
        <v>189</v>
      </c>
      <c r="C3" s="275"/>
      <c r="D3" s="275"/>
      <c r="E3" s="275"/>
      <c r="F3" s="276"/>
    </row>
    <row r="4" spans="2:9" x14ac:dyDescent="0.35">
      <c r="B4" s="137">
        <v>2023</v>
      </c>
      <c r="C4" s="138">
        <v>2025</v>
      </c>
      <c r="D4" s="138">
        <v>2030</v>
      </c>
      <c r="E4" s="138" t="s">
        <v>185</v>
      </c>
      <c r="F4" s="139" t="s">
        <v>186</v>
      </c>
    </row>
    <row r="5" spans="2:9" x14ac:dyDescent="0.35">
      <c r="B5" s="140">
        <v>2</v>
      </c>
      <c r="C5" s="141">
        <f>B5*(1+E5)^(C4-B4)</f>
        <v>3.9199999999999995</v>
      </c>
      <c r="D5" s="141">
        <f>C5*(1+F5)^(D4-C4)</f>
        <v>17.577411075000004</v>
      </c>
      <c r="E5" s="142">
        <v>0.4</v>
      </c>
      <c r="F5" s="143">
        <v>0.35</v>
      </c>
      <c r="I5" s="73"/>
    </row>
    <row r="7" spans="2:9" x14ac:dyDescent="0.35">
      <c r="B7" s="1" t="s">
        <v>118</v>
      </c>
    </row>
    <row r="8" spans="2:9" x14ac:dyDescent="0.35">
      <c r="B8" t="s">
        <v>187</v>
      </c>
    </row>
    <row r="12" spans="2:9" x14ac:dyDescent="0.35">
      <c r="C12" s="88"/>
    </row>
    <row r="13" spans="2:9" x14ac:dyDescent="0.35">
      <c r="C13" s="88"/>
    </row>
  </sheetData>
  <mergeCells count="2">
    <mergeCell ref="B2:F2"/>
    <mergeCell ref="B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6374-4D55-4197-8448-EC957700897E}">
  <dimension ref="B2:N18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21.90625" customWidth="1"/>
    <col min="3" max="3" width="9.90625" customWidth="1"/>
    <col min="4" max="4" width="16.08984375" customWidth="1"/>
  </cols>
  <sheetData>
    <row r="2" spans="2:14" x14ac:dyDescent="0.35">
      <c r="B2" s="246" t="s">
        <v>116</v>
      </c>
      <c r="C2" s="247"/>
      <c r="D2" s="248"/>
    </row>
    <row r="3" spans="2:14" x14ac:dyDescent="0.35">
      <c r="B3" s="265" t="s">
        <v>2</v>
      </c>
      <c r="C3" s="266"/>
      <c r="D3" s="267"/>
    </row>
    <row r="4" spans="2:14" x14ac:dyDescent="0.35">
      <c r="B4" s="20">
        <v>2023</v>
      </c>
      <c r="C4" s="21">
        <v>2030</v>
      </c>
      <c r="D4" s="22" t="s">
        <v>0</v>
      </c>
      <c r="H4" s="127"/>
    </row>
    <row r="5" spans="2:14" x14ac:dyDescent="0.35">
      <c r="B5" s="118">
        <f>MetaMetavers!F16</f>
        <v>15553.263842999997</v>
      </c>
      <c r="C5" s="63">
        <f>B5*(1+D5)^(C4-B4)</f>
        <v>55730.156379571796</v>
      </c>
      <c r="D5" s="29">
        <v>0.2</v>
      </c>
      <c r="F5" s="73"/>
      <c r="H5" s="127"/>
      <c r="I5" s="127"/>
    </row>
    <row r="6" spans="2:14" x14ac:dyDescent="0.35">
      <c r="B6" s="110"/>
      <c r="C6" s="110"/>
      <c r="D6" s="111"/>
      <c r="H6" s="127"/>
      <c r="I6" s="73"/>
    </row>
    <row r="7" spans="2:14" x14ac:dyDescent="0.35">
      <c r="B7" s="112" t="s">
        <v>5</v>
      </c>
      <c r="C7" s="110"/>
      <c r="D7" s="111"/>
    </row>
    <row r="8" spans="2:14" x14ac:dyDescent="0.35">
      <c r="B8" s="48" t="s">
        <v>181</v>
      </c>
      <c r="C8" s="110"/>
      <c r="D8" s="111"/>
    </row>
    <row r="9" spans="2:14" x14ac:dyDescent="0.35">
      <c r="B9" t="s">
        <v>182</v>
      </c>
      <c r="C9" s="110"/>
      <c r="D9" s="111"/>
    </row>
    <row r="12" spans="2:14" x14ac:dyDescent="0.35">
      <c r="B12" s="4"/>
      <c r="C12" s="65">
        <v>2019</v>
      </c>
      <c r="D12" s="65">
        <v>2020</v>
      </c>
      <c r="E12" s="65">
        <v>2021</v>
      </c>
      <c r="F12" s="5">
        <v>2022</v>
      </c>
      <c r="G12" s="5">
        <v>2023</v>
      </c>
      <c r="H12" s="5">
        <v>2024</v>
      </c>
      <c r="I12" s="5">
        <v>2025</v>
      </c>
      <c r="J12" s="5">
        <v>2026</v>
      </c>
      <c r="K12" s="5">
        <v>2027</v>
      </c>
      <c r="L12" s="5">
        <v>2028</v>
      </c>
      <c r="M12" s="5">
        <v>2029</v>
      </c>
      <c r="N12" s="5">
        <v>2030</v>
      </c>
    </row>
    <row r="13" spans="2:14" ht="29" x14ac:dyDescent="0.35">
      <c r="B13" s="117" t="s">
        <v>45</v>
      </c>
      <c r="C13" s="65">
        <v>1400</v>
      </c>
      <c r="D13" s="65">
        <v>1708</v>
      </c>
      <c r="E13" s="65">
        <v>2084</v>
      </c>
      <c r="F13" s="26">
        <v>2542</v>
      </c>
      <c r="G13" s="26">
        <f>'8'!B5</f>
        <v>3101</v>
      </c>
      <c r="H13" s="26">
        <f>G13*(1+'8'!$D$5)</f>
        <v>3845.24</v>
      </c>
      <c r="I13" s="26">
        <f>H13*(1+'8'!$D$5)</f>
        <v>4768.0976000000001</v>
      </c>
      <c r="J13" s="26">
        <f>I13*(1+'8'!$D$5)</f>
        <v>5912.4410239999997</v>
      </c>
      <c r="K13" s="26">
        <f>J13*(1+'8'!$D$5)</f>
        <v>7331.42686976</v>
      </c>
      <c r="L13" s="26">
        <f>K13*(1+'8'!$D$5)</f>
        <v>9090.9693185024007</v>
      </c>
      <c r="M13" s="26">
        <f>L13*(1+'8'!$D$5)</f>
        <v>11272.801954942977</v>
      </c>
      <c r="N13" s="26">
        <f>M13*(1+'8'!$D$5)</f>
        <v>13978.274424129291</v>
      </c>
    </row>
    <row r="14" spans="2:14" ht="29" x14ac:dyDescent="0.35">
      <c r="B14" s="117" t="s">
        <v>37</v>
      </c>
      <c r="C14" s="65"/>
      <c r="D14" s="65"/>
      <c r="E14" s="65"/>
      <c r="F14" s="26">
        <f>F13+E13+D13+C13</f>
        <v>7734</v>
      </c>
      <c r="G14" s="26">
        <f>G13+F13+E13+D13+C13</f>
        <v>10835</v>
      </c>
      <c r="H14" s="26">
        <f t="shared" ref="H14:L14" si="0">H13+G13+F13+E13+D13</f>
        <v>13280.24</v>
      </c>
      <c r="I14" s="26">
        <f t="shared" si="0"/>
        <v>16340.337599999999</v>
      </c>
      <c r="J14" s="26">
        <f t="shared" si="0"/>
        <v>20168.778623999999</v>
      </c>
      <c r="K14" s="26">
        <f t="shared" si="0"/>
        <v>24958.205493759997</v>
      </c>
      <c r="L14" s="26">
        <f t="shared" si="0"/>
        <v>30948.174812262398</v>
      </c>
      <c r="M14" s="26">
        <f>M13+L13+K13+J13+I13</f>
        <v>38375.736767205381</v>
      </c>
      <c r="N14" s="26">
        <f>N13+M13+L13+K13+J13+I13+0.88*H13</f>
        <v>55737.822391334666</v>
      </c>
    </row>
    <row r="17" spans="2:2" x14ac:dyDescent="0.35">
      <c r="B17" s="1" t="s">
        <v>128</v>
      </c>
    </row>
    <row r="18" spans="2:2" x14ac:dyDescent="0.35">
      <c r="B18" s="48" t="s">
        <v>129</v>
      </c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D373-A54D-4440-A4EF-D40A260118DC}">
  <dimension ref="B2:I9"/>
  <sheetViews>
    <sheetView zoomScale="80" zoomScaleNormal="80" workbookViewId="0">
      <selection activeCell="B2" sqref="B2:D2"/>
    </sheetView>
  </sheetViews>
  <sheetFormatPr baseColWidth="10" defaultRowHeight="14.5" x14ac:dyDescent="0.35"/>
  <cols>
    <col min="2" max="2" width="13.26953125" customWidth="1"/>
    <col min="3" max="3" width="13.08984375" customWidth="1"/>
    <col min="4" max="4" width="14.54296875" customWidth="1"/>
  </cols>
  <sheetData>
    <row r="2" spans="2:9" x14ac:dyDescent="0.35">
      <c r="B2" s="246" t="s">
        <v>116</v>
      </c>
      <c r="C2" s="247"/>
      <c r="D2" s="248"/>
    </row>
    <row r="3" spans="2:9" x14ac:dyDescent="0.35">
      <c r="B3" s="265" t="s">
        <v>3</v>
      </c>
      <c r="C3" s="266"/>
      <c r="D3" s="267"/>
    </row>
    <row r="4" spans="2:9" x14ac:dyDescent="0.35">
      <c r="B4" s="20">
        <v>2023</v>
      </c>
      <c r="C4" s="21">
        <v>2030</v>
      </c>
      <c r="D4" s="22" t="s">
        <v>0</v>
      </c>
    </row>
    <row r="5" spans="2:9" x14ac:dyDescent="0.35">
      <c r="B5" s="116">
        <f>MetaMetavers!F17</f>
        <v>7.1350747499999985</v>
      </c>
      <c r="C5" s="115">
        <f>B5*(1+D5)^(C4-B4)</f>
        <v>6.1941405720989549</v>
      </c>
      <c r="D5" s="29">
        <v>-0.02</v>
      </c>
      <c r="F5" s="73"/>
      <c r="H5" s="127"/>
      <c r="I5" s="73"/>
    </row>
    <row r="7" spans="2:9" x14ac:dyDescent="0.35">
      <c r="B7" t="s">
        <v>135</v>
      </c>
    </row>
    <row r="8" spans="2:9" x14ac:dyDescent="0.35">
      <c r="B8" s="119" t="s">
        <v>127</v>
      </c>
    </row>
    <row r="9" spans="2:9" x14ac:dyDescent="0.35">
      <c r="B9" s="48" t="s">
        <v>183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8BFC-F73F-4040-9A02-C92EA02DC961}">
  <dimension ref="B2:F43"/>
  <sheetViews>
    <sheetView zoomScale="60" zoomScaleNormal="60" workbookViewId="0">
      <selection activeCell="B2" sqref="B2:D2"/>
    </sheetView>
  </sheetViews>
  <sheetFormatPr baseColWidth="10" defaultRowHeight="14.5" x14ac:dyDescent="0.35"/>
  <cols>
    <col min="2" max="2" width="16.453125" customWidth="1"/>
    <col min="3" max="3" width="15.7265625" customWidth="1"/>
    <col min="4" max="4" width="17.54296875" customWidth="1"/>
    <col min="5" max="5" width="16.08984375" customWidth="1"/>
    <col min="6" max="6" width="15.90625" customWidth="1"/>
  </cols>
  <sheetData>
    <row r="2" spans="2:6" x14ac:dyDescent="0.35">
      <c r="B2" s="246" t="s">
        <v>178</v>
      </c>
      <c r="C2" s="247"/>
      <c r="D2" s="248"/>
    </row>
    <row r="3" spans="2:6" x14ac:dyDescent="0.35">
      <c r="B3" s="265" t="s">
        <v>1</v>
      </c>
      <c r="C3" s="266"/>
      <c r="D3" s="267"/>
    </row>
    <row r="4" spans="2:6" x14ac:dyDescent="0.35">
      <c r="B4" s="20">
        <v>2023</v>
      </c>
      <c r="C4" s="21">
        <v>2030</v>
      </c>
      <c r="D4" s="22" t="s">
        <v>0</v>
      </c>
    </row>
    <row r="5" spans="2:6" x14ac:dyDescent="0.35">
      <c r="B5" s="116">
        <f>MetaMetavers!F21</f>
        <v>63.011843999999996</v>
      </c>
      <c r="C5" s="63">
        <f>B5*(1+D5)^(C4-B4)</f>
        <v>354.72514644790982</v>
      </c>
      <c r="D5" s="29">
        <v>0.28000000000000003</v>
      </c>
    </row>
    <row r="7" spans="2:6" x14ac:dyDescent="0.35">
      <c r="B7" t="s">
        <v>134</v>
      </c>
    </row>
    <row r="8" spans="2:6" x14ac:dyDescent="0.35">
      <c r="B8" s="48" t="s">
        <v>194</v>
      </c>
    </row>
    <row r="9" spans="2:6" x14ac:dyDescent="0.35">
      <c r="B9" s="48"/>
    </row>
    <row r="10" spans="2:6" x14ac:dyDescent="0.35">
      <c r="B10" s="122" t="s">
        <v>213</v>
      </c>
    </row>
    <row r="11" spans="2:6" x14ac:dyDescent="0.35">
      <c r="B11" s="48" t="s">
        <v>210</v>
      </c>
      <c r="D11" s="217" t="s">
        <v>230</v>
      </c>
    </row>
    <row r="13" spans="2:6" x14ac:dyDescent="0.35">
      <c r="B13" s="246" t="s">
        <v>178</v>
      </c>
      <c r="C13" s="247"/>
      <c r="D13" s="248"/>
    </row>
    <row r="14" spans="2:6" ht="16.5" x14ac:dyDescent="0.45">
      <c r="B14" s="265" t="s">
        <v>188</v>
      </c>
      <c r="C14" s="266"/>
      <c r="D14" s="267"/>
      <c r="F14" s="130"/>
    </row>
    <row r="15" spans="2:6" x14ac:dyDescent="0.35">
      <c r="B15" s="20">
        <v>2023</v>
      </c>
      <c r="C15" s="21">
        <v>2030</v>
      </c>
      <c r="D15" s="22" t="s">
        <v>0</v>
      </c>
    </row>
    <row r="16" spans="2:6" x14ac:dyDescent="0.35">
      <c r="B16" s="116">
        <f>MetaMetavers!F22</f>
        <v>54.121608000000002</v>
      </c>
      <c r="C16" s="28">
        <v>90</v>
      </c>
      <c r="D16" s="29">
        <v>0.02</v>
      </c>
    </row>
    <row r="18" spans="2:6" x14ac:dyDescent="0.35">
      <c r="B18" t="s">
        <v>134</v>
      </c>
    </row>
    <row r="19" spans="2:6" x14ac:dyDescent="0.35">
      <c r="B19" t="s">
        <v>191</v>
      </c>
    </row>
    <row r="21" spans="2:6" x14ac:dyDescent="0.35">
      <c r="B21" s="246" t="s">
        <v>178</v>
      </c>
      <c r="C21" s="247"/>
      <c r="D21" s="248"/>
    </row>
    <row r="22" spans="2:6" ht="16.5" x14ac:dyDescent="0.45">
      <c r="B22" s="265" t="s">
        <v>188</v>
      </c>
      <c r="C22" s="266"/>
      <c r="D22" s="267"/>
    </row>
    <row r="23" spans="2:6" x14ac:dyDescent="0.35">
      <c r="B23" s="20">
        <v>2023</v>
      </c>
      <c r="C23" s="21">
        <v>2030</v>
      </c>
      <c r="D23" s="22" t="s">
        <v>0</v>
      </c>
    </row>
    <row r="24" spans="2:6" x14ac:dyDescent="0.35">
      <c r="B24" s="116">
        <f>MetaMetavers!F23</f>
        <v>194.05324310344832</v>
      </c>
      <c r="C24" s="28">
        <v>90</v>
      </c>
      <c r="D24" s="29">
        <v>0.03</v>
      </c>
    </row>
    <row r="26" spans="2:6" x14ac:dyDescent="0.35">
      <c r="B26" t="s">
        <v>134</v>
      </c>
    </row>
    <row r="27" spans="2:6" x14ac:dyDescent="0.35">
      <c r="B27" t="s">
        <v>191</v>
      </c>
    </row>
    <row r="29" spans="2:6" x14ac:dyDescent="0.35">
      <c r="B29" s="271" t="s">
        <v>178</v>
      </c>
      <c r="C29" s="272"/>
      <c r="D29" s="272"/>
      <c r="E29" s="272"/>
      <c r="F29" s="273"/>
    </row>
    <row r="30" spans="2:6" x14ac:dyDescent="0.35">
      <c r="B30" s="274" t="s">
        <v>2</v>
      </c>
      <c r="C30" s="275"/>
      <c r="D30" s="275"/>
      <c r="E30" s="275"/>
      <c r="F30" s="276"/>
    </row>
    <row r="31" spans="2:6" x14ac:dyDescent="0.35">
      <c r="B31" s="137">
        <v>2023</v>
      </c>
      <c r="C31" s="138">
        <v>2025</v>
      </c>
      <c r="D31" s="138">
        <v>2030</v>
      </c>
      <c r="E31" s="138" t="s">
        <v>185</v>
      </c>
      <c r="F31" s="139" t="s">
        <v>186</v>
      </c>
    </row>
    <row r="32" spans="2:6" x14ac:dyDescent="0.35">
      <c r="B32" s="140">
        <v>2</v>
      </c>
      <c r="C32" s="141">
        <f>B32*(1+E32)^(C31-B31)</f>
        <v>3.125</v>
      </c>
      <c r="D32" s="141">
        <f>C32*(1+F32)^(D31-C31)</f>
        <v>11.602906250000004</v>
      </c>
      <c r="E32" s="142">
        <v>0.25</v>
      </c>
      <c r="F32" s="143">
        <v>0.3</v>
      </c>
    </row>
    <row r="34" spans="2:6" x14ac:dyDescent="0.35">
      <c r="B34" t="s">
        <v>134</v>
      </c>
    </row>
    <row r="35" spans="2:6" x14ac:dyDescent="0.35">
      <c r="B35" s="48" t="s">
        <v>195</v>
      </c>
    </row>
    <row r="37" spans="2:6" x14ac:dyDescent="0.35">
      <c r="B37" s="271" t="s">
        <v>178</v>
      </c>
      <c r="C37" s="272"/>
      <c r="D37" s="272"/>
      <c r="E37" s="272"/>
      <c r="F37" s="273"/>
    </row>
    <row r="38" spans="2:6" x14ac:dyDescent="0.35">
      <c r="B38" s="274" t="s">
        <v>189</v>
      </c>
      <c r="C38" s="275"/>
      <c r="D38" s="275"/>
      <c r="E38" s="275"/>
      <c r="F38" s="276"/>
    </row>
    <row r="39" spans="2:6" x14ac:dyDescent="0.35">
      <c r="B39" s="137">
        <v>2023</v>
      </c>
      <c r="C39" s="138">
        <v>2025</v>
      </c>
      <c r="D39" s="138">
        <v>2030</v>
      </c>
      <c r="E39" s="138" t="s">
        <v>185</v>
      </c>
      <c r="F39" s="139" t="s">
        <v>186</v>
      </c>
    </row>
    <row r="40" spans="2:6" x14ac:dyDescent="0.35">
      <c r="B40" s="140">
        <v>2</v>
      </c>
      <c r="C40" s="141">
        <f>B40*(1+E40)^(C39-B39)</f>
        <v>2.0808</v>
      </c>
      <c r="D40" s="141">
        <f>C40*(1+F40)^(D39-C39)</f>
        <v>2.5316113593139207</v>
      </c>
      <c r="E40" s="142">
        <v>0.02</v>
      </c>
      <c r="F40" s="143">
        <v>0.04</v>
      </c>
    </row>
    <row r="42" spans="2:6" x14ac:dyDescent="0.35">
      <c r="B42" t="s">
        <v>134</v>
      </c>
    </row>
    <row r="43" spans="2:6" x14ac:dyDescent="0.35">
      <c r="B43" s="48" t="s">
        <v>196</v>
      </c>
    </row>
  </sheetData>
  <mergeCells count="10">
    <mergeCell ref="B30:F30"/>
    <mergeCell ref="B37:F37"/>
    <mergeCell ref="B38:F38"/>
    <mergeCell ref="B21:D21"/>
    <mergeCell ref="B22:D22"/>
    <mergeCell ref="B2:D2"/>
    <mergeCell ref="B3:D3"/>
    <mergeCell ref="B13:D13"/>
    <mergeCell ref="B14:D14"/>
    <mergeCell ref="B29:F2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C05B-C680-4B22-BD33-86A65103B4C6}">
  <dimension ref="B2:C33"/>
  <sheetViews>
    <sheetView zoomScale="70" zoomScaleNormal="70" workbookViewId="0">
      <selection activeCell="B2" sqref="B2:C2"/>
    </sheetView>
  </sheetViews>
  <sheetFormatPr baseColWidth="10" defaultRowHeight="14.5" x14ac:dyDescent="0.35"/>
  <cols>
    <col min="1" max="1" width="4.81640625" customWidth="1"/>
    <col min="2" max="2" width="20.1796875" style="76" customWidth="1"/>
    <col min="3" max="3" width="116.08984375" customWidth="1"/>
  </cols>
  <sheetData>
    <row r="2" spans="2:3" ht="30" customHeight="1" x14ac:dyDescent="0.35">
      <c r="B2" s="277" t="s">
        <v>211</v>
      </c>
      <c r="C2" s="278"/>
    </row>
    <row r="3" spans="2:3" ht="15" customHeight="1" x14ac:dyDescent="0.35">
      <c r="B3" s="74" t="s">
        <v>57</v>
      </c>
      <c r="C3" s="71" t="s">
        <v>56</v>
      </c>
    </row>
    <row r="4" spans="2:3" ht="30" customHeight="1" x14ac:dyDescent="0.35">
      <c r="B4" s="74" t="s">
        <v>62</v>
      </c>
      <c r="C4" s="71" t="s">
        <v>61</v>
      </c>
    </row>
    <row r="5" spans="2:3" ht="30" customHeight="1" x14ac:dyDescent="0.35">
      <c r="B5" s="74" t="s">
        <v>66</v>
      </c>
      <c r="C5" s="71" t="s">
        <v>65</v>
      </c>
    </row>
    <row r="6" spans="2:3" ht="30" customHeight="1" x14ac:dyDescent="0.35">
      <c r="B6" s="74" t="s">
        <v>54</v>
      </c>
      <c r="C6" s="71" t="s">
        <v>55</v>
      </c>
    </row>
    <row r="7" spans="2:3" ht="30" customHeight="1" x14ac:dyDescent="0.35">
      <c r="B7" s="74" t="s">
        <v>68</v>
      </c>
      <c r="C7" s="71" t="s">
        <v>67</v>
      </c>
    </row>
    <row r="8" spans="2:3" ht="30" customHeight="1" x14ac:dyDescent="0.35">
      <c r="B8" s="74" t="s">
        <v>117</v>
      </c>
      <c r="C8" s="71" t="s">
        <v>124</v>
      </c>
    </row>
    <row r="9" spans="2:3" ht="30" customHeight="1" x14ac:dyDescent="0.35">
      <c r="B9" s="74" t="s">
        <v>70</v>
      </c>
      <c r="C9" s="71" t="s">
        <v>69</v>
      </c>
    </row>
    <row r="10" spans="2:3" ht="30" customHeight="1" x14ac:dyDescent="0.35">
      <c r="B10" s="228" t="s">
        <v>241</v>
      </c>
      <c r="C10" s="229" t="s">
        <v>272</v>
      </c>
    </row>
    <row r="11" spans="2:3" ht="30" customHeight="1" x14ac:dyDescent="0.35">
      <c r="B11" s="277" t="s">
        <v>212</v>
      </c>
      <c r="C11" s="278"/>
    </row>
    <row r="12" spans="2:3" ht="45" customHeight="1" x14ac:dyDescent="0.35">
      <c r="B12" s="74" t="s">
        <v>172</v>
      </c>
      <c r="C12" s="71" t="s">
        <v>171</v>
      </c>
    </row>
    <row r="13" spans="2:3" ht="30" customHeight="1" x14ac:dyDescent="0.35">
      <c r="B13" s="74" t="s">
        <v>126</v>
      </c>
      <c r="C13" s="71" t="s">
        <v>143</v>
      </c>
    </row>
    <row r="14" spans="2:3" ht="30" customHeight="1" x14ac:dyDescent="0.35">
      <c r="B14" s="74" t="s">
        <v>266</v>
      </c>
      <c r="C14" s="229" t="s">
        <v>267</v>
      </c>
    </row>
    <row r="15" spans="2:3" ht="30" customHeight="1" x14ac:dyDescent="0.35">
      <c r="B15" s="74" t="s">
        <v>93</v>
      </c>
      <c r="C15" s="71" t="s">
        <v>92</v>
      </c>
    </row>
    <row r="16" spans="2:3" ht="15" customHeight="1" x14ac:dyDescent="0.35">
      <c r="B16" s="74" t="s">
        <v>75</v>
      </c>
      <c r="C16" s="71" t="s">
        <v>83</v>
      </c>
    </row>
    <row r="17" spans="2:3" ht="30" customHeight="1" x14ac:dyDescent="0.35">
      <c r="B17" s="74" t="s">
        <v>146</v>
      </c>
      <c r="C17" s="71" t="s">
        <v>145</v>
      </c>
    </row>
    <row r="18" spans="2:3" ht="30" customHeight="1" x14ac:dyDescent="0.35">
      <c r="B18" s="74" t="s">
        <v>125</v>
      </c>
      <c r="C18" s="71" t="s">
        <v>140</v>
      </c>
    </row>
    <row r="19" spans="2:3" ht="30" customHeight="1" x14ac:dyDescent="0.35">
      <c r="B19" s="74" t="s">
        <v>166</v>
      </c>
      <c r="C19" s="71" t="s">
        <v>165</v>
      </c>
    </row>
    <row r="20" spans="2:3" ht="30" customHeight="1" x14ac:dyDescent="0.35">
      <c r="B20" s="74" t="s">
        <v>94</v>
      </c>
      <c r="C20" s="71" t="s">
        <v>167</v>
      </c>
    </row>
    <row r="21" spans="2:3" ht="15" customHeight="1" x14ac:dyDescent="0.35">
      <c r="B21" s="74" t="s">
        <v>119</v>
      </c>
      <c r="C21" s="71" t="s">
        <v>141</v>
      </c>
    </row>
    <row r="22" spans="2:3" ht="30" customHeight="1" x14ac:dyDescent="0.35">
      <c r="B22" s="74" t="s">
        <v>81</v>
      </c>
      <c r="C22" s="71" t="s">
        <v>84</v>
      </c>
    </row>
    <row r="23" spans="2:3" ht="15" customHeight="1" x14ac:dyDescent="0.35">
      <c r="B23" s="74" t="s">
        <v>78</v>
      </c>
      <c r="C23" s="71" t="s">
        <v>85</v>
      </c>
    </row>
    <row r="24" spans="2:3" ht="45" customHeight="1" x14ac:dyDescent="0.35">
      <c r="B24" s="74" t="s">
        <v>137</v>
      </c>
      <c r="C24" s="71" t="s">
        <v>142</v>
      </c>
    </row>
    <row r="25" spans="2:3" ht="30" customHeight="1" x14ac:dyDescent="0.35">
      <c r="B25" s="74" t="s">
        <v>169</v>
      </c>
      <c r="C25" s="71" t="s">
        <v>168</v>
      </c>
    </row>
    <row r="26" spans="2:3" ht="30" customHeight="1" x14ac:dyDescent="0.35">
      <c r="B26" s="74" t="s">
        <v>173</v>
      </c>
      <c r="C26" s="71" t="s">
        <v>268</v>
      </c>
    </row>
    <row r="27" spans="2:3" ht="30" customHeight="1" x14ac:dyDescent="0.35">
      <c r="B27" s="74" t="s">
        <v>261</v>
      </c>
      <c r="C27" s="229" t="s">
        <v>269</v>
      </c>
    </row>
    <row r="28" spans="2:3" ht="15" customHeight="1" x14ac:dyDescent="0.35">
      <c r="B28" s="74" t="s">
        <v>174</v>
      </c>
      <c r="C28" s="71" t="s">
        <v>270</v>
      </c>
    </row>
    <row r="29" spans="2:3" ht="30" customHeight="1" x14ac:dyDescent="0.35">
      <c r="B29" s="74" t="s">
        <v>262</v>
      </c>
      <c r="C29" s="71" t="s">
        <v>271</v>
      </c>
    </row>
    <row r="30" spans="2:3" ht="30" customHeight="1" x14ac:dyDescent="0.35">
      <c r="B30" s="74" t="s">
        <v>109</v>
      </c>
      <c r="C30" s="71" t="s">
        <v>147</v>
      </c>
    </row>
    <row r="31" spans="2:3" ht="15" customHeight="1" x14ac:dyDescent="0.35">
      <c r="B31" s="75" t="s">
        <v>82</v>
      </c>
      <c r="C31" s="72" t="s">
        <v>86</v>
      </c>
    </row>
    <row r="33" spans="3:3" x14ac:dyDescent="0.35">
      <c r="C33" s="226"/>
    </row>
  </sheetData>
  <mergeCells count="2">
    <mergeCell ref="B2:C2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B85-0C74-477D-BDDD-4C2E5381A582}">
  <dimension ref="A2:N43"/>
  <sheetViews>
    <sheetView zoomScale="60" zoomScaleNormal="6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32.54296875" customWidth="1"/>
    <col min="3" max="3" width="17.6328125" customWidth="1"/>
    <col min="4" max="4" width="14.54296875" customWidth="1"/>
    <col min="5" max="11" width="12.54296875" customWidth="1"/>
    <col min="13" max="13" width="8.453125" customWidth="1"/>
  </cols>
  <sheetData>
    <row r="2" spans="2:4" x14ac:dyDescent="0.35">
      <c r="B2" s="246" t="s">
        <v>30</v>
      </c>
      <c r="C2" s="247"/>
      <c r="D2" s="248"/>
    </row>
    <row r="3" spans="2:4" x14ac:dyDescent="0.35">
      <c r="B3" s="265" t="s">
        <v>1</v>
      </c>
      <c r="C3" s="266"/>
      <c r="D3" s="267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47</v>
      </c>
      <c r="C5" s="63">
        <f>K22</f>
        <v>1329.4538683497115</v>
      </c>
      <c r="D5" s="29">
        <f>(C5/B5)^(1/(C4-B4))-1</f>
        <v>0.61201068558825988</v>
      </c>
    </row>
    <row r="7" spans="2:4" x14ac:dyDescent="0.35">
      <c r="B7" t="s">
        <v>16</v>
      </c>
    </row>
    <row r="8" spans="2:4" x14ac:dyDescent="0.35">
      <c r="B8" t="s">
        <v>58</v>
      </c>
    </row>
    <row r="10" spans="2:4" x14ac:dyDescent="0.35">
      <c r="B10" t="s">
        <v>20</v>
      </c>
    </row>
    <row r="11" spans="2:4" x14ac:dyDescent="0.35">
      <c r="B11" t="s">
        <v>231</v>
      </c>
    </row>
    <row r="13" spans="2:4" x14ac:dyDescent="0.35">
      <c r="B13" t="s">
        <v>76</v>
      </c>
    </row>
    <row r="14" spans="2:4" x14ac:dyDescent="0.35">
      <c r="B14" t="s">
        <v>77</v>
      </c>
    </row>
    <row r="16" spans="2:4" ht="29" x14ac:dyDescent="0.35">
      <c r="B16" s="23" t="s">
        <v>19</v>
      </c>
      <c r="C16" s="25">
        <v>0.25</v>
      </c>
    </row>
    <row r="17" spans="2:14" x14ac:dyDescent="0.35">
      <c r="B17" s="14" t="s">
        <v>18</v>
      </c>
      <c r="C17" s="25">
        <v>6.0999999999999999E-2</v>
      </c>
    </row>
    <row r="18" spans="2:14" x14ac:dyDescent="0.35">
      <c r="B18" s="2"/>
      <c r="C18" s="3"/>
      <c r="D18" s="3"/>
      <c r="E18" s="3"/>
      <c r="F18" s="3"/>
    </row>
    <row r="19" spans="2:14" x14ac:dyDescent="0.35">
      <c r="B19" s="4"/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</row>
    <row r="20" spans="2:14" x14ac:dyDescent="0.35">
      <c r="B20" s="15" t="s">
        <v>36</v>
      </c>
      <c r="C20" s="26">
        <v>5300</v>
      </c>
      <c r="D20" s="26">
        <f t="shared" ref="D20:K20" si="0">$C20*(1+$C$17)^(D19-$C19)</f>
        <v>5623.2999999999993</v>
      </c>
      <c r="E20" s="26">
        <f t="shared" si="0"/>
        <v>5966.3212999999996</v>
      </c>
      <c r="F20" s="26">
        <f t="shared" si="0"/>
        <v>6330.2668992999988</v>
      </c>
      <c r="G20" s="26">
        <f t="shared" si="0"/>
        <v>6716.4131801572994</v>
      </c>
      <c r="H20" s="26">
        <f t="shared" si="0"/>
        <v>7126.1143841468938</v>
      </c>
      <c r="I20" s="26">
        <f t="shared" si="0"/>
        <v>7560.8073615798558</v>
      </c>
      <c r="J20" s="26">
        <f t="shared" si="0"/>
        <v>8022.0166106362249</v>
      </c>
      <c r="K20" s="26">
        <f t="shared" si="0"/>
        <v>8511.359623885035</v>
      </c>
    </row>
    <row r="21" spans="2:14" x14ac:dyDescent="0.35">
      <c r="B21" s="24" t="s">
        <v>37</v>
      </c>
      <c r="C21" s="26"/>
      <c r="D21" s="26">
        <f>B5</f>
        <v>47</v>
      </c>
      <c r="E21" s="26">
        <f t="shared" ref="E21:J21" si="1">D21*(1+$N$21)</f>
        <v>81.030139260905415</v>
      </c>
      <c r="F21" s="26">
        <f t="shared" si="1"/>
        <v>139.69964826897288</v>
      </c>
      <c r="G21" s="26">
        <f t="shared" si="1"/>
        <v>240.84855221136974</v>
      </c>
      <c r="H21" s="26">
        <f t="shared" si="1"/>
        <v>415.23386652073913</v>
      </c>
      <c r="I21" s="26">
        <f t="shared" si="1"/>
        <v>715.88208574510008</v>
      </c>
      <c r="J21" s="26">
        <f t="shared" si="1"/>
        <v>1234.2133000492106</v>
      </c>
      <c r="K21" s="26">
        <f>$C$16*K20</f>
        <v>2127.8399059712588</v>
      </c>
      <c r="M21" s="14" t="s">
        <v>46</v>
      </c>
      <c r="N21" s="62">
        <f>(K21/D21)^(1/(K19-D19))-1</f>
        <v>0.72404551618947699</v>
      </c>
    </row>
    <row r="22" spans="2:14" ht="29" x14ac:dyDescent="0.35">
      <c r="B22" s="24" t="s">
        <v>45</v>
      </c>
      <c r="C22" s="26"/>
      <c r="D22" s="26">
        <v>47</v>
      </c>
      <c r="E22" s="26">
        <f t="shared" ref="E22:K22" si="2">E21-D22</f>
        <v>34.030139260905415</v>
      </c>
      <c r="F22" s="26">
        <f t="shared" si="2"/>
        <v>105.66950900806746</v>
      </c>
      <c r="G22" s="26">
        <f t="shared" si="2"/>
        <v>135.17904320330229</v>
      </c>
      <c r="H22" s="26">
        <f t="shared" si="2"/>
        <v>280.05482331743684</v>
      </c>
      <c r="I22" s="26">
        <f t="shared" si="2"/>
        <v>435.82726242766324</v>
      </c>
      <c r="J22" s="26">
        <f t="shared" si="2"/>
        <v>798.3860376215473</v>
      </c>
      <c r="K22" s="26">
        <f t="shared" si="2"/>
        <v>1329.4538683497115</v>
      </c>
    </row>
    <row r="23" spans="2:14" x14ac:dyDescent="0.35"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2:14" x14ac:dyDescent="0.35">
      <c r="B24" t="s">
        <v>17</v>
      </c>
    </row>
    <row r="25" spans="2:14" x14ac:dyDescent="0.35">
      <c r="B25" t="s">
        <v>79</v>
      </c>
    </row>
    <row r="26" spans="2:14" x14ac:dyDescent="0.35">
      <c r="B26" t="s">
        <v>80</v>
      </c>
    </row>
    <row r="29" spans="2:14" x14ac:dyDescent="0.35">
      <c r="B29" s="122" t="s">
        <v>144</v>
      </c>
    </row>
    <row r="30" spans="2:14" x14ac:dyDescent="0.35">
      <c r="B30" s="86"/>
    </row>
    <row r="31" spans="2:14" x14ac:dyDescent="0.35">
      <c r="B31" s="120" t="s">
        <v>170</v>
      </c>
    </row>
    <row r="32" spans="2:14" x14ac:dyDescent="0.35">
      <c r="B32" s="120" t="s">
        <v>264</v>
      </c>
    </row>
    <row r="33" spans="1:2" x14ac:dyDescent="0.35">
      <c r="B33" s="120" t="s">
        <v>263</v>
      </c>
    </row>
    <row r="34" spans="1:2" x14ac:dyDescent="0.35">
      <c r="A34" s="119"/>
      <c r="B34" s="120" t="s">
        <v>265</v>
      </c>
    </row>
    <row r="35" spans="1:2" x14ac:dyDescent="0.35">
      <c r="B35" s="120"/>
    </row>
    <row r="36" spans="1:2" x14ac:dyDescent="0.35">
      <c r="B36" s="86"/>
    </row>
    <row r="37" spans="1:2" x14ac:dyDescent="0.35">
      <c r="B37" s="73"/>
    </row>
    <row r="38" spans="1:2" x14ac:dyDescent="0.35">
      <c r="B38" s="73"/>
    </row>
    <row r="39" spans="1:2" x14ac:dyDescent="0.35">
      <c r="B39" s="73"/>
    </row>
    <row r="40" spans="1:2" x14ac:dyDescent="0.35">
      <c r="B40" s="87"/>
    </row>
    <row r="41" spans="1:2" x14ac:dyDescent="0.35">
      <c r="B41" s="73"/>
    </row>
    <row r="42" spans="1:2" x14ac:dyDescent="0.35">
      <c r="B42" s="86"/>
    </row>
    <row r="43" spans="1:2" x14ac:dyDescent="0.35">
      <c r="B43" s="89"/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5006-283B-43FD-8316-4D079C70715E}">
  <dimension ref="B2:M46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15.81640625" customWidth="1"/>
  </cols>
  <sheetData>
    <row r="2" spans="2:12" x14ac:dyDescent="0.35">
      <c r="B2" s="219" t="s">
        <v>30</v>
      </c>
    </row>
    <row r="3" spans="2:12" x14ac:dyDescent="0.35">
      <c r="B3" s="220" t="s">
        <v>232</v>
      </c>
    </row>
    <row r="4" spans="2:12" x14ac:dyDescent="0.35">
      <c r="B4" s="218">
        <v>2</v>
      </c>
    </row>
    <row r="5" spans="2:12" x14ac:dyDescent="0.35">
      <c r="B5" s="223"/>
    </row>
    <row r="6" spans="2:12" x14ac:dyDescent="0.35">
      <c r="B6" t="s">
        <v>16</v>
      </c>
    </row>
    <row r="7" spans="2:12" x14ac:dyDescent="0.35">
      <c r="B7" t="s">
        <v>242</v>
      </c>
    </row>
    <row r="8" spans="2:12" x14ac:dyDescent="0.35">
      <c r="B8" t="s">
        <v>239</v>
      </c>
    </row>
    <row r="9" spans="2:12" x14ac:dyDescent="0.35">
      <c r="B9" t="s">
        <v>260</v>
      </c>
    </row>
    <row r="10" spans="2:12" x14ac:dyDescent="0.35">
      <c r="B10" t="s">
        <v>240</v>
      </c>
    </row>
    <row r="11" spans="2:12" x14ac:dyDescent="0.35">
      <c r="B11" s="223"/>
      <c r="L11" s="69"/>
    </row>
    <row r="12" spans="2:12" x14ac:dyDescent="0.35">
      <c r="B12" s="223"/>
      <c r="L12" s="89"/>
    </row>
    <row r="13" spans="2:12" x14ac:dyDescent="0.35">
      <c r="B13" s="223"/>
      <c r="L13" s="224"/>
    </row>
    <row r="14" spans="2:12" x14ac:dyDescent="0.35">
      <c r="B14" s="223"/>
      <c r="L14" s="225"/>
    </row>
    <row r="15" spans="2:12" x14ac:dyDescent="0.35">
      <c r="B15" s="223"/>
      <c r="L15" s="225"/>
    </row>
    <row r="16" spans="2:12" x14ac:dyDescent="0.35">
      <c r="B16" s="223"/>
    </row>
    <row r="17" spans="2:2" x14ac:dyDescent="0.35">
      <c r="B17" s="223"/>
    </row>
    <row r="18" spans="2:2" x14ac:dyDescent="0.35">
      <c r="B18" s="223"/>
    </row>
    <row r="19" spans="2:2" x14ac:dyDescent="0.35">
      <c r="B19" s="223"/>
    </row>
    <row r="20" spans="2:2" x14ac:dyDescent="0.35">
      <c r="B20" s="223"/>
    </row>
    <row r="21" spans="2:2" x14ac:dyDescent="0.35">
      <c r="B21" s="223"/>
    </row>
    <row r="22" spans="2:2" x14ac:dyDescent="0.35">
      <c r="B22" s="223"/>
    </row>
    <row r="23" spans="2:2" x14ac:dyDescent="0.35">
      <c r="B23" s="223"/>
    </row>
    <row r="24" spans="2:2" x14ac:dyDescent="0.35">
      <c r="B24" s="223"/>
    </row>
    <row r="25" spans="2:2" x14ac:dyDescent="0.35">
      <c r="B25" s="223"/>
    </row>
    <row r="26" spans="2:2" x14ac:dyDescent="0.35">
      <c r="B26" s="223"/>
    </row>
    <row r="27" spans="2:2" x14ac:dyDescent="0.35">
      <c r="B27" s="223"/>
    </row>
    <row r="28" spans="2:2" x14ac:dyDescent="0.35">
      <c r="B28" s="223"/>
    </row>
    <row r="29" spans="2:2" x14ac:dyDescent="0.35">
      <c r="B29" s="223"/>
    </row>
    <row r="30" spans="2:2" x14ac:dyDescent="0.35">
      <c r="B30" s="223"/>
    </row>
    <row r="31" spans="2:2" x14ac:dyDescent="0.35">
      <c r="B31" s="223"/>
    </row>
    <row r="32" spans="2:2" x14ac:dyDescent="0.35">
      <c r="B32" s="223"/>
    </row>
    <row r="33" spans="2:13" x14ac:dyDescent="0.35">
      <c r="B33" s="223"/>
    </row>
    <row r="34" spans="2:13" x14ac:dyDescent="0.35">
      <c r="B34" s="223"/>
    </row>
    <row r="35" spans="2:13" x14ac:dyDescent="0.35">
      <c r="B35" s="227" t="s">
        <v>233</v>
      </c>
      <c r="C35" s="227" t="s">
        <v>234</v>
      </c>
      <c r="D35" s="227" t="s">
        <v>235</v>
      </c>
      <c r="E35" s="227" t="s">
        <v>236</v>
      </c>
      <c r="F35" s="227" t="s">
        <v>237</v>
      </c>
      <c r="G35" s="227" t="s">
        <v>238</v>
      </c>
      <c r="H35" s="227" t="s">
        <v>233</v>
      </c>
      <c r="I35" s="227" t="s">
        <v>234</v>
      </c>
      <c r="J35" s="227" t="s">
        <v>235</v>
      </c>
      <c r="K35" s="227" t="s">
        <v>236</v>
      </c>
      <c r="L35" s="227" t="s">
        <v>237</v>
      </c>
      <c r="M35" s="227" t="s">
        <v>238</v>
      </c>
    </row>
    <row r="36" spans="2:13" x14ac:dyDescent="0.35">
      <c r="B36" s="221">
        <v>2016</v>
      </c>
      <c r="C36" s="221">
        <v>2019</v>
      </c>
      <c r="D36" s="221">
        <v>2016</v>
      </c>
      <c r="E36" s="221">
        <v>2016</v>
      </c>
      <c r="F36" s="221">
        <v>2015</v>
      </c>
      <c r="G36" s="221">
        <v>2019</v>
      </c>
      <c r="H36">
        <f t="shared" ref="H36:M44" si="0">SUM(B37-B36)</f>
        <v>2</v>
      </c>
      <c r="I36">
        <f t="shared" si="0"/>
        <v>1</v>
      </c>
      <c r="J36">
        <f t="shared" si="0"/>
        <v>2</v>
      </c>
      <c r="K36">
        <f t="shared" si="0"/>
        <v>1</v>
      </c>
      <c r="L36">
        <f t="shared" si="0"/>
        <v>1</v>
      </c>
      <c r="M36">
        <f t="shared" si="0"/>
        <v>2</v>
      </c>
    </row>
    <row r="37" spans="2:13" x14ac:dyDescent="0.35">
      <c r="B37" s="221">
        <v>2018</v>
      </c>
      <c r="C37" s="221">
        <v>2020</v>
      </c>
      <c r="D37" s="221">
        <v>2018</v>
      </c>
      <c r="E37" s="221">
        <v>2017</v>
      </c>
      <c r="F37" s="221">
        <v>2016</v>
      </c>
      <c r="G37" s="221">
        <v>2021</v>
      </c>
      <c r="H37">
        <f>SUM(B38-B37)</f>
        <v>0</v>
      </c>
      <c r="J37">
        <f t="shared" si="0"/>
        <v>1</v>
      </c>
      <c r="K37">
        <f t="shared" si="0"/>
        <v>2</v>
      </c>
      <c r="L37">
        <f t="shared" si="0"/>
        <v>1</v>
      </c>
      <c r="M37">
        <f>SUM(G38-G37)</f>
        <v>0</v>
      </c>
    </row>
    <row r="38" spans="2:13" x14ac:dyDescent="0.35">
      <c r="B38" s="221">
        <v>2018</v>
      </c>
      <c r="C38" s="221"/>
      <c r="D38" s="221">
        <v>2019</v>
      </c>
      <c r="E38" s="221">
        <v>2019</v>
      </c>
      <c r="F38" s="221">
        <v>2017</v>
      </c>
      <c r="G38" s="221">
        <v>2021</v>
      </c>
      <c r="H38">
        <f>SUM(B39-B38)</f>
        <v>1</v>
      </c>
      <c r="J38">
        <f t="shared" si="0"/>
        <v>0</v>
      </c>
      <c r="K38">
        <f t="shared" si="0"/>
        <v>2</v>
      </c>
      <c r="L38">
        <f t="shared" si="0"/>
        <v>1</v>
      </c>
    </row>
    <row r="39" spans="2:13" x14ac:dyDescent="0.35">
      <c r="B39" s="221">
        <v>2019</v>
      </c>
      <c r="D39" s="221">
        <v>2019</v>
      </c>
      <c r="E39" s="221">
        <v>2021</v>
      </c>
      <c r="F39" s="221">
        <v>2018</v>
      </c>
      <c r="G39" s="221"/>
      <c r="H39">
        <f>SUM(B40-B39)</f>
        <v>2</v>
      </c>
      <c r="J39">
        <f t="shared" si="0"/>
        <v>0</v>
      </c>
      <c r="K39">
        <f t="shared" si="0"/>
        <v>1</v>
      </c>
    </row>
    <row r="40" spans="2:13" x14ac:dyDescent="0.35">
      <c r="B40" s="221">
        <v>2021</v>
      </c>
      <c r="C40" s="221"/>
      <c r="D40" s="221">
        <v>2019</v>
      </c>
      <c r="E40" s="221">
        <v>2022</v>
      </c>
      <c r="F40" s="221"/>
      <c r="G40" s="221"/>
      <c r="H40">
        <f>SUM(B41-B40)</f>
        <v>0</v>
      </c>
      <c r="J40">
        <f t="shared" si="0"/>
        <v>0</v>
      </c>
    </row>
    <row r="41" spans="2:13" x14ac:dyDescent="0.35">
      <c r="B41" s="221">
        <v>2021</v>
      </c>
      <c r="C41" s="221"/>
      <c r="D41" s="221">
        <v>2019</v>
      </c>
      <c r="E41" s="221"/>
      <c r="F41" s="221"/>
      <c r="G41" s="221"/>
      <c r="H41">
        <f>SUM(B42-B41)</f>
        <v>1</v>
      </c>
      <c r="J41">
        <f t="shared" si="0"/>
        <v>1</v>
      </c>
    </row>
    <row r="42" spans="2:13" x14ac:dyDescent="0.35">
      <c r="B42" s="221">
        <v>2022</v>
      </c>
      <c r="C42" s="221"/>
      <c r="D42" s="221">
        <v>2020</v>
      </c>
      <c r="E42" s="221"/>
      <c r="F42" s="221"/>
      <c r="G42" s="221"/>
      <c r="J42">
        <f t="shared" si="0"/>
        <v>0</v>
      </c>
    </row>
    <row r="43" spans="2:13" x14ac:dyDescent="0.35">
      <c r="B43" s="221"/>
      <c r="C43" s="221"/>
      <c r="D43" s="221">
        <v>2020</v>
      </c>
      <c r="E43" s="221"/>
      <c r="F43" s="221"/>
      <c r="G43" s="221"/>
      <c r="J43">
        <f t="shared" si="0"/>
        <v>2</v>
      </c>
    </row>
    <row r="44" spans="2:13" x14ac:dyDescent="0.35">
      <c r="B44" s="221"/>
      <c r="C44" s="221"/>
      <c r="D44" s="221">
        <v>2022</v>
      </c>
      <c r="E44" s="221"/>
      <c r="F44" s="221"/>
      <c r="G44" s="221"/>
      <c r="J44">
        <f t="shared" si="0"/>
        <v>1</v>
      </c>
    </row>
    <row r="45" spans="2:13" x14ac:dyDescent="0.35">
      <c r="B45" s="221"/>
      <c r="C45" s="221"/>
      <c r="D45" s="221">
        <v>2023</v>
      </c>
      <c r="E45" s="221"/>
      <c r="F45" s="221"/>
      <c r="G45" s="221"/>
    </row>
    <row r="46" spans="2:13" x14ac:dyDescent="0.35">
      <c r="G46" s="222">
        <f>AVERAGE(H36:M44)</f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3869-D33F-41AC-B7D9-DB211BEB1A52}">
  <dimension ref="B2:G22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4" width="15.54296875" customWidth="1"/>
    <col min="7" max="7" width="41.81640625" customWidth="1"/>
  </cols>
  <sheetData>
    <row r="2" spans="2:7" x14ac:dyDescent="0.35">
      <c r="B2" s="246" t="s">
        <v>30</v>
      </c>
      <c r="C2" s="247"/>
      <c r="D2" s="248"/>
      <c r="G2" s="32"/>
    </row>
    <row r="3" spans="2:7" ht="16.5" x14ac:dyDescent="0.45">
      <c r="B3" s="265" t="s">
        <v>188</v>
      </c>
      <c r="C3" s="266"/>
      <c r="D3" s="267"/>
    </row>
    <row r="4" spans="2:7" x14ac:dyDescent="0.35">
      <c r="B4" s="20">
        <v>2023</v>
      </c>
      <c r="C4" s="21">
        <v>2030</v>
      </c>
      <c r="D4" s="22" t="s">
        <v>0</v>
      </c>
    </row>
    <row r="5" spans="2:7" x14ac:dyDescent="0.35">
      <c r="B5" s="27">
        <v>56</v>
      </c>
      <c r="C5" s="28">
        <v>90</v>
      </c>
      <c r="D5" s="29">
        <f>(C5/B5)^(1/(C4-B4))-1</f>
        <v>7.0129545141097038E-2</v>
      </c>
    </row>
    <row r="7" spans="2:7" x14ac:dyDescent="0.35">
      <c r="B7" t="s">
        <v>16</v>
      </c>
    </row>
    <row r="8" spans="2:7" x14ac:dyDescent="0.35">
      <c r="B8" t="s">
        <v>74</v>
      </c>
    </row>
    <row r="9" spans="2:7" x14ac:dyDescent="0.35">
      <c r="B9" t="s">
        <v>59</v>
      </c>
    </row>
    <row r="11" spans="2:7" x14ac:dyDescent="0.35">
      <c r="B11" t="s">
        <v>22</v>
      </c>
    </row>
    <row r="12" spans="2:7" x14ac:dyDescent="0.35">
      <c r="B12" t="s">
        <v>52</v>
      </c>
    </row>
    <row r="15" spans="2:7" x14ac:dyDescent="0.35">
      <c r="B15" s="48" t="s">
        <v>132</v>
      </c>
      <c r="C15" s="48"/>
      <c r="D15" s="48"/>
      <c r="E15" s="48"/>
      <c r="F15" s="48"/>
    </row>
    <row r="16" spans="2:7" x14ac:dyDescent="0.35">
      <c r="B16" s="48" t="s">
        <v>131</v>
      </c>
      <c r="C16" s="48"/>
      <c r="D16" s="48"/>
      <c r="E16" s="48"/>
      <c r="F16" s="48"/>
    </row>
    <row r="17" spans="2:6" x14ac:dyDescent="0.35">
      <c r="B17" s="120" t="s">
        <v>133</v>
      </c>
      <c r="C17" s="48"/>
      <c r="D17" s="48"/>
      <c r="E17" s="48"/>
      <c r="F17" s="48"/>
    </row>
    <row r="18" spans="2:6" x14ac:dyDescent="0.35">
      <c r="B18" s="120" t="s">
        <v>136</v>
      </c>
    </row>
    <row r="21" spans="2:6" x14ac:dyDescent="0.35">
      <c r="D21" s="33"/>
    </row>
    <row r="22" spans="2:6" x14ac:dyDescent="0.35">
      <c r="C22" s="31"/>
    </row>
  </sheetData>
  <mergeCells count="2">
    <mergeCell ref="B3:D3"/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E8B8-2A47-40FA-AF5A-E72F6ABCE532}">
  <dimension ref="B2:D7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4" width="15.54296875" customWidth="1"/>
  </cols>
  <sheetData>
    <row r="2" spans="2:4" x14ac:dyDescent="0.35">
      <c r="B2" s="246" t="s">
        <v>30</v>
      </c>
      <c r="C2" s="247"/>
      <c r="D2" s="248"/>
    </row>
    <row r="3" spans="2:4" x14ac:dyDescent="0.35">
      <c r="B3" s="265" t="s">
        <v>2</v>
      </c>
      <c r="C3" s="266"/>
      <c r="D3" s="267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242</v>
      </c>
      <c r="C5" s="121">
        <f>'1'!K21</f>
        <v>2127.8399059712588</v>
      </c>
      <c r="D5" s="29">
        <f>(C5/B5)^(1/(C4-B4))-1</f>
        <v>0.36418979887191361</v>
      </c>
    </row>
    <row r="7" spans="2:4" x14ac:dyDescent="0.35">
      <c r="B7" t="s">
        <v>53</v>
      </c>
    </row>
  </sheetData>
  <mergeCells count="2">
    <mergeCell ref="B3:D3"/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5D67-BBD9-4764-A027-1751E47E7A8C}">
  <dimension ref="B2:D16"/>
  <sheetViews>
    <sheetView zoomScale="80" zoomScaleNormal="80" workbookViewId="0">
      <selection activeCell="B2" sqref="B2:D2"/>
    </sheetView>
  </sheetViews>
  <sheetFormatPr baseColWidth="10" defaultRowHeight="14.5" x14ac:dyDescent="0.35"/>
  <cols>
    <col min="1" max="1" width="5.54296875" customWidth="1"/>
    <col min="2" max="2" width="31.08984375" customWidth="1"/>
    <col min="3" max="4" width="15.54296875" customWidth="1"/>
  </cols>
  <sheetData>
    <row r="2" spans="2:4" x14ac:dyDescent="0.35">
      <c r="B2" s="246" t="s">
        <v>30</v>
      </c>
      <c r="C2" s="247"/>
      <c r="D2" s="248"/>
    </row>
    <row r="3" spans="2:4" x14ac:dyDescent="0.35">
      <c r="B3" s="265" t="s">
        <v>3</v>
      </c>
      <c r="C3" s="266"/>
      <c r="D3" s="267"/>
    </row>
    <row r="4" spans="2:4" x14ac:dyDescent="0.35">
      <c r="B4" s="20">
        <v>2023</v>
      </c>
      <c r="C4" s="21">
        <v>2030</v>
      </c>
      <c r="D4" s="22" t="s">
        <v>0</v>
      </c>
    </row>
    <row r="5" spans="2:4" x14ac:dyDescent="0.35">
      <c r="B5" s="27">
        <v>2</v>
      </c>
      <c r="C5" s="28">
        <f>C16</f>
        <v>2.5550000000000002</v>
      </c>
      <c r="D5" s="29">
        <f>(C5/B5)^(1/7)-1</f>
        <v>3.5605660431828889E-2</v>
      </c>
    </row>
    <row r="7" spans="2:4" x14ac:dyDescent="0.35">
      <c r="B7" t="s">
        <v>21</v>
      </c>
    </row>
    <row r="8" spans="2:4" x14ac:dyDescent="0.35">
      <c r="B8" t="s">
        <v>58</v>
      </c>
    </row>
    <row r="9" spans="2:4" x14ac:dyDescent="0.35">
      <c r="B9" t="s">
        <v>20</v>
      </c>
    </row>
    <row r="11" spans="2:4" x14ac:dyDescent="0.35">
      <c r="B11" t="s">
        <v>60</v>
      </c>
    </row>
    <row r="13" spans="2:4" x14ac:dyDescent="0.35">
      <c r="B13" s="23" t="s">
        <v>23</v>
      </c>
      <c r="C13" s="25">
        <v>14</v>
      </c>
    </row>
    <row r="14" spans="2:4" x14ac:dyDescent="0.35">
      <c r="B14" s="14" t="s">
        <v>24</v>
      </c>
      <c r="C14" s="25">
        <v>2</v>
      </c>
    </row>
    <row r="15" spans="2:4" x14ac:dyDescent="0.35">
      <c r="B15" s="23" t="s">
        <v>25</v>
      </c>
      <c r="C15" s="25">
        <f>C13/C14</f>
        <v>7</v>
      </c>
    </row>
    <row r="16" spans="2:4" x14ac:dyDescent="0.35">
      <c r="B16" s="14" t="s">
        <v>35</v>
      </c>
      <c r="C16" s="25">
        <f>C15*365*10^-3</f>
        <v>2.5550000000000002</v>
      </c>
    </row>
  </sheetData>
  <mergeCells count="2">
    <mergeCell ref="B3:D3"/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DE1C-CDF5-4DC3-83C1-72197C43440D}">
  <dimension ref="B2:I49"/>
  <sheetViews>
    <sheetView zoomScale="60" zoomScaleNormal="60" workbookViewId="0">
      <selection activeCell="C2" sqref="C2:E2"/>
    </sheetView>
  </sheetViews>
  <sheetFormatPr baseColWidth="10" defaultRowHeight="14.5" x14ac:dyDescent="0.35"/>
  <cols>
    <col min="1" max="1" width="5.54296875" customWidth="1"/>
    <col min="2" max="2" width="41.1796875" customWidth="1"/>
    <col min="3" max="3" width="19.54296875" customWidth="1"/>
    <col min="4" max="4" width="24.26953125" customWidth="1"/>
    <col min="5" max="5" width="14.08984375" bestFit="1" customWidth="1"/>
    <col min="7" max="7" width="17.36328125" customWidth="1"/>
  </cols>
  <sheetData>
    <row r="2" spans="2:9" x14ac:dyDescent="0.35">
      <c r="C2" s="246" t="s">
        <v>31</v>
      </c>
      <c r="D2" s="247"/>
      <c r="E2" s="248"/>
    </row>
    <row r="3" spans="2:9" x14ac:dyDescent="0.35">
      <c r="C3" s="265" t="s">
        <v>28</v>
      </c>
      <c r="D3" s="266"/>
      <c r="E3" s="267"/>
    </row>
    <row r="4" spans="2:9" x14ac:dyDescent="0.35">
      <c r="C4" s="38">
        <v>2023</v>
      </c>
      <c r="D4" s="39">
        <v>2030</v>
      </c>
      <c r="E4" s="40" t="s">
        <v>0</v>
      </c>
    </row>
    <row r="5" spans="2:9" x14ac:dyDescent="0.35">
      <c r="B5" s="41" t="s">
        <v>32</v>
      </c>
      <c r="C5" s="42">
        <v>1624</v>
      </c>
      <c r="D5" s="42">
        <f>C5*(1+MetaMetavers!G29)^(D4-C4)+D27</f>
        <v>9795.3363239217888</v>
      </c>
      <c r="E5" s="153">
        <f>(D5/C5)^(1/7)-1</f>
        <v>0.29267835026315692</v>
      </c>
    </row>
    <row r="6" spans="2:9" x14ac:dyDescent="0.35">
      <c r="B6" s="8" t="s">
        <v>33</v>
      </c>
      <c r="C6" s="37">
        <v>3179</v>
      </c>
      <c r="D6" s="37">
        <f>C6*(1+MetaMetavers!G30)^(D4-C4)+D28</f>
        <v>26522.434788267332</v>
      </c>
      <c r="E6" s="154">
        <f>(D6/C6)^(1/7)-1</f>
        <v>0.35399653129949016</v>
      </c>
    </row>
    <row r="7" spans="2:9" x14ac:dyDescent="0.35">
      <c r="B7" s="10" t="s">
        <v>34</v>
      </c>
      <c r="C7" s="179">
        <v>1415</v>
      </c>
      <c r="D7" s="179">
        <f>C7*((1+MetaMetavers!G$31)^(2025-C$4))*((1+MetaMetavers!H31)^(D$4-2025))+D$29</f>
        <v>12952.39088103122</v>
      </c>
      <c r="E7" s="180">
        <f>(D7/C7)^(1/7)-1</f>
        <v>0.37205177612161133</v>
      </c>
    </row>
    <row r="8" spans="2:9" x14ac:dyDescent="0.35">
      <c r="C8" s="181"/>
      <c r="D8" s="182"/>
      <c r="E8" s="183"/>
      <c r="G8" s="73"/>
      <c r="H8" s="73"/>
      <c r="I8" s="73"/>
    </row>
    <row r="9" spans="2:9" x14ac:dyDescent="0.35">
      <c r="B9" t="s">
        <v>29</v>
      </c>
      <c r="F9" s="73"/>
      <c r="G9" s="73"/>
      <c r="H9" s="73"/>
      <c r="I9" s="73"/>
    </row>
    <row r="10" spans="2:9" x14ac:dyDescent="0.35">
      <c r="B10" t="s">
        <v>58</v>
      </c>
    </row>
    <row r="11" spans="2:9" x14ac:dyDescent="0.35">
      <c r="B11" t="s">
        <v>20</v>
      </c>
    </row>
    <row r="13" spans="2:9" x14ac:dyDescent="0.35">
      <c r="B13" t="s">
        <v>63</v>
      </c>
    </row>
    <row r="14" spans="2:9" x14ac:dyDescent="0.35">
      <c r="B14" t="s">
        <v>64</v>
      </c>
    </row>
    <row r="15" spans="2:9" x14ac:dyDescent="0.35">
      <c r="B15" t="s">
        <v>72</v>
      </c>
    </row>
    <row r="17" spans="2:5" x14ac:dyDescent="0.35">
      <c r="B17" s="14" t="s">
        <v>91</v>
      </c>
      <c r="C17" s="18">
        <f>'1'!K21</f>
        <v>2127.8399059712588</v>
      </c>
    </row>
    <row r="18" spans="2:5" x14ac:dyDescent="0.35">
      <c r="B18" s="14" t="s">
        <v>38</v>
      </c>
      <c r="C18" s="14">
        <f>365</f>
        <v>365</v>
      </c>
    </row>
    <row r="19" spans="2:5" x14ac:dyDescent="0.35">
      <c r="B19" s="14" t="s">
        <v>39</v>
      </c>
      <c r="C19" s="14">
        <v>3</v>
      </c>
    </row>
    <row r="20" spans="2:5" x14ac:dyDescent="0.35">
      <c r="B20" s="14" t="s">
        <v>40</v>
      </c>
      <c r="C20" s="14">
        <v>50</v>
      </c>
    </row>
    <row r="22" spans="2:5" x14ac:dyDescent="0.35">
      <c r="B22" s="18" t="s">
        <v>41</v>
      </c>
      <c r="C22" s="18">
        <f>(C20-C19)*10^6/8*3600*C18*C17*10^6*10^-18</f>
        <v>16426.392114121627</v>
      </c>
    </row>
    <row r="23" spans="2:5" x14ac:dyDescent="0.35">
      <c r="B23" s="17"/>
      <c r="C23" s="17"/>
    </row>
    <row r="24" spans="2:5" x14ac:dyDescent="0.35">
      <c r="B24" s="48" t="s">
        <v>138</v>
      </c>
    </row>
    <row r="26" spans="2:5" x14ac:dyDescent="0.35">
      <c r="C26" s="46" t="s">
        <v>50</v>
      </c>
      <c r="D26" s="47" t="s">
        <v>41</v>
      </c>
      <c r="E26" s="49" t="s">
        <v>139</v>
      </c>
    </row>
    <row r="27" spans="2:5" x14ac:dyDescent="0.35">
      <c r="B27" s="44" t="s">
        <v>32</v>
      </c>
      <c r="C27" s="30">
        <f>1/3</f>
        <v>0.33333333333333331</v>
      </c>
      <c r="D27" s="45">
        <f>C27*C22</f>
        <v>5475.4640380405417</v>
      </c>
      <c r="E27" s="49">
        <f>D5/SUM(D5:D7)</f>
        <v>0.19880868922796813</v>
      </c>
    </row>
    <row r="28" spans="2:5" x14ac:dyDescent="0.35">
      <c r="B28" s="44" t="s">
        <v>33</v>
      </c>
      <c r="C28" s="30">
        <f>1/3</f>
        <v>0.33333333333333331</v>
      </c>
      <c r="D28" s="45">
        <f>C28*C22</f>
        <v>5475.4640380405417</v>
      </c>
      <c r="E28" s="49">
        <f>D6/SUM(D5:D7)</f>
        <v>0.53830622257578253</v>
      </c>
    </row>
    <row r="29" spans="2:5" x14ac:dyDescent="0.35">
      <c r="B29" s="44" t="s">
        <v>34</v>
      </c>
      <c r="C29" s="30">
        <f>1/3</f>
        <v>0.33333333333333331</v>
      </c>
      <c r="D29" s="45">
        <f>C29*C22</f>
        <v>5475.4640380405417</v>
      </c>
      <c r="E29" s="49">
        <f>D7/SUM(D5:D7)</f>
        <v>0.26288508819624934</v>
      </c>
    </row>
    <row r="31" spans="2:5" x14ac:dyDescent="0.35">
      <c r="B31" s="48" t="s">
        <v>73</v>
      </c>
    </row>
    <row r="32" spans="2:5" x14ac:dyDescent="0.35">
      <c r="B32" s="48" t="s">
        <v>225</v>
      </c>
    </row>
    <row r="34" spans="2:5" x14ac:dyDescent="0.35">
      <c r="B34" s="73"/>
    </row>
    <row r="35" spans="2:5" x14ac:dyDescent="0.35">
      <c r="B35" s="185" t="s">
        <v>224</v>
      </c>
    </row>
    <row r="37" spans="2:5" x14ac:dyDescent="0.35">
      <c r="B37" s="268" t="s">
        <v>176</v>
      </c>
      <c r="C37" s="187" t="s">
        <v>177</v>
      </c>
    </row>
    <row r="38" spans="2:5" x14ac:dyDescent="0.35">
      <c r="B38" s="269"/>
      <c r="C38" s="96" t="s">
        <v>47</v>
      </c>
    </row>
    <row r="39" spans="2:5" x14ac:dyDescent="0.35">
      <c r="B39" s="128" t="s">
        <v>175</v>
      </c>
      <c r="C39" s="188">
        <v>0.42</v>
      </c>
    </row>
    <row r="40" spans="2:5" x14ac:dyDescent="0.35">
      <c r="B40" s="134"/>
      <c r="C40" s="186"/>
    </row>
    <row r="41" spans="2:5" x14ac:dyDescent="0.35">
      <c r="B41" s="1" t="s">
        <v>5</v>
      </c>
      <c r="C41" s="186"/>
    </row>
    <row r="42" spans="2:5" x14ac:dyDescent="0.35">
      <c r="B42" t="s">
        <v>228</v>
      </c>
      <c r="C42">
        <f>(126/29)^(1/4)-1</f>
        <v>0.44375378833752466</v>
      </c>
    </row>
    <row r="43" spans="2:5" x14ac:dyDescent="0.35">
      <c r="B43" t="s">
        <v>227</v>
      </c>
      <c r="C43">
        <f>(130/33)^(1/4)-1</f>
        <v>0.40882598421362637</v>
      </c>
    </row>
    <row r="44" spans="2:5" x14ac:dyDescent="0.35">
      <c r="B44" t="s">
        <v>226</v>
      </c>
    </row>
    <row r="45" spans="2:5" x14ac:dyDescent="0.35">
      <c r="E45" s="73"/>
    </row>
    <row r="46" spans="2:5" x14ac:dyDescent="0.35">
      <c r="E46" s="73"/>
    </row>
    <row r="48" spans="2:5" x14ac:dyDescent="0.35">
      <c r="B48" s="73"/>
    </row>
    <row r="49" spans="2:2" x14ac:dyDescent="0.35">
      <c r="B49" s="83"/>
    </row>
  </sheetData>
  <mergeCells count="3">
    <mergeCell ref="C3:E3"/>
    <mergeCell ref="C2:E2"/>
    <mergeCell ref="B37:B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76C3-E28A-46C5-8B85-DAE98094272F}">
  <dimension ref="B2:O30"/>
  <sheetViews>
    <sheetView zoomScale="70" zoomScaleNormal="70" workbookViewId="0">
      <selection activeCell="B2" sqref="B2"/>
    </sheetView>
  </sheetViews>
  <sheetFormatPr baseColWidth="10" defaultRowHeight="14.5" x14ac:dyDescent="0.35"/>
  <cols>
    <col min="2" max="2" width="14.54296875" customWidth="1"/>
  </cols>
  <sheetData>
    <row r="2" spans="2:14" x14ac:dyDescent="0.35">
      <c r="B2" s="2" t="s">
        <v>245</v>
      </c>
    </row>
    <row r="4" spans="2:14" x14ac:dyDescent="0.35">
      <c r="B4" s="65" t="s">
        <v>244</v>
      </c>
      <c r="C4" s="230">
        <f>'6'!E7</f>
        <v>0.37205177612161133</v>
      </c>
    </row>
    <row r="6" spans="2:14" x14ac:dyDescent="0.35">
      <c r="B6" s="231" t="s">
        <v>243</v>
      </c>
    </row>
    <row r="7" spans="2:14" x14ac:dyDescent="0.35">
      <c r="B7" s="65">
        <v>2020</v>
      </c>
      <c r="C7" s="65">
        <v>10.64</v>
      </c>
      <c r="D7" t="s">
        <v>246</v>
      </c>
    </row>
    <row r="8" spans="2:14" x14ac:dyDescent="0.35">
      <c r="B8" s="65">
        <v>2024</v>
      </c>
      <c r="C8" s="232">
        <v>21</v>
      </c>
      <c r="D8" t="s">
        <v>246</v>
      </c>
    </row>
    <row r="9" spans="2:14" x14ac:dyDescent="0.35">
      <c r="B9" s="65">
        <v>2023</v>
      </c>
      <c r="C9" s="65">
        <f>(C8-C7)/(B8-B7)*(B9-B7)+C7</f>
        <v>18.41</v>
      </c>
      <c r="D9" t="s">
        <v>246</v>
      </c>
    </row>
    <row r="11" spans="2:14" x14ac:dyDescent="0.35">
      <c r="B11" t="s">
        <v>247</v>
      </c>
    </row>
    <row r="12" spans="2:14" x14ac:dyDescent="0.35">
      <c r="B12" s="65">
        <v>2030</v>
      </c>
      <c r="C12" s="77">
        <f>C9*(1+C4)^(B12-B9)</f>
        <v>168.51838595037782</v>
      </c>
      <c r="D12" t="s">
        <v>246</v>
      </c>
    </row>
    <row r="13" spans="2:14" x14ac:dyDescent="0.35">
      <c r="B13" s="234"/>
      <c r="C13" s="17"/>
    </row>
    <row r="14" spans="2:14" x14ac:dyDescent="0.35">
      <c r="B14" s="65" t="s">
        <v>251</v>
      </c>
      <c r="C14" s="238">
        <f>(C12/C8)^(1/(B12-B8))-1</f>
        <v>0.41493991919111006</v>
      </c>
    </row>
    <row r="16" spans="2:14" x14ac:dyDescent="0.35">
      <c r="B16" s="77" t="s">
        <v>255</v>
      </c>
      <c r="C16" s="77">
        <v>2024</v>
      </c>
      <c r="D16" s="77">
        <v>2025</v>
      </c>
      <c r="E16" s="77">
        <v>2026</v>
      </c>
      <c r="F16" s="77">
        <v>2027</v>
      </c>
      <c r="G16" s="77">
        <v>2028</v>
      </c>
      <c r="H16" s="77">
        <v>2029</v>
      </c>
      <c r="I16" s="77">
        <v>2030</v>
      </c>
      <c r="J16" s="77">
        <v>2031</v>
      </c>
      <c r="K16" s="77">
        <v>2032</v>
      </c>
      <c r="L16" s="77">
        <v>2033</v>
      </c>
      <c r="M16" s="77">
        <v>2034</v>
      </c>
      <c r="N16" s="77">
        <v>2035</v>
      </c>
    </row>
    <row r="17" spans="2:15" x14ac:dyDescent="0.35">
      <c r="B17" s="237" t="s">
        <v>256</v>
      </c>
      <c r="C17" s="77">
        <v>21</v>
      </c>
      <c r="D17" s="77">
        <f t="shared" ref="D17:M17" si="0">$C$30+$C$29*(D16-$C$16)</f>
        <v>23.59090909090909</v>
      </c>
      <c r="E17" s="77">
        <f t="shared" si="0"/>
        <v>26.18181818181818</v>
      </c>
      <c r="F17" s="77">
        <f t="shared" si="0"/>
        <v>28.772727272727273</v>
      </c>
      <c r="G17" s="77">
        <f t="shared" si="0"/>
        <v>31.363636363636363</v>
      </c>
      <c r="H17" s="77">
        <f t="shared" si="0"/>
        <v>33.954545454545453</v>
      </c>
      <c r="I17" s="77">
        <f t="shared" si="0"/>
        <v>36.545454545454547</v>
      </c>
      <c r="J17" s="77">
        <f t="shared" si="0"/>
        <v>39.13636363636364</v>
      </c>
      <c r="K17" s="77">
        <f t="shared" si="0"/>
        <v>41.727272727272727</v>
      </c>
      <c r="L17" s="77">
        <f t="shared" si="0"/>
        <v>44.318181818181813</v>
      </c>
      <c r="M17" s="77">
        <f t="shared" si="0"/>
        <v>46.909090909090907</v>
      </c>
      <c r="N17" s="77">
        <v>49.5</v>
      </c>
    </row>
    <row r="18" spans="2:15" x14ac:dyDescent="0.35">
      <c r="B18" s="77" t="s">
        <v>253</v>
      </c>
      <c r="C18" s="77">
        <v>21</v>
      </c>
      <c r="D18" s="77">
        <v>31</v>
      </c>
      <c r="E18" s="77">
        <v>41</v>
      </c>
      <c r="F18" s="77">
        <v>52</v>
      </c>
      <c r="G18" s="77">
        <v>65</v>
      </c>
      <c r="H18" s="77">
        <v>77</v>
      </c>
      <c r="I18" s="77">
        <v>89</v>
      </c>
      <c r="J18" s="77">
        <f>I18</f>
        <v>89</v>
      </c>
      <c r="K18" s="77">
        <f t="shared" ref="K18:N18" si="1">J18</f>
        <v>89</v>
      </c>
      <c r="L18" s="77">
        <f t="shared" si="1"/>
        <v>89</v>
      </c>
      <c r="M18" s="77">
        <f t="shared" si="1"/>
        <v>89</v>
      </c>
      <c r="N18" s="77">
        <f t="shared" si="1"/>
        <v>89</v>
      </c>
    </row>
    <row r="19" spans="2:15" x14ac:dyDescent="0.35">
      <c r="B19" s="77" t="s">
        <v>252</v>
      </c>
      <c r="C19" s="77">
        <f>C8</f>
        <v>21</v>
      </c>
      <c r="D19" s="77">
        <f t="shared" ref="D19:H19" si="2">C19*(1+$C$14)</f>
        <v>29.713738303013312</v>
      </c>
      <c r="E19" s="77">
        <f t="shared" si="2"/>
        <v>42.043154473331448</v>
      </c>
      <c r="F19" s="77">
        <f t="shared" si="2"/>
        <v>59.488537593034955</v>
      </c>
      <c r="G19" s="77">
        <f t="shared" si="2"/>
        <v>84.172706574686188</v>
      </c>
      <c r="H19" s="77">
        <f t="shared" si="2"/>
        <v>119.09932263888349</v>
      </c>
      <c r="I19" s="77">
        <f>H19*(1+$C$14)</f>
        <v>168.51838595037776</v>
      </c>
      <c r="J19" s="77">
        <f>I19</f>
        <v>168.51838595037776</v>
      </c>
      <c r="K19" s="77">
        <f t="shared" ref="K19:N19" si="3">J19</f>
        <v>168.51838595037776</v>
      </c>
      <c r="L19" s="77">
        <f t="shared" si="3"/>
        <v>168.51838595037776</v>
      </c>
      <c r="M19" s="77">
        <f t="shared" si="3"/>
        <v>168.51838595037776</v>
      </c>
      <c r="N19" s="77">
        <f t="shared" si="3"/>
        <v>168.51838595037776</v>
      </c>
    </row>
    <row r="21" spans="2:15" x14ac:dyDescent="0.35">
      <c r="B21" s="1" t="s">
        <v>254</v>
      </c>
    </row>
    <row r="22" spans="2:15" x14ac:dyDescent="0.35">
      <c r="B22" t="s">
        <v>253</v>
      </c>
    </row>
    <row r="23" spans="2:15" x14ac:dyDescent="0.35">
      <c r="G23" s="235"/>
      <c r="I23" s="235"/>
      <c r="K23" s="235"/>
      <c r="M23" s="235"/>
      <c r="O23" s="235"/>
    </row>
    <row r="24" spans="2:15" x14ac:dyDescent="0.35">
      <c r="B24" s="65" t="s">
        <v>248</v>
      </c>
      <c r="C24" s="233">
        <f>(I18/D18)^(1/5)-1</f>
        <v>0.23482570806709302</v>
      </c>
    </row>
    <row r="26" spans="2:15" x14ac:dyDescent="0.35">
      <c r="B26" s="1" t="s">
        <v>254</v>
      </c>
    </row>
    <row r="27" spans="2:15" x14ac:dyDescent="0.35">
      <c r="B27" t="s">
        <v>257</v>
      </c>
    </row>
    <row r="29" spans="2:15" x14ac:dyDescent="0.35">
      <c r="B29" s="65" t="s">
        <v>258</v>
      </c>
      <c r="C29" s="233">
        <f>(N17-C17)/(N16-C16)</f>
        <v>2.5909090909090908</v>
      </c>
    </row>
    <row r="30" spans="2:15" x14ac:dyDescent="0.35">
      <c r="B30" s="236" t="s">
        <v>259</v>
      </c>
      <c r="C30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FCA1-B74B-496C-8690-A27831447A13}">
  <dimension ref="B2:N82"/>
  <sheetViews>
    <sheetView zoomScale="60" zoomScaleNormal="60" workbookViewId="0">
      <selection activeCell="C2" sqref="C2:E2"/>
    </sheetView>
  </sheetViews>
  <sheetFormatPr baseColWidth="10" defaultRowHeight="14.5" x14ac:dyDescent="0.35"/>
  <cols>
    <col min="1" max="1" width="5.54296875" customWidth="1"/>
    <col min="2" max="2" width="54.1796875" customWidth="1"/>
    <col min="3" max="4" width="16.54296875" customWidth="1"/>
    <col min="5" max="5" width="16.453125" customWidth="1"/>
    <col min="6" max="6" width="19" customWidth="1"/>
    <col min="9" max="9" width="44.90625" customWidth="1"/>
    <col min="10" max="10" width="17.6328125" bestFit="1" customWidth="1"/>
  </cols>
  <sheetData>
    <row r="2" spans="2:8" x14ac:dyDescent="0.35">
      <c r="C2" s="246" t="s">
        <v>42</v>
      </c>
      <c r="D2" s="247"/>
      <c r="E2" s="248"/>
    </row>
    <row r="3" spans="2:8" x14ac:dyDescent="0.35">
      <c r="C3" s="265" t="s">
        <v>28</v>
      </c>
      <c r="D3" s="266"/>
      <c r="E3" s="267"/>
    </row>
    <row r="4" spans="2:8" x14ac:dyDescent="0.35">
      <c r="C4" s="38">
        <v>2023</v>
      </c>
      <c r="D4" s="39">
        <v>2030</v>
      </c>
      <c r="E4" s="40" t="s">
        <v>0</v>
      </c>
    </row>
    <row r="5" spans="2:8" x14ac:dyDescent="0.35">
      <c r="B5" s="41" t="s">
        <v>43</v>
      </c>
      <c r="C5" s="42">
        <v>19294</v>
      </c>
      <c r="D5" s="42"/>
      <c r="E5" s="156">
        <v>0.3</v>
      </c>
      <c r="F5" s="73"/>
      <c r="H5" s="6"/>
    </row>
    <row r="6" spans="2:8" x14ac:dyDescent="0.35">
      <c r="B6" s="10" t="s">
        <v>44</v>
      </c>
      <c r="C6" s="43">
        <v>11975</v>
      </c>
      <c r="D6" s="43"/>
      <c r="E6" s="157">
        <v>0.25</v>
      </c>
      <c r="F6" s="73"/>
      <c r="G6" s="73"/>
      <c r="H6" s="6"/>
    </row>
    <row r="7" spans="2:8" x14ac:dyDescent="0.35">
      <c r="F7" s="73"/>
      <c r="H7" s="6"/>
    </row>
    <row r="8" spans="2:8" x14ac:dyDescent="0.35">
      <c r="B8" s="1" t="s">
        <v>200</v>
      </c>
      <c r="F8" s="73"/>
      <c r="H8" s="6"/>
    </row>
    <row r="9" spans="2:8" x14ac:dyDescent="0.35">
      <c r="B9" s="32" t="s">
        <v>114</v>
      </c>
      <c r="H9" s="6"/>
    </row>
    <row r="10" spans="2:8" x14ac:dyDescent="0.35">
      <c r="B10" t="s">
        <v>158</v>
      </c>
      <c r="H10" s="6"/>
    </row>
    <row r="11" spans="2:8" x14ac:dyDescent="0.35">
      <c r="B11" t="s">
        <v>159</v>
      </c>
    </row>
    <row r="12" spans="2:8" x14ac:dyDescent="0.35">
      <c r="B12" s="1"/>
    </row>
    <row r="13" spans="2:8" x14ac:dyDescent="0.35">
      <c r="B13" s="65" t="s">
        <v>111</v>
      </c>
      <c r="C13" s="81">
        <v>0.28000000000000003</v>
      </c>
    </row>
    <row r="14" spans="2:8" x14ac:dyDescent="0.35">
      <c r="B14" s="65" t="s">
        <v>110</v>
      </c>
      <c r="C14" s="65">
        <v>313</v>
      </c>
    </row>
    <row r="15" spans="2:8" x14ac:dyDescent="0.35">
      <c r="B15" s="65" t="s">
        <v>113</v>
      </c>
      <c r="C15" s="81">
        <v>0.28000000000000003</v>
      </c>
    </row>
    <row r="16" spans="2:8" x14ac:dyDescent="0.35">
      <c r="B16" s="65" t="s">
        <v>112</v>
      </c>
      <c r="C16" s="65">
        <v>1009</v>
      </c>
    </row>
    <row r="18" spans="2:8" x14ac:dyDescent="0.35">
      <c r="B18" t="s">
        <v>157</v>
      </c>
    </row>
    <row r="20" spans="2:8" x14ac:dyDescent="0.35">
      <c r="B20" t="s">
        <v>148</v>
      </c>
      <c r="C20" s="82"/>
    </row>
    <row r="21" spans="2:8" x14ac:dyDescent="0.35">
      <c r="C21" s="82"/>
    </row>
    <row r="22" spans="2:8" x14ac:dyDescent="0.35">
      <c r="B22" s="73"/>
    </row>
    <row r="23" spans="2:8" x14ac:dyDescent="0.35">
      <c r="B23" s="1" t="s">
        <v>201</v>
      </c>
      <c r="H23" s="6"/>
    </row>
    <row r="24" spans="2:8" x14ac:dyDescent="0.35">
      <c r="B24" s="1"/>
    </row>
    <row r="25" spans="2:8" x14ac:dyDescent="0.35">
      <c r="B25" t="s">
        <v>149</v>
      </c>
    </row>
    <row r="27" spans="2:8" x14ac:dyDescent="0.35">
      <c r="B27" s="18" t="s">
        <v>107</v>
      </c>
      <c r="C27" s="79">
        <f>'6'!C22</f>
        <v>16426.392114121627</v>
      </c>
    </row>
    <row r="29" spans="2:8" x14ac:dyDescent="0.35">
      <c r="B29" t="s">
        <v>150</v>
      </c>
    </row>
    <row r="30" spans="2:8" x14ac:dyDescent="0.35">
      <c r="B30" t="s">
        <v>95</v>
      </c>
    </row>
    <row r="31" spans="2:8" x14ac:dyDescent="0.35">
      <c r="B31" t="s">
        <v>151</v>
      </c>
      <c r="D31" s="33"/>
    </row>
    <row r="32" spans="2:8" x14ac:dyDescent="0.35">
      <c r="B32" t="s">
        <v>96</v>
      </c>
    </row>
    <row r="34" spans="2:14" x14ac:dyDescent="0.35">
      <c r="B34" s="270" t="s">
        <v>108</v>
      </c>
      <c r="C34" s="270"/>
    </row>
    <row r="35" spans="2:14" x14ac:dyDescent="0.35">
      <c r="B35" s="65" t="s">
        <v>101</v>
      </c>
      <c r="C35" s="65">
        <v>5</v>
      </c>
    </row>
    <row r="36" spans="2:14" x14ac:dyDescent="0.35">
      <c r="B36" s="65" t="s">
        <v>97</v>
      </c>
      <c r="C36" s="65">
        <v>200</v>
      </c>
    </row>
    <row r="37" spans="2:14" x14ac:dyDescent="0.35">
      <c r="B37" s="65" t="s">
        <v>100</v>
      </c>
      <c r="C37" s="65">
        <v>7.2</v>
      </c>
    </row>
    <row r="38" spans="2:14" x14ac:dyDescent="0.35">
      <c r="B38" s="65" t="s">
        <v>99</v>
      </c>
      <c r="C38" s="65">
        <f>C35/8/1000*12</f>
        <v>7.4999999999999997E-3</v>
      </c>
    </row>
    <row r="39" spans="2:14" x14ac:dyDescent="0.35">
      <c r="B39" s="65" t="s">
        <v>98</v>
      </c>
      <c r="C39" s="77">
        <f>C36*10^6*C37*12</f>
        <v>17280000000</v>
      </c>
      <c r="E39" s="33"/>
    </row>
    <row r="40" spans="2:14" x14ac:dyDescent="0.35">
      <c r="B40" s="65" t="s">
        <v>102</v>
      </c>
      <c r="C40" s="77">
        <f>'6'!C17</f>
        <v>2127.8399059712588</v>
      </c>
    </row>
    <row r="41" spans="2:14" x14ac:dyDescent="0.35">
      <c r="B41" s="65" t="s">
        <v>103</v>
      </c>
      <c r="C41" s="65">
        <v>365</v>
      </c>
    </row>
    <row r="42" spans="2:14" x14ac:dyDescent="0.35">
      <c r="B42" s="65" t="s">
        <v>104</v>
      </c>
      <c r="C42" s="77">
        <f>C40*10^6*C41</f>
        <v>776661565679.5094</v>
      </c>
      <c r="E42" s="6"/>
      <c r="I42" s="1"/>
    </row>
    <row r="43" spans="2:14" x14ac:dyDescent="0.35">
      <c r="B43" s="65" t="s">
        <v>106</v>
      </c>
      <c r="C43" s="77">
        <f>50/3</f>
        <v>16.666666666666668</v>
      </c>
      <c r="E43" s="123"/>
      <c r="J43" s="51"/>
      <c r="K43" s="51"/>
      <c r="L43" s="51"/>
      <c r="M43" s="51"/>
      <c r="N43" s="51"/>
    </row>
    <row r="44" spans="2:14" x14ac:dyDescent="0.35">
      <c r="B44" s="65" t="s">
        <v>105</v>
      </c>
      <c r="C44" s="80">
        <f>C42/C39*C38*C43</f>
        <v>5.6182115572881175</v>
      </c>
      <c r="J44" s="50"/>
      <c r="K44" s="50"/>
      <c r="L44" s="50"/>
      <c r="M44" s="50"/>
      <c r="N44" s="50"/>
    </row>
    <row r="45" spans="2:14" x14ac:dyDescent="0.35">
      <c r="I45" s="51"/>
    </row>
    <row r="46" spans="2:14" x14ac:dyDescent="0.35">
      <c r="B46" s="48" t="s">
        <v>154</v>
      </c>
      <c r="I46" s="73"/>
      <c r="J46" s="73"/>
    </row>
    <row r="48" spans="2:14" ht="43.5" x14ac:dyDescent="0.35">
      <c r="C48" s="125" t="s">
        <v>155</v>
      </c>
      <c r="D48" s="64" t="s">
        <v>152</v>
      </c>
      <c r="E48" s="64" t="s">
        <v>153</v>
      </c>
    </row>
    <row r="49" spans="2:8" x14ac:dyDescent="0.35">
      <c r="B49" s="124" t="s">
        <v>43</v>
      </c>
      <c r="C49" s="77">
        <f>MetaMetavers!F32*(1+MetaMetavers!G32)^7</f>
        <v>121067.89949552288</v>
      </c>
      <c r="D49" s="126"/>
      <c r="E49" s="155">
        <v>0.26900000000000002</v>
      </c>
    </row>
    <row r="50" spans="2:8" x14ac:dyDescent="0.35">
      <c r="B50" s="124" t="s">
        <v>44</v>
      </c>
      <c r="C50" s="77">
        <f>MetaMetavers!F33*(1+MetaMetavers!H33)^7</f>
        <v>28172.802401577406</v>
      </c>
      <c r="D50" s="126"/>
      <c r="E50" s="155">
        <f>E49</f>
        <v>0.26900000000000002</v>
      </c>
    </row>
    <row r="51" spans="2:8" x14ac:dyDescent="0.35">
      <c r="B51" s="124" t="s">
        <v>156</v>
      </c>
      <c r="C51" s="126">
        <f>C49+C50</f>
        <v>149240.70189710028</v>
      </c>
      <c r="D51" s="126">
        <f>C51+C27+C44</f>
        <v>165672.71222277917</v>
      </c>
    </row>
    <row r="54" spans="2:8" x14ac:dyDescent="0.35">
      <c r="B54" s="122" t="s">
        <v>202</v>
      </c>
    </row>
    <row r="55" spans="2:8" x14ac:dyDescent="0.35">
      <c r="B55" s="1"/>
      <c r="H55" s="73"/>
    </row>
    <row r="56" spans="2:8" x14ac:dyDescent="0.35">
      <c r="B56" t="s">
        <v>160</v>
      </c>
      <c r="H56" s="73"/>
    </row>
    <row r="57" spans="2:8" x14ac:dyDescent="0.35">
      <c r="B57" t="s">
        <v>161</v>
      </c>
      <c r="H57" s="73"/>
    </row>
    <row r="59" spans="2:8" x14ac:dyDescent="0.35">
      <c r="B59" s="65" t="s">
        <v>111</v>
      </c>
      <c r="C59" s="81">
        <v>0.36</v>
      </c>
      <c r="D59" s="78"/>
    </row>
    <row r="60" spans="2:8" x14ac:dyDescent="0.35">
      <c r="B60" s="65" t="s">
        <v>110</v>
      </c>
      <c r="C60" s="65">
        <v>480</v>
      </c>
    </row>
    <row r="62" spans="2:8" x14ac:dyDescent="0.35">
      <c r="B62" t="s">
        <v>162</v>
      </c>
    </row>
    <row r="64" spans="2:8" x14ac:dyDescent="0.35">
      <c r="B64" s="65" t="s">
        <v>113</v>
      </c>
      <c r="C64" s="81">
        <v>0.3</v>
      </c>
    </row>
    <row r="65" spans="2:4" x14ac:dyDescent="0.35">
      <c r="B65" s="65" t="s">
        <v>112</v>
      </c>
      <c r="C65" s="65">
        <v>1125</v>
      </c>
    </row>
    <row r="66" spans="2:4" x14ac:dyDescent="0.35">
      <c r="D66" s="78"/>
    </row>
    <row r="68" spans="2:4" x14ac:dyDescent="0.35">
      <c r="B68" s="1" t="s">
        <v>203</v>
      </c>
    </row>
    <row r="69" spans="2:4" x14ac:dyDescent="0.35">
      <c r="B69" s="1"/>
    </row>
    <row r="70" spans="2:4" x14ac:dyDescent="0.35">
      <c r="B70" t="s">
        <v>164</v>
      </c>
    </row>
    <row r="71" spans="2:4" x14ac:dyDescent="0.35">
      <c r="B71" t="s">
        <v>163</v>
      </c>
    </row>
    <row r="73" spans="2:4" x14ac:dyDescent="0.35">
      <c r="B73" s="65" t="s">
        <v>111</v>
      </c>
      <c r="C73" s="81">
        <v>0.24</v>
      </c>
      <c r="D73" s="78"/>
    </row>
    <row r="74" spans="2:4" x14ac:dyDescent="0.35">
      <c r="B74" s="65" t="s">
        <v>110</v>
      </c>
      <c r="C74" s="65">
        <v>251</v>
      </c>
    </row>
    <row r="75" spans="2:4" x14ac:dyDescent="0.35">
      <c r="B75" s="65" t="s">
        <v>113</v>
      </c>
      <c r="C75" s="81">
        <v>0.24</v>
      </c>
    </row>
    <row r="76" spans="2:4" x14ac:dyDescent="0.35">
      <c r="B76" s="65" t="s">
        <v>112</v>
      </c>
      <c r="C76" s="65">
        <v>808</v>
      </c>
    </row>
    <row r="78" spans="2:4" x14ac:dyDescent="0.35">
      <c r="D78" s="78"/>
    </row>
    <row r="79" spans="2:4" x14ac:dyDescent="0.35">
      <c r="B79" s="1" t="s">
        <v>199</v>
      </c>
      <c r="D79" s="78"/>
    </row>
    <row r="80" spans="2:4" x14ac:dyDescent="0.35">
      <c r="B80" t="s">
        <v>208</v>
      </c>
    </row>
    <row r="81" spans="2:2" x14ac:dyDescent="0.35">
      <c r="B81" t="s">
        <v>209</v>
      </c>
    </row>
    <row r="82" spans="2:2" x14ac:dyDescent="0.35">
      <c r="B82" t="s">
        <v>204</v>
      </c>
    </row>
  </sheetData>
  <mergeCells count="3">
    <mergeCell ref="C2:E2"/>
    <mergeCell ref="C3:E3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MetaMetavers</vt:lpstr>
      <vt:lpstr>1</vt:lpstr>
      <vt:lpstr>2</vt:lpstr>
      <vt:lpstr>3</vt:lpstr>
      <vt:lpstr>4</vt:lpstr>
      <vt:lpstr>5</vt:lpstr>
      <vt:lpstr>6</vt:lpstr>
      <vt:lpstr>6bis</vt:lpstr>
      <vt:lpstr>7</vt:lpstr>
      <vt:lpstr>8</vt:lpstr>
      <vt:lpstr>9</vt:lpstr>
      <vt:lpstr>10</vt:lpstr>
      <vt:lpstr>11</vt:lpstr>
      <vt:lpstr>12</vt:lpstr>
      <vt:lpstr>Références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de Bank</dc:creator>
  <cp:lastModifiedBy>Marlène de Bank</cp:lastModifiedBy>
  <dcterms:created xsi:type="dcterms:W3CDTF">2023-10-25T13:26:00Z</dcterms:created>
  <dcterms:modified xsi:type="dcterms:W3CDTF">2024-03-02T13:35:56Z</dcterms:modified>
</cp:coreProperties>
</file>