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charts/chart17.xml" ContentType="application/vnd.openxmlformats-officedocument.drawingml.chart+xml"/>
  <Override PartName="/xl/drawings/drawing20.xml" ContentType="application/vnd.openxmlformats-officedocument.drawing+xml"/>
  <Override PartName="/xl/comments20.xml" ContentType="application/vnd.openxmlformats-officedocument.spreadsheetml.comments+xml"/>
  <Override PartName="/xl/charts/chart18.xml" ContentType="application/vnd.openxmlformats-officedocument.drawingml.chart+xml"/>
  <Override PartName="/xl/drawings/drawing21.xml" ContentType="application/vnd.openxmlformats-officedocument.drawing+xml"/>
  <Override PartName="/xl/comments21.xml" ContentType="application/vnd.openxmlformats-officedocument.spreadsheetml.comments+xml"/>
  <Override PartName="/xl/charts/chart19.xml" ContentType="application/vnd.openxmlformats-officedocument.drawingml.chart+xml"/>
  <Override PartName="/xl/drawings/drawing22.xml" ContentType="application/vnd.openxmlformats-officedocument.drawing+xml"/>
  <Override PartName="/xl/comments22.xml" ContentType="application/vnd.openxmlformats-officedocument.spreadsheetml.comments+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23.xml" ContentType="application/vnd.openxmlformats-officedocument.drawing+xml"/>
  <Override PartName="/xl/comments23.xml" ContentType="application/vnd.openxmlformats-officedocument.spreadsheetml.comments+xml"/>
  <Override PartName="/xl/charts/chart23.xml" ContentType="application/vnd.openxmlformats-officedocument.drawingml.chart+xml"/>
  <Override PartName="/xl/charts/chart24.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omments24.xml" ContentType="application/vnd.openxmlformats-officedocument.spreadsheetml.comments+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Override PartName="/xl/threadedComments/threadedComment8.xml" ContentType="application/vnd.ms-excel.threadedcomments+xml"/>
  <Override PartName="/xl/threadedComments/threadedComment9.xml" ContentType="application/vnd.ms-excel.threadedcomments+xml"/>
  <Override PartName="/xl/threadedComments/threadedComment10.xml" ContentType="application/vnd.ms-excel.threadedcomments+xml"/>
  <Override PartName="/xl/threadedComments/threadedComment11.xml" ContentType="application/vnd.ms-excel.threadedcomments+xml"/>
  <Override PartName="/xl/threadedComments/threadedComment12.xml" ContentType="application/vnd.ms-excel.threadedcomments+xml"/>
  <Override PartName="/xl/threadedComments/threadedComment13.xml" ContentType="application/vnd.ms-excel.threadedcomments+xml"/>
  <Override PartName="/xl/threadedComments/threadedComment14.xml" ContentType="application/vnd.ms-excel.threadedcomments+xml"/>
  <Override PartName="/xl/threadedComments/threadedComment15.xml" ContentType="application/vnd.ms-excel.threadedcomments+xml"/>
  <Override PartName="/xl/threadedComments/threadedComment16.xml" ContentType="application/vnd.ms-excel.threadedcomments+xml"/>
  <Override PartName="/xl/threadedComments/threadedComment17.xml" ContentType="application/vnd.ms-excel.threadedcomments+xml"/>
  <Override PartName="/xl/threadedComments/threadedComment18.xml" ContentType="application/vnd.ms-excel.threadedcomments+xml"/>
  <Override PartName="/xl/threadedComments/threadedComment19.xml" ContentType="application/vnd.ms-excel.threadedcomments+xml"/>
  <Override PartName="/xl/threadedComments/threadedComment20.xml" ContentType="application/vnd.ms-excel.threadedcomments+xml"/>
  <Override PartName="/xl/threadedComments/threadedComment21.xml" ContentType="application/vnd.ms-excel.threadedcomments+xml"/>
  <Override PartName="/xl/threadedComments/threadedComment22.xml" ContentType="application/vnd.ms-excel.threadedcomments+xml"/>
  <Override PartName="/xl/threadedComments/threadedComment23.xml" ContentType="application/vnd.ms-excel.threadedcomments+xml"/>
  <Override PartName="/xl/threadedComments/threadedComment24.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F:\The Shift Project\Pdfs à mettre en ligne\"/>
    </mc:Choice>
  </mc:AlternateContent>
  <xr:revisionPtr revIDLastSave="0" documentId="8_{B7A5208A-B1AE-474A-8845-0BA987E8BC27}" xr6:coauthVersionLast="47" xr6:coauthVersionMax="47" xr10:uidLastSave="{00000000-0000-0000-0000-000000000000}"/>
  <bookViews>
    <workbookView xWindow="-108" yWindow="-108" windowWidth="23256" windowHeight="12576" activeTab="2" xr2:uid="{00000000-000D-0000-FFFF-FFFF00000000}"/>
  </bookViews>
  <sheets>
    <sheet name="Read me" sheetId="1" r:id="rId1"/>
    <sheet name="Bilan global" sheetId="2" r:id="rId2"/>
    <sheet name="Fiche d'identité " sheetId="3" r:id="rId3"/>
    <sheet name="1" sheetId="4" r:id="rId4"/>
    <sheet name="6" sheetId="5" r:id="rId5"/>
    <sheet name="7" sheetId="6" r:id="rId6"/>
    <sheet name="9" sheetId="7" r:id="rId7"/>
    <sheet name="9.alimentaire" sheetId="8" r:id="rId8"/>
    <sheet name="9.médicaments" sheetId="9" r:id="rId9"/>
    <sheet name="9.dispositifs_médicaux" sheetId="10" r:id="rId10"/>
    <sheet name="9.fournitures_administratives" sheetId="11" r:id="rId11"/>
    <sheet name="9.services" sheetId="12" r:id="rId12"/>
    <sheet name="9. Linge " sheetId="13" r:id="rId13"/>
    <sheet name="10" sheetId="14" r:id="rId14"/>
    <sheet name="10.bâtiments" sheetId="15" r:id="rId15"/>
    <sheet name="10. SI" sheetId="16" r:id="rId16"/>
    <sheet name="10. Mobilier+machines+véhicules" sheetId="17" r:id="rId17"/>
    <sheet name="2" sheetId="18" r:id="rId18"/>
    <sheet name="13" sheetId="19" r:id="rId19"/>
    <sheet name="16" sheetId="20" r:id="rId20"/>
    <sheet name="16.patients" sheetId="21" r:id="rId21"/>
    <sheet name="16.visiteurs" sheetId="22" r:id="rId22"/>
    <sheet name="22" sheetId="23" r:id="rId23"/>
    <sheet name="4" sheetId="24" r:id="rId24"/>
    <sheet name="11" sheetId="25" r:id="rId25"/>
    <sheet name="Annexe 1" sheetId="26" r:id="rId26"/>
    <sheet name="Annexe 2" sheetId="27" r:id="rId27"/>
    <sheet name="1+6+7_mesure" sheetId="28" r:id="rId28"/>
    <sheet name="9.médicaments_mesure" sheetId="29" r:id="rId29"/>
    <sheet name="9. Dispositifs médicaux_mesure " sheetId="30" r:id="rId30"/>
    <sheet name="9.alimentaire_mesure" sheetId="31" r:id="rId31"/>
    <sheet name="13_mesure" sheetId="32" r:id="rId32"/>
    <sheet name="16_mesure" sheetId="33" r:id="rId33"/>
    <sheet name="22_mesure " sheetId="34" r:id="rId34"/>
    <sheet name="2_mesure" sheetId="35" r:id="rId35"/>
    <sheet name="11_mesure" sheetId="36" r:id="rId36"/>
    <sheet name="4_mesure" sheetId="37" r:id="rId37"/>
  </sheets>
  <externalReferences>
    <externalReference r:id="rId38"/>
  </externalReferences>
  <definedNames>
    <definedName name="\L">#REF!</definedName>
    <definedName name="Bilan_global_mesure">#REF!</definedName>
    <definedName name="données_bilan_global">'Bilan global'!#REF!</definedName>
    <definedName name="FE_Immobilisations_VMO">#NAME?</definedName>
    <definedName name="Incertitude_basse">#REF!</definedName>
    <definedName name="incertitude_haute">#REF!</definedName>
    <definedName name="incertitudes_par_poste">#REF!</definedName>
    <definedName name="Liste_Immobilisations2">[1]Utilitaires!$M$586:$M$587</definedName>
    <definedName name="Mtep_to_TWh">'Annexe 1'!$B$12</definedName>
    <definedName name="PPJS">#REF!</definedName>
    <definedName name="tep_to_TWh">'Annexe 1'!$B$12</definedName>
    <definedName name="Variation_F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 i="37" l="1"/>
  <c r="I19" i="37"/>
  <c r="I17" i="37"/>
  <c r="H17" i="37"/>
  <c r="H19" i="37" s="1"/>
  <c r="C7" i="37"/>
  <c r="D30" i="36"/>
  <c r="D19" i="36"/>
  <c r="D18" i="36"/>
  <c r="D17" i="36"/>
  <c r="D28" i="35"/>
  <c r="D19" i="35"/>
  <c r="D18" i="35"/>
  <c r="D31" i="34"/>
  <c r="D21" i="34"/>
  <c r="D39" i="33"/>
  <c r="D21" i="33"/>
  <c r="D29" i="33" s="1"/>
  <c r="D19" i="32"/>
  <c r="C7" i="32"/>
  <c r="D51" i="31"/>
  <c r="D52" i="31" s="1"/>
  <c r="D53" i="31" s="1"/>
  <c r="D50" i="31"/>
  <c r="D17" i="31"/>
  <c r="D16" i="31"/>
  <c r="D13" i="29"/>
  <c r="C7" i="29"/>
  <c r="G45" i="28"/>
  <c r="F45" i="28"/>
  <c r="D45" i="28"/>
  <c r="I35" i="28"/>
  <c r="I34" i="28"/>
  <c r="D20" i="28"/>
  <c r="C105" i="27"/>
  <c r="C92" i="27"/>
  <c r="C97" i="27" s="1"/>
  <c r="E79" i="27"/>
  <c r="E80" i="27" s="1"/>
  <c r="D79" i="27"/>
  <c r="C79" i="27"/>
  <c r="D67" i="27"/>
  <c r="C5" i="27"/>
  <c r="C103" i="23" s="1"/>
  <c r="H131" i="25"/>
  <c r="H130" i="25"/>
  <c r="H129" i="25"/>
  <c r="H128" i="25"/>
  <c r="G115" i="25"/>
  <c r="F115" i="25"/>
  <c r="C114" i="25"/>
  <c r="F114" i="25" s="1"/>
  <c r="F113" i="25"/>
  <c r="F112" i="25"/>
  <c r="C112" i="25"/>
  <c r="F111" i="25"/>
  <c r="C111" i="25"/>
  <c r="C103" i="25"/>
  <c r="C115" i="25" s="1"/>
  <c r="C102" i="25"/>
  <c r="C101" i="25"/>
  <c r="C113" i="25" s="1"/>
  <c r="C100" i="25"/>
  <c r="C99" i="25"/>
  <c r="C88" i="25"/>
  <c r="C87" i="25"/>
  <c r="C70" i="25"/>
  <c r="C69" i="25"/>
  <c r="E276" i="24"/>
  <c r="C264" i="24"/>
  <c r="C32" i="24" s="1"/>
  <c r="F250" i="24"/>
  <c r="E250" i="24"/>
  <c r="D47" i="24" s="1"/>
  <c r="F247" i="24"/>
  <c r="E247" i="24"/>
  <c r="F246" i="24"/>
  <c r="E246" i="24"/>
  <c r="J238" i="24"/>
  <c r="M238" i="24" s="1"/>
  <c r="I238" i="24"/>
  <c r="G238" i="24"/>
  <c r="F238" i="24"/>
  <c r="F237" i="24"/>
  <c r="F236" i="24"/>
  <c r="I236" i="24" s="1"/>
  <c r="J235" i="24"/>
  <c r="M235" i="24" s="1"/>
  <c r="I235" i="24"/>
  <c r="G235" i="24"/>
  <c r="F235" i="24"/>
  <c r="J234" i="24"/>
  <c r="M234" i="24" s="1"/>
  <c r="I234" i="24"/>
  <c r="G234" i="24"/>
  <c r="F234" i="24"/>
  <c r="M233" i="24"/>
  <c r="J233" i="24"/>
  <c r="G233" i="24"/>
  <c r="F233" i="24"/>
  <c r="I233" i="24" s="1"/>
  <c r="M232" i="24"/>
  <c r="I232" i="24"/>
  <c r="G232" i="24"/>
  <c r="J232" i="24" s="1"/>
  <c r="F232" i="24"/>
  <c r="M231" i="24"/>
  <c r="I231" i="24"/>
  <c r="G231" i="24"/>
  <c r="J231" i="24" s="1"/>
  <c r="F231" i="24"/>
  <c r="M230" i="24"/>
  <c r="I230" i="24"/>
  <c r="G230" i="24"/>
  <c r="J230" i="24" s="1"/>
  <c r="F230" i="24"/>
  <c r="G229" i="24"/>
  <c r="J229" i="24" s="1"/>
  <c r="M229" i="24" s="1"/>
  <c r="F229" i="24"/>
  <c r="I229" i="24" s="1"/>
  <c r="G228" i="24"/>
  <c r="J228" i="24" s="1"/>
  <c r="M228" i="24" s="1"/>
  <c r="F228" i="24"/>
  <c r="I228" i="24" s="1"/>
  <c r="J227" i="24"/>
  <c r="M227" i="24" s="1"/>
  <c r="G227" i="24"/>
  <c r="F227" i="24"/>
  <c r="I227" i="24" s="1"/>
  <c r="J226" i="24"/>
  <c r="M226" i="24" s="1"/>
  <c r="G226" i="24"/>
  <c r="F226" i="24"/>
  <c r="I226" i="24" s="1"/>
  <c r="M225" i="24"/>
  <c r="J225" i="24"/>
  <c r="G225" i="24"/>
  <c r="F225" i="24"/>
  <c r="I225" i="24" s="1"/>
  <c r="I224" i="24"/>
  <c r="G224" i="24"/>
  <c r="J224" i="24" s="1"/>
  <c r="M224" i="24" s="1"/>
  <c r="F224" i="24"/>
  <c r="I223" i="24"/>
  <c r="G223" i="24"/>
  <c r="J223" i="24" s="1"/>
  <c r="M223" i="24" s="1"/>
  <c r="F223" i="24"/>
  <c r="I222" i="24"/>
  <c r="G222" i="24"/>
  <c r="J222" i="24" s="1"/>
  <c r="M222" i="24" s="1"/>
  <c r="F222" i="24"/>
  <c r="J221" i="24"/>
  <c r="M221" i="24" s="1"/>
  <c r="G221" i="24"/>
  <c r="F221" i="24"/>
  <c r="I221" i="24" s="1"/>
  <c r="G220" i="24"/>
  <c r="J220" i="24" s="1"/>
  <c r="M220" i="24" s="1"/>
  <c r="F220" i="24"/>
  <c r="I220" i="24" s="1"/>
  <c r="F219" i="24"/>
  <c r="J218" i="24"/>
  <c r="M218" i="24" s="1"/>
  <c r="F218" i="24"/>
  <c r="G218" i="24" s="1"/>
  <c r="M217" i="24"/>
  <c r="F217" i="24"/>
  <c r="G217" i="24" s="1"/>
  <c r="J217" i="24" s="1"/>
  <c r="I216" i="24"/>
  <c r="G216" i="24"/>
  <c r="J216" i="24" s="1"/>
  <c r="M216" i="24" s="1"/>
  <c r="F216" i="24"/>
  <c r="I215" i="24"/>
  <c r="G215" i="24"/>
  <c r="J215" i="24" s="1"/>
  <c r="M215" i="24" s="1"/>
  <c r="F215" i="24"/>
  <c r="J214" i="24"/>
  <c r="M214" i="24" s="1"/>
  <c r="I214" i="24"/>
  <c r="G214" i="24"/>
  <c r="F214" i="24"/>
  <c r="G213" i="24"/>
  <c r="J213" i="24" s="1"/>
  <c r="M213" i="24" s="1"/>
  <c r="F213" i="24"/>
  <c r="I213" i="24" s="1"/>
  <c r="J212" i="24"/>
  <c r="G212" i="24"/>
  <c r="F212" i="24"/>
  <c r="I212" i="24" s="1"/>
  <c r="K211" i="24"/>
  <c r="J211" i="24"/>
  <c r="M211" i="24" s="1"/>
  <c r="I211" i="24"/>
  <c r="G211" i="24"/>
  <c r="F211" i="24"/>
  <c r="M210" i="24"/>
  <c r="M209" i="24"/>
  <c r="J209" i="24"/>
  <c r="G209" i="24"/>
  <c r="F209" i="24"/>
  <c r="G208" i="24"/>
  <c r="J208" i="24" s="1"/>
  <c r="M208" i="24" s="1"/>
  <c r="F208" i="24"/>
  <c r="M206" i="24"/>
  <c r="K206" i="24"/>
  <c r="I206" i="24"/>
  <c r="G206" i="24"/>
  <c r="J206" i="24" s="1"/>
  <c r="F206" i="24"/>
  <c r="J205" i="24"/>
  <c r="M205" i="24" s="1"/>
  <c r="G205" i="24"/>
  <c r="F205" i="24"/>
  <c r="G204" i="24"/>
  <c r="J204" i="24" s="1"/>
  <c r="M204" i="24" s="1"/>
  <c r="F204" i="24"/>
  <c r="G203" i="24"/>
  <c r="J203" i="24" s="1"/>
  <c r="M203" i="24" s="1"/>
  <c r="M202" i="24"/>
  <c r="G202" i="24"/>
  <c r="J202" i="24" s="1"/>
  <c r="G200" i="24"/>
  <c r="J200" i="24" s="1"/>
  <c r="M200" i="24" s="1"/>
  <c r="F200" i="24"/>
  <c r="K199" i="24"/>
  <c r="I199" i="24"/>
  <c r="G199" i="24"/>
  <c r="J199" i="24" s="1"/>
  <c r="M199" i="24" s="1"/>
  <c r="F199" i="24"/>
  <c r="K198" i="24"/>
  <c r="I198" i="24"/>
  <c r="G198" i="24"/>
  <c r="J198" i="24" s="1"/>
  <c r="M198" i="24" s="1"/>
  <c r="F198" i="24"/>
  <c r="D189" i="24"/>
  <c r="C189" i="24"/>
  <c r="C250" i="24" s="1"/>
  <c r="C188" i="24"/>
  <c r="D188" i="24" s="1"/>
  <c r="D187" i="24"/>
  <c r="G187" i="24" s="1"/>
  <c r="G246" i="24" s="1"/>
  <c r="C187" i="24"/>
  <c r="C246" i="24" s="1"/>
  <c r="J158" i="24"/>
  <c r="F158" i="24"/>
  <c r="J157" i="24"/>
  <c r="G201" i="24" s="1"/>
  <c r="J201" i="24" s="1"/>
  <c r="M201" i="24" s="1"/>
  <c r="F157" i="24"/>
  <c r="F201" i="24" s="1"/>
  <c r="J156" i="24"/>
  <c r="G210" i="24" s="1"/>
  <c r="J210" i="24" s="1"/>
  <c r="F156" i="24"/>
  <c r="F207" i="24" s="1"/>
  <c r="I207" i="24" s="1"/>
  <c r="D46" i="24"/>
  <c r="D45" i="24"/>
  <c r="D44" i="24"/>
  <c r="D43" i="24"/>
  <c r="C154" i="23"/>
  <c r="C143" i="23"/>
  <c r="C142" i="23"/>
  <c r="C139" i="23"/>
  <c r="C138" i="23"/>
  <c r="C120" i="23"/>
  <c r="C153" i="23" s="1"/>
  <c r="C98" i="23"/>
  <c r="C97" i="23"/>
  <c r="C84" i="23"/>
  <c r="C85" i="23" s="1"/>
  <c r="C119" i="23" s="1"/>
  <c r="C152" i="23" s="1"/>
  <c r="C170" i="23" s="1"/>
  <c r="C77" i="23"/>
  <c r="C76" i="23"/>
  <c r="C71" i="23"/>
  <c r="C118" i="23" s="1"/>
  <c r="C68" i="23"/>
  <c r="C58" i="23"/>
  <c r="C50" i="23"/>
  <c r="H42" i="23"/>
  <c r="G42" i="23"/>
  <c r="C117" i="23" s="1"/>
  <c r="F42" i="23"/>
  <c r="E42" i="23"/>
  <c r="D42" i="23"/>
  <c r="C121" i="23" s="1"/>
  <c r="C41" i="23"/>
  <c r="C40" i="23"/>
  <c r="C39" i="23"/>
  <c r="C8" i="23"/>
  <c r="C7" i="23"/>
  <c r="C126" i="22"/>
  <c r="C127" i="22" s="1"/>
  <c r="C128" i="22" s="1"/>
  <c r="C130" i="22" s="1"/>
  <c r="C125" i="22"/>
  <c r="C106" i="22"/>
  <c r="C108" i="22" s="1"/>
  <c r="C105" i="22"/>
  <c r="D79" i="22"/>
  <c r="B79" i="22"/>
  <c r="C68" i="22"/>
  <c r="C107" i="22" s="1"/>
  <c r="C129" i="22" s="1"/>
  <c r="F58" i="22"/>
  <c r="E56" i="22"/>
  <c r="C56" i="22"/>
  <c r="C51" i="22"/>
  <c r="C58" i="22" s="1"/>
  <c r="F49" i="22"/>
  <c r="F56" i="22" s="1"/>
  <c r="F59" i="22" s="1"/>
  <c r="F73" i="22" s="1"/>
  <c r="D49" i="22"/>
  <c r="D56" i="22" s="1"/>
  <c r="C49" i="22"/>
  <c r="C43" i="22"/>
  <c r="C8" i="22"/>
  <c r="C7" i="22"/>
  <c r="C257" i="21"/>
  <c r="C256" i="21"/>
  <c r="C253" i="21"/>
  <c r="H239" i="21"/>
  <c r="F239" i="21"/>
  <c r="H238" i="21"/>
  <c r="F238" i="21"/>
  <c r="H237" i="21"/>
  <c r="F236" i="21"/>
  <c r="H236" i="21" s="1"/>
  <c r="C254" i="21" s="1"/>
  <c r="H235" i="21"/>
  <c r="F235" i="21"/>
  <c r="H234" i="21"/>
  <c r="F234" i="21"/>
  <c r="H233" i="21"/>
  <c r="F233" i="21"/>
  <c r="H232" i="21"/>
  <c r="F232" i="21"/>
  <c r="F231" i="21"/>
  <c r="H231" i="21" s="1"/>
  <c r="F230" i="21"/>
  <c r="H230" i="21" s="1"/>
  <c r="F229" i="21"/>
  <c r="H229" i="21" s="1"/>
  <c r="H228" i="21"/>
  <c r="H227" i="21"/>
  <c r="H226" i="21"/>
  <c r="H225" i="21"/>
  <c r="H224" i="21"/>
  <c r="F223" i="21"/>
  <c r="H223" i="21" s="1"/>
  <c r="H222" i="21"/>
  <c r="F221" i="21"/>
  <c r="H221" i="21" s="1"/>
  <c r="H219" i="21"/>
  <c r="H218" i="21"/>
  <c r="H217" i="21"/>
  <c r="H216" i="21"/>
  <c r="H215" i="21"/>
  <c r="H214" i="21"/>
  <c r="H213" i="21"/>
  <c r="H212" i="21"/>
  <c r="H211" i="21"/>
  <c r="H210" i="21"/>
  <c r="H209" i="21"/>
  <c r="H208" i="21"/>
  <c r="H207" i="21"/>
  <c r="H206" i="21"/>
  <c r="H205" i="21"/>
  <c r="H204" i="21"/>
  <c r="L203" i="21"/>
  <c r="H203" i="21"/>
  <c r="H202" i="21"/>
  <c r="H201" i="21"/>
  <c r="H200" i="21"/>
  <c r="H199" i="21"/>
  <c r="H198" i="21"/>
  <c r="H197" i="21"/>
  <c r="H196" i="21"/>
  <c r="H195" i="21"/>
  <c r="H194" i="21"/>
  <c r="H193" i="21"/>
  <c r="H192" i="21"/>
  <c r="H191" i="21"/>
  <c r="H190" i="21"/>
  <c r="H189" i="21"/>
  <c r="H188" i="21"/>
  <c r="H187" i="21"/>
  <c r="H186" i="21"/>
  <c r="H185" i="21"/>
  <c r="H184" i="21"/>
  <c r="H182" i="21"/>
  <c r="H181" i="21"/>
  <c r="C251" i="21" s="1"/>
  <c r="F181" i="21"/>
  <c r="C144" i="21"/>
  <c r="F141" i="21"/>
  <c r="E141" i="21"/>
  <c r="D141" i="21"/>
  <c r="C145" i="21" s="1"/>
  <c r="C141" i="21"/>
  <c r="D103" i="21"/>
  <c r="C103" i="21"/>
  <c r="E76" i="21"/>
  <c r="E75" i="21"/>
  <c r="C75" i="21"/>
  <c r="F75" i="21" s="1"/>
  <c r="F74" i="21"/>
  <c r="E74" i="21"/>
  <c r="D74" i="21"/>
  <c r="D76" i="21" s="1"/>
  <c r="C74" i="21"/>
  <c r="E73" i="21"/>
  <c r="D73" i="21"/>
  <c r="C73" i="21"/>
  <c r="F72" i="21"/>
  <c r="F51" i="22" s="1"/>
  <c r="E72" i="21"/>
  <c r="E51" i="22" s="1"/>
  <c r="E58" i="22" s="1"/>
  <c r="D72" i="21"/>
  <c r="D75" i="21" s="1"/>
  <c r="C72" i="21"/>
  <c r="E71" i="21"/>
  <c r="E50" i="22" s="1"/>
  <c r="E57" i="22" s="1"/>
  <c r="D71" i="21"/>
  <c r="D50" i="22" s="1"/>
  <c r="D57" i="22" s="1"/>
  <c r="C71" i="21"/>
  <c r="C50" i="22" s="1"/>
  <c r="C57" i="22" s="1"/>
  <c r="C59" i="22" s="1"/>
  <c r="C73" i="22" s="1"/>
  <c r="E70" i="21"/>
  <c r="E49" i="22" s="1"/>
  <c r="D70" i="21"/>
  <c r="C70" i="21"/>
  <c r="C62" i="21"/>
  <c r="F52" i="21"/>
  <c r="F51" i="21"/>
  <c r="F50" i="21"/>
  <c r="F71" i="21" s="1"/>
  <c r="F50" i="22" s="1"/>
  <c r="F57" i="22" s="1"/>
  <c r="F49" i="21"/>
  <c r="F70" i="21" s="1"/>
  <c r="F48" i="21"/>
  <c r="F47" i="21"/>
  <c r="F46" i="21"/>
  <c r="F45" i="21"/>
  <c r="F44" i="21"/>
  <c r="F43" i="21"/>
  <c r="F42" i="21"/>
  <c r="F41" i="21"/>
  <c r="F40" i="21"/>
  <c r="C8" i="21"/>
  <c r="C7" i="21"/>
  <c r="H15" i="20"/>
  <c r="E15" i="20"/>
  <c r="C8" i="20"/>
  <c r="C7" i="20"/>
  <c r="C70" i="19"/>
  <c r="C73" i="19" s="1"/>
  <c r="C55" i="19"/>
  <c r="C35" i="19"/>
  <c r="C34" i="19"/>
  <c r="C8" i="19"/>
  <c r="C7" i="19"/>
  <c r="C151" i="18"/>
  <c r="C159" i="18" s="1"/>
  <c r="M27" i="18" s="1"/>
  <c r="C150" i="18"/>
  <c r="C158" i="18" s="1"/>
  <c r="E144" i="18"/>
  <c r="D144" i="18"/>
  <c r="C135" i="18"/>
  <c r="L27" i="18" s="1"/>
  <c r="C133" i="18"/>
  <c r="J27" i="18" s="1"/>
  <c r="H120" i="18"/>
  <c r="H119" i="18"/>
  <c r="H118" i="18"/>
  <c r="C117" i="18"/>
  <c r="H117" i="18" s="1"/>
  <c r="D95" i="18"/>
  <c r="C95" i="18"/>
  <c r="C96" i="18" s="1"/>
  <c r="C79" i="18"/>
  <c r="B66" i="18"/>
  <c r="E95" i="18" s="1"/>
  <c r="C63" i="18"/>
  <c r="C8" i="18"/>
  <c r="C7" i="18"/>
  <c r="C7" i="35" s="1"/>
  <c r="C7" i="17"/>
  <c r="C53" i="16"/>
  <c r="C48" i="16"/>
  <c r="C7" i="16"/>
  <c r="X352" i="15"/>
  <c r="Y352" i="15" s="1"/>
  <c r="Z352" i="15" s="1"/>
  <c r="AA352" i="15" s="1"/>
  <c r="AB352" i="15" s="1"/>
  <c r="AC352" i="15" s="1"/>
  <c r="AD352" i="15" s="1"/>
  <c r="AE352" i="15" s="1"/>
  <c r="AF352" i="15" s="1"/>
  <c r="AG352" i="15" s="1"/>
  <c r="AH352" i="15" s="1"/>
  <c r="U352" i="15"/>
  <c r="V352" i="15" s="1"/>
  <c r="W352" i="15" s="1"/>
  <c r="M352" i="15"/>
  <c r="N352" i="15" s="1"/>
  <c r="O352" i="15" s="1"/>
  <c r="P352" i="15" s="1"/>
  <c r="Q352" i="15" s="1"/>
  <c r="R352" i="15" s="1"/>
  <c r="S352" i="15" s="1"/>
  <c r="T352" i="15" s="1"/>
  <c r="E352" i="15"/>
  <c r="F352" i="15" s="1"/>
  <c r="G352" i="15" s="1"/>
  <c r="H352" i="15" s="1"/>
  <c r="I352" i="15" s="1"/>
  <c r="J352" i="15" s="1"/>
  <c r="K352" i="15" s="1"/>
  <c r="L352" i="15" s="1"/>
  <c r="C348" i="15"/>
  <c r="C349" i="15" s="1"/>
  <c r="L334" i="15"/>
  <c r="M334" i="15" s="1"/>
  <c r="N334" i="15" s="1"/>
  <c r="O334" i="15" s="1"/>
  <c r="P334" i="15" s="1"/>
  <c r="Q334" i="15" s="1"/>
  <c r="R334" i="15" s="1"/>
  <c r="S334" i="15" s="1"/>
  <c r="T334" i="15" s="1"/>
  <c r="U334" i="15" s="1"/>
  <c r="V334" i="15" s="1"/>
  <c r="W334" i="15" s="1"/>
  <c r="X334" i="15" s="1"/>
  <c r="Y334" i="15" s="1"/>
  <c r="Z334" i="15" s="1"/>
  <c r="AA334" i="15" s="1"/>
  <c r="AB334" i="15" s="1"/>
  <c r="AC334" i="15" s="1"/>
  <c r="AD334" i="15" s="1"/>
  <c r="AE334" i="15" s="1"/>
  <c r="AF334" i="15" s="1"/>
  <c r="AG334" i="15" s="1"/>
  <c r="AH334" i="15" s="1"/>
  <c r="H334" i="15"/>
  <c r="I334" i="15" s="1"/>
  <c r="J334" i="15" s="1"/>
  <c r="K334" i="15" s="1"/>
  <c r="G334" i="15"/>
  <c r="E334" i="15"/>
  <c r="F334" i="15" s="1"/>
  <c r="C293" i="15"/>
  <c r="C291" i="15"/>
  <c r="C289" i="15"/>
  <c r="C269" i="15"/>
  <c r="C268" i="15"/>
  <c r="G321" i="15" s="1"/>
  <c r="C248" i="15"/>
  <c r="C335" i="15" s="1"/>
  <c r="C232" i="15"/>
  <c r="C231" i="15"/>
  <c r="C171" i="15"/>
  <c r="C170" i="15"/>
  <c r="C169" i="15"/>
  <c r="C168" i="15"/>
  <c r="C167" i="15"/>
  <c r="C145" i="15"/>
  <c r="C154" i="15" s="1"/>
  <c r="C160" i="15" s="1"/>
  <c r="J110" i="15"/>
  <c r="C108" i="15"/>
  <c r="C103" i="15"/>
  <c r="D103" i="15" s="1"/>
  <c r="E102" i="15"/>
  <c r="D102" i="15"/>
  <c r="D101" i="15"/>
  <c r="E101" i="15" s="1"/>
  <c r="E100" i="15"/>
  <c r="D100" i="15"/>
  <c r="D99" i="15"/>
  <c r="E99" i="15" s="1"/>
  <c r="E98" i="15"/>
  <c r="D98" i="15"/>
  <c r="D97" i="15"/>
  <c r="E97" i="15" s="1"/>
  <c r="E96" i="15"/>
  <c r="D96" i="15"/>
  <c r="D95" i="15"/>
  <c r="E95" i="15" s="1"/>
  <c r="E103" i="15" s="1"/>
  <c r="C107" i="15" s="1"/>
  <c r="C111" i="4" s="1"/>
  <c r="E94" i="15"/>
  <c r="D94" i="15"/>
  <c r="C88" i="15"/>
  <c r="D88" i="15" s="1"/>
  <c r="D87" i="15"/>
  <c r="D86" i="15"/>
  <c r="D85" i="15"/>
  <c r="D84" i="15"/>
  <c r="D79" i="15"/>
  <c r="C79" i="15"/>
  <c r="D78" i="15"/>
  <c r="D77" i="15"/>
  <c r="D76" i="15"/>
  <c r="D75" i="15"/>
  <c r="D74" i="15"/>
  <c r="D73" i="15"/>
  <c r="C44" i="15"/>
  <c r="C42" i="15"/>
  <c r="C33" i="15"/>
  <c r="C7" i="15"/>
  <c r="C8" i="14"/>
  <c r="C7" i="14"/>
  <c r="C249" i="13"/>
  <c r="C248" i="13"/>
  <c r="C250" i="13" s="1"/>
  <c r="C193" i="13"/>
  <c r="C218" i="13" s="1"/>
  <c r="C192" i="13"/>
  <c r="C217" i="13" s="1"/>
  <c r="C190" i="13"/>
  <c r="C215" i="13" s="1"/>
  <c r="E182" i="13"/>
  <c r="C174" i="13"/>
  <c r="C173" i="13"/>
  <c r="C172" i="13"/>
  <c r="C171" i="13"/>
  <c r="C191" i="13" s="1"/>
  <c r="C216" i="13" s="1"/>
  <c r="C170" i="13"/>
  <c r="C143" i="13"/>
  <c r="C142" i="13"/>
  <c r="C135" i="13"/>
  <c r="C169" i="13" s="1"/>
  <c r="C189" i="13" s="1"/>
  <c r="C214" i="13" s="1"/>
  <c r="C134" i="13"/>
  <c r="C168" i="13" s="1"/>
  <c r="C133" i="13"/>
  <c r="C136" i="13" s="1"/>
  <c r="C99" i="13"/>
  <c r="C98" i="13"/>
  <c r="C97" i="13"/>
  <c r="D95" i="13"/>
  <c r="C95" i="13"/>
  <c r="C76" i="13"/>
  <c r="C75" i="13"/>
  <c r="C74" i="13"/>
  <c r="C77" i="13" s="1"/>
  <c r="C68" i="13"/>
  <c r="C31" i="13"/>
  <c r="I45" i="12"/>
  <c r="I44" i="12"/>
  <c r="I43" i="12"/>
  <c r="I42" i="12"/>
  <c r="I41" i="12"/>
  <c r="I40" i="12"/>
  <c r="I39" i="12"/>
  <c r="I38" i="12"/>
  <c r="I37" i="12"/>
  <c r="I36" i="12"/>
  <c r="I35" i="12"/>
  <c r="I34" i="12"/>
  <c r="I33" i="12"/>
  <c r="I32" i="12"/>
  <c r="I31" i="12"/>
  <c r="I30" i="12"/>
  <c r="I29" i="12"/>
  <c r="I28" i="12"/>
  <c r="C37" i="11"/>
  <c r="C36" i="11"/>
  <c r="I28" i="11"/>
  <c r="I29" i="11" s="1"/>
  <c r="D36" i="11" s="1"/>
  <c r="I27" i="11"/>
  <c r="C55" i="10"/>
  <c r="D15" i="30" s="1"/>
  <c r="C48" i="10"/>
  <c r="C47" i="10"/>
  <c r="C46" i="10"/>
  <c r="C7" i="10"/>
  <c r="C7" i="30" s="1"/>
  <c r="C36" i="9"/>
  <c r="C35" i="9"/>
  <c r="C34" i="9"/>
  <c r="C33" i="9"/>
  <c r="C32" i="9"/>
  <c r="C31" i="9"/>
  <c r="C26" i="9"/>
  <c r="D15" i="29" s="1"/>
  <c r="D16" i="29" s="1"/>
  <c r="C12" i="9"/>
  <c r="C6" i="9" s="1"/>
  <c r="C221" i="8"/>
  <c r="C210" i="8"/>
  <c r="C209" i="8"/>
  <c r="C208" i="8"/>
  <c r="C207" i="8"/>
  <c r="C204" i="8"/>
  <c r="C188" i="8"/>
  <c r="C148" i="8"/>
  <c r="E151" i="8" s="1"/>
  <c r="C129" i="8"/>
  <c r="C98" i="8"/>
  <c r="Q79" i="8"/>
  <c r="Q74" i="8"/>
  <c r="Q65" i="8"/>
  <c r="C52" i="8"/>
  <c r="C51" i="8"/>
  <c r="C47" i="8"/>
  <c r="C38" i="8"/>
  <c r="D37" i="8"/>
  <c r="E37" i="31" s="1"/>
  <c r="C37" i="8"/>
  <c r="D37" i="31" s="1"/>
  <c r="C7" i="8"/>
  <c r="F15" i="7"/>
  <c r="C8" i="7"/>
  <c r="C7" i="7"/>
  <c r="C115" i="6"/>
  <c r="H115" i="6" s="1"/>
  <c r="C90" i="6"/>
  <c r="K74" i="6"/>
  <c r="K73" i="6"/>
  <c r="K72" i="6"/>
  <c r="K71" i="6"/>
  <c r="K70" i="6"/>
  <c r="K69" i="6"/>
  <c r="K68" i="6"/>
  <c r="C8" i="6"/>
  <c r="C7" i="6"/>
  <c r="C158" i="5"/>
  <c r="C153" i="5"/>
  <c r="C152" i="5"/>
  <c r="C143" i="5"/>
  <c r="J107" i="5"/>
  <c r="J106" i="5"/>
  <c r="J105" i="5"/>
  <c r="J104" i="5"/>
  <c r="J108" i="5" s="1"/>
  <c r="C93" i="5"/>
  <c r="C92" i="5"/>
  <c r="K74" i="5"/>
  <c r="K73" i="5"/>
  <c r="K72" i="5"/>
  <c r="K71" i="5"/>
  <c r="K70" i="5"/>
  <c r="K69" i="5"/>
  <c r="C8" i="5"/>
  <c r="C7" i="5"/>
  <c r="C216" i="4"/>
  <c r="C211" i="4"/>
  <c r="C210" i="4"/>
  <c r="C196" i="4"/>
  <c r="C165" i="4"/>
  <c r="E147" i="4"/>
  <c r="J130" i="4"/>
  <c r="J129" i="4"/>
  <c r="J128" i="4"/>
  <c r="J127" i="4"/>
  <c r="C115" i="4"/>
  <c r="C114" i="4"/>
  <c r="C112" i="4"/>
  <c r="Q86" i="4"/>
  <c r="K83" i="4"/>
  <c r="K82" i="4"/>
  <c r="Q81" i="4"/>
  <c r="K81" i="4"/>
  <c r="K80" i="4"/>
  <c r="K79" i="4"/>
  <c r="K78" i="4"/>
  <c r="P77" i="4"/>
  <c r="K77" i="4"/>
  <c r="K76" i="4"/>
  <c r="K75" i="4"/>
  <c r="K74" i="4"/>
  <c r="F73" i="4"/>
  <c r="K73" i="4" s="1"/>
  <c r="K72" i="4"/>
  <c r="F72" i="4"/>
  <c r="F71" i="4"/>
  <c r="K71" i="4" s="1"/>
  <c r="F70" i="4"/>
  <c r="K70" i="4" s="1"/>
  <c r="F69" i="4"/>
  <c r="K69" i="4" s="1"/>
  <c r="C8" i="4"/>
  <c r="C7" i="4"/>
  <c r="C7" i="3"/>
  <c r="H15" i="2"/>
  <c r="H13" i="2"/>
  <c r="F13" i="2"/>
  <c r="F12" i="2"/>
  <c r="H11" i="2"/>
  <c r="F11" i="2"/>
  <c r="H10" i="2"/>
  <c r="F10" i="2"/>
  <c r="H7" i="2"/>
  <c r="F7" i="2"/>
  <c r="H6" i="2"/>
  <c r="F6" i="2"/>
  <c r="H5" i="2"/>
  <c r="C116" i="4" l="1"/>
  <c r="D31" i="4" s="1"/>
  <c r="E30" i="4"/>
  <c r="D30" i="4"/>
  <c r="H30" i="4"/>
  <c r="C7" i="28"/>
  <c r="F5" i="2"/>
  <c r="I46" i="12"/>
  <c r="C51" i="12" s="1"/>
  <c r="C13" i="12" s="1"/>
  <c r="C6" i="12" s="1"/>
  <c r="X15" i="7" s="1"/>
  <c r="G95" i="18"/>
  <c r="G96" i="18" s="1"/>
  <c r="F106" i="18" s="1"/>
  <c r="F107" i="18" s="1"/>
  <c r="F27" i="18" s="1"/>
  <c r="E96" i="18"/>
  <c r="D106" i="18" s="1"/>
  <c r="D107" i="18" s="1"/>
  <c r="D27" i="18" s="1"/>
  <c r="D38" i="31"/>
  <c r="D38" i="8"/>
  <c r="E38" i="31" s="1"/>
  <c r="G31" i="4"/>
  <c r="F31" i="4"/>
  <c r="H31" i="4"/>
  <c r="D16" i="33"/>
  <c r="C249" i="21"/>
  <c r="C263" i="21" s="1"/>
  <c r="I110" i="15"/>
  <c r="K110" i="15" s="1"/>
  <c r="I109" i="15"/>
  <c r="K109" i="15" s="1"/>
  <c r="C249" i="15"/>
  <c r="C87" i="6"/>
  <c r="I108" i="15"/>
  <c r="K108" i="15" s="1"/>
  <c r="I111" i="15"/>
  <c r="C89" i="5"/>
  <c r="D38" i="11"/>
  <c r="D37" i="11"/>
  <c r="C86" i="6"/>
  <c r="C88" i="5"/>
  <c r="C110" i="4"/>
  <c r="K201" i="24"/>
  <c r="I201" i="24"/>
  <c r="E45" i="28"/>
  <c r="C141" i="13"/>
  <c r="C144" i="13" s="1"/>
  <c r="C167" i="13"/>
  <c r="C175" i="13" s="1"/>
  <c r="H88" i="4"/>
  <c r="K88" i="4" s="1"/>
  <c r="H84" i="4"/>
  <c r="K84" i="4" s="1"/>
  <c r="I31" i="4" s="1"/>
  <c r="H85" i="4"/>
  <c r="K85" i="4" s="1"/>
  <c r="H87" i="4"/>
  <c r="K87" i="4" s="1"/>
  <c r="H86" i="4"/>
  <c r="K86" i="4" s="1"/>
  <c r="K89" i="4" s="1"/>
  <c r="K90" i="4" s="1"/>
  <c r="K75" i="5"/>
  <c r="K76" i="5" s="1"/>
  <c r="C320" i="15"/>
  <c r="C255" i="21"/>
  <c r="I237" i="21"/>
  <c r="G188" i="24"/>
  <c r="G247" i="24" s="1"/>
  <c r="D247" i="24"/>
  <c r="C44" i="24" s="1"/>
  <c r="D16" i="37" s="1"/>
  <c r="G112" i="25"/>
  <c r="C30" i="25"/>
  <c r="H112" i="25"/>
  <c r="C233" i="15"/>
  <c r="C91" i="6"/>
  <c r="D17" i="34"/>
  <c r="C171" i="23"/>
  <c r="K209" i="24"/>
  <c r="I209" i="24"/>
  <c r="C164" i="8"/>
  <c r="C165" i="8" s="1"/>
  <c r="C172" i="8" s="1"/>
  <c r="C241" i="8" s="1"/>
  <c r="C36" i="8"/>
  <c r="C50" i="8"/>
  <c r="C53" i="8" s="1"/>
  <c r="C6" i="29"/>
  <c r="C38" i="11"/>
  <c r="D248" i="15"/>
  <c r="C333" i="15"/>
  <c r="I202" i="21"/>
  <c r="C166" i="15"/>
  <c r="C172" i="15" s="1"/>
  <c r="J131" i="4"/>
  <c r="C211" i="8"/>
  <c r="C215" i="8" s="1"/>
  <c r="D13" i="30"/>
  <c r="D25" i="30" s="1"/>
  <c r="C56" i="10"/>
  <c r="C58" i="10" s="1"/>
  <c r="C59" i="10" s="1"/>
  <c r="C12" i="10" s="1"/>
  <c r="C188" i="13"/>
  <c r="C213" i="13" s="1"/>
  <c r="C88" i="6"/>
  <c r="C90" i="5"/>
  <c r="C132" i="18"/>
  <c r="D16" i="35"/>
  <c r="G27" i="18"/>
  <c r="E31" i="18" s="1"/>
  <c r="C160" i="18"/>
  <c r="D20" i="35" s="1"/>
  <c r="C83" i="22"/>
  <c r="E43" i="24"/>
  <c r="E105" i="27"/>
  <c r="I194" i="21"/>
  <c r="I201" i="21"/>
  <c r="H240" i="21"/>
  <c r="C172" i="23"/>
  <c r="D18" i="34"/>
  <c r="F116" i="25"/>
  <c r="C194" i="13"/>
  <c r="C219" i="13" s="1"/>
  <c r="D17" i="32"/>
  <c r="C60" i="19"/>
  <c r="C187" i="13"/>
  <c r="F76" i="21"/>
  <c r="C87" i="21" s="1"/>
  <c r="C88" i="21" s="1"/>
  <c r="C95" i="21" s="1"/>
  <c r="D26" i="33"/>
  <c r="C151" i="21"/>
  <c r="C274" i="21" s="1"/>
  <c r="C259" i="21"/>
  <c r="C261" i="21"/>
  <c r="D17" i="33"/>
  <c r="D250" i="24"/>
  <c r="C47" i="24" s="1"/>
  <c r="D19" i="37" s="1"/>
  <c r="G189" i="24"/>
  <c r="G250" i="24" s="1"/>
  <c r="G114" i="25"/>
  <c r="H114" i="25" s="1"/>
  <c r="C76" i="21"/>
  <c r="F73" i="21"/>
  <c r="I231" i="21"/>
  <c r="I239" i="21"/>
  <c r="E59" i="22"/>
  <c r="E73" i="22" s="1"/>
  <c r="H115" i="25"/>
  <c r="C260" i="21"/>
  <c r="D18" i="33"/>
  <c r="G248" i="24"/>
  <c r="K205" i="24"/>
  <c r="I205" i="24"/>
  <c r="M212" i="24"/>
  <c r="I237" i="24"/>
  <c r="G237" i="24"/>
  <c r="J237" i="24" s="1"/>
  <c r="M237" i="24" s="1"/>
  <c r="I193" i="21"/>
  <c r="I200" i="21"/>
  <c r="C150" i="23"/>
  <c r="G219" i="24"/>
  <c r="J219" i="24" s="1"/>
  <c r="M219" i="24" s="1"/>
  <c r="I219" i="24"/>
  <c r="C176" i="21"/>
  <c r="C79" i="22"/>
  <c r="C134" i="22" s="1"/>
  <c r="C142" i="22" s="1"/>
  <c r="H220" i="21"/>
  <c r="G207" i="24"/>
  <c r="J207" i="24" s="1"/>
  <c r="M207" i="24" s="1"/>
  <c r="D246" i="24"/>
  <c r="C43" i="24" s="1"/>
  <c r="D15" i="37" s="1"/>
  <c r="I188" i="21"/>
  <c r="I210" i="21"/>
  <c r="C42" i="23"/>
  <c r="C80" i="27"/>
  <c r="D96" i="18"/>
  <c r="C106" i="18" s="1"/>
  <c r="F95" i="18"/>
  <c r="F96" i="18" s="1"/>
  <c r="E106" i="18" s="1"/>
  <c r="E107" i="18" s="1"/>
  <c r="E27" i="18" s="1"/>
  <c r="I204" i="24"/>
  <c r="K204" i="24"/>
  <c r="K207" i="24"/>
  <c r="I217" i="24"/>
  <c r="G113" i="25"/>
  <c r="H113" i="25" s="1"/>
  <c r="D80" i="27"/>
  <c r="D105" i="27" s="1"/>
  <c r="F105" i="27" s="1"/>
  <c r="C6" i="27" s="1"/>
  <c r="C134" i="18"/>
  <c r="K27" i="18" s="1"/>
  <c r="D17" i="35"/>
  <c r="I200" i="24"/>
  <c r="K200" i="24"/>
  <c r="I208" i="24"/>
  <c r="K208" i="24"/>
  <c r="D26" i="37"/>
  <c r="I225" i="21"/>
  <c r="D51" i="22"/>
  <c r="D58" i="22" s="1"/>
  <c r="D59" i="22" s="1"/>
  <c r="D73" i="22" s="1"/>
  <c r="D83" i="22" s="1"/>
  <c r="C151" i="23"/>
  <c r="C247" i="24"/>
  <c r="D27" i="29"/>
  <c r="D16" i="32"/>
  <c r="C36" i="19"/>
  <c r="I218" i="24"/>
  <c r="G236" i="24"/>
  <c r="J236" i="24" s="1"/>
  <c r="M236" i="24" s="1"/>
  <c r="G111" i="25"/>
  <c r="F202" i="24"/>
  <c r="F210" i="24"/>
  <c r="F203" i="24"/>
  <c r="C30" i="4" l="1"/>
  <c r="C31" i="4"/>
  <c r="G106" i="18"/>
  <c r="C107" i="18"/>
  <c r="C27" i="18" s="1"/>
  <c r="C104" i="23"/>
  <c r="C122" i="23" s="1"/>
  <c r="C54" i="16"/>
  <c r="C57" i="16" s="1"/>
  <c r="C59" i="16" s="1"/>
  <c r="C68" i="16" s="1"/>
  <c r="C222" i="8"/>
  <c r="C226" i="8" s="1"/>
  <c r="C40" i="8" s="1"/>
  <c r="C217" i="4"/>
  <c r="C220" i="4" s="1"/>
  <c r="C35" i="4" s="1"/>
  <c r="C159" i="5"/>
  <c r="C162" i="5" s="1"/>
  <c r="C35" i="5" s="1"/>
  <c r="L15" i="7"/>
  <c r="C6" i="10"/>
  <c r="I212" i="21"/>
  <c r="I199" i="21"/>
  <c r="I216" i="21"/>
  <c r="I203" i="21"/>
  <c r="I224" i="21"/>
  <c r="I211" i="21"/>
  <c r="I198" i="21"/>
  <c r="I189" i="21"/>
  <c r="I223" i="21"/>
  <c r="I219" i="21"/>
  <c r="I205" i="21"/>
  <c r="I183" i="21"/>
  <c r="I227" i="21"/>
  <c r="I187" i="21"/>
  <c r="I226" i="21"/>
  <c r="I186" i="21"/>
  <c r="I217" i="21"/>
  <c r="I204" i="21"/>
  <c r="I191" i="21"/>
  <c r="I230" i="21"/>
  <c r="I195" i="21"/>
  <c r="I208" i="21"/>
  <c r="I222" i="21"/>
  <c r="I181" i="21"/>
  <c r="I233" i="21"/>
  <c r="C212" i="13"/>
  <c r="C220" i="13" s="1"/>
  <c r="C195" i="13"/>
  <c r="G6" i="30"/>
  <c r="E248" i="15"/>
  <c r="C253" i="8"/>
  <c r="C254" i="8" s="1"/>
  <c r="I229" i="21"/>
  <c r="C94" i="5"/>
  <c r="F30" i="5"/>
  <c r="D20" i="33"/>
  <c r="C252" i="21"/>
  <c r="I220" i="21"/>
  <c r="E44" i="24"/>
  <c r="D248" i="24"/>
  <c r="C45" i="24" s="1"/>
  <c r="D17" i="37" s="1"/>
  <c r="D36" i="37" s="1"/>
  <c r="G190" i="24"/>
  <c r="D249" i="24"/>
  <c r="C46" i="24" s="1"/>
  <c r="D18" i="37" s="1"/>
  <c r="D37" i="37" s="1"/>
  <c r="I218" i="21"/>
  <c r="I197" i="21"/>
  <c r="I196" i="21"/>
  <c r="I236" i="21"/>
  <c r="I215" i="21"/>
  <c r="D16" i="30"/>
  <c r="C117" i="4"/>
  <c r="F30" i="4"/>
  <c r="C29" i="25"/>
  <c r="G116" i="25"/>
  <c r="E45" i="24"/>
  <c r="I30" i="4"/>
  <c r="D36" i="31"/>
  <c r="D39" i="31" s="1"/>
  <c r="D13" i="31" s="1"/>
  <c r="C41" i="8"/>
  <c r="D36" i="8"/>
  <c r="I185" i="21"/>
  <c r="I209" i="21"/>
  <c r="I214" i="21"/>
  <c r="D15" i="34"/>
  <c r="C168" i="23"/>
  <c r="G249" i="24"/>
  <c r="C258" i="21"/>
  <c r="I190" i="21"/>
  <c r="I221" i="21"/>
  <c r="C136" i="18"/>
  <c r="C173" i="18" s="1"/>
  <c r="I27" i="18"/>
  <c r="D15" i="36"/>
  <c r="E30" i="25"/>
  <c r="C95" i="5"/>
  <c r="H30" i="5" s="1"/>
  <c r="C92" i="6"/>
  <c r="C11" i="11"/>
  <c r="C6" i="11"/>
  <c r="U15" i="7" s="1"/>
  <c r="D15" i="32"/>
  <c r="D18" i="32" s="1"/>
  <c r="D26" i="32" s="1"/>
  <c r="C42" i="19"/>
  <c r="C11" i="19" s="1"/>
  <c r="C6" i="19" s="1"/>
  <c r="I235" i="21"/>
  <c r="C112" i="22"/>
  <c r="C141" i="22" s="1"/>
  <c r="I213" i="21"/>
  <c r="G6" i="29"/>
  <c r="G7" i="29" s="1"/>
  <c r="D28" i="29"/>
  <c r="H111" i="25"/>
  <c r="H116" i="25" s="1"/>
  <c r="C134" i="25" s="1"/>
  <c r="I206" i="21"/>
  <c r="I192" i="21"/>
  <c r="I240" i="21"/>
  <c r="H241" i="21"/>
  <c r="G31" i="5"/>
  <c r="F31" i="5"/>
  <c r="C250" i="15"/>
  <c r="C91" i="5"/>
  <c r="C113" i="4"/>
  <c r="C89" i="6"/>
  <c r="D30" i="29"/>
  <c r="C31" i="5"/>
  <c r="C30" i="5"/>
  <c r="I228" i="21"/>
  <c r="C336" i="15"/>
  <c r="D249" i="15"/>
  <c r="E249" i="15" s="1"/>
  <c r="C321" i="15"/>
  <c r="D321" i="15" s="1"/>
  <c r="E321" i="15" s="1"/>
  <c r="C252" i="15"/>
  <c r="G30" i="4"/>
  <c r="D16" i="34"/>
  <c r="C169" i="23"/>
  <c r="D107" i="21"/>
  <c r="C251" i="15"/>
  <c r="C237" i="15"/>
  <c r="C242" i="8"/>
  <c r="C245" i="8" s="1"/>
  <c r="C246" i="8" s="1"/>
  <c r="C39" i="8"/>
  <c r="D320" i="15"/>
  <c r="D335" i="15"/>
  <c r="I203" i="24"/>
  <c r="K203" i="24"/>
  <c r="I210" i="24"/>
  <c r="K210" i="24"/>
  <c r="I238" i="21"/>
  <c r="K202" i="24"/>
  <c r="I202" i="24"/>
  <c r="H45" i="28"/>
  <c r="I184" i="21"/>
  <c r="I234" i="21"/>
  <c r="I182" i="21"/>
  <c r="I232" i="21"/>
  <c r="E83" i="22"/>
  <c r="F83" i="22" s="1"/>
  <c r="C140" i="22" s="1"/>
  <c r="C143" i="22" s="1"/>
  <c r="C11" i="22" s="1"/>
  <c r="C6" i="22" s="1"/>
  <c r="I15" i="20" s="1"/>
  <c r="E47" i="24"/>
  <c r="I207" i="21"/>
  <c r="E31" i="4"/>
  <c r="D249" i="8" l="1"/>
  <c r="C18" i="8"/>
  <c r="C277" i="24"/>
  <c r="E277" i="24" s="1"/>
  <c r="C339" i="15"/>
  <c r="D112" i="6"/>
  <c r="H112" i="6" s="1"/>
  <c r="J115" i="6" s="1"/>
  <c r="I250" i="15"/>
  <c r="D25" i="37"/>
  <c r="J30" i="5"/>
  <c r="D336" i="15"/>
  <c r="D32" i="36"/>
  <c r="D31" i="36"/>
  <c r="G30" i="5"/>
  <c r="G32" i="5" s="1"/>
  <c r="E252" i="15"/>
  <c r="C155" i="23"/>
  <c r="C123" i="23"/>
  <c r="G6" i="32"/>
  <c r="H249" i="24"/>
  <c r="E46" i="24"/>
  <c r="D41" i="31"/>
  <c r="D40" i="8"/>
  <c r="E41" i="31" s="1"/>
  <c r="I31" i="5"/>
  <c r="D353" i="15"/>
  <c r="E335" i="15"/>
  <c r="J31" i="5"/>
  <c r="D31" i="18"/>
  <c r="N27" i="18"/>
  <c r="K30" i="5"/>
  <c r="H27" i="18"/>
  <c r="C31" i="18"/>
  <c r="E36" i="31"/>
  <c r="G251" i="24"/>
  <c r="C324" i="15"/>
  <c r="D27" i="33"/>
  <c r="C250" i="21"/>
  <c r="I241" i="21"/>
  <c r="C273" i="21" s="1"/>
  <c r="G107" i="18"/>
  <c r="C172" i="18" s="1"/>
  <c r="C174" i="18" s="1"/>
  <c r="C11" i="18" s="1"/>
  <c r="C6" i="18" s="1"/>
  <c r="D15" i="35"/>
  <c r="C96" i="21"/>
  <c r="C97" i="21" s="1"/>
  <c r="D22" i="33"/>
  <c r="C6" i="36"/>
  <c r="C13" i="25"/>
  <c r="C6" i="25" s="1"/>
  <c r="E18" i="2" s="1"/>
  <c r="C140" i="4"/>
  <c r="C139" i="4"/>
  <c r="C174" i="4" s="1"/>
  <c r="C138" i="4"/>
  <c r="C172" i="4" s="1"/>
  <c r="C137" i="4"/>
  <c r="C173" i="4" s="1"/>
  <c r="C338" i="15"/>
  <c r="D251" i="15"/>
  <c r="E251" i="15" s="1"/>
  <c r="C323" i="15"/>
  <c r="D323" i="15" s="1"/>
  <c r="E323" i="15" s="1"/>
  <c r="C6" i="30"/>
  <c r="G7" i="30" s="1"/>
  <c r="D28" i="30"/>
  <c r="C93" i="6"/>
  <c r="D29" i="6" s="1"/>
  <c r="E320" i="15"/>
  <c r="C337" i="15"/>
  <c r="D337" i="15" s="1"/>
  <c r="C322" i="15"/>
  <c r="D322" i="15" s="1"/>
  <c r="E322" i="15" s="1"/>
  <c r="D250" i="15"/>
  <c r="E250" i="15" s="1"/>
  <c r="D26" i="30"/>
  <c r="D38" i="37"/>
  <c r="C12" i="13"/>
  <c r="C6" i="13" s="1"/>
  <c r="O15" i="7" s="1"/>
  <c r="C30" i="13"/>
  <c r="C114" i="5"/>
  <c r="C113" i="5"/>
  <c r="C116" i="5"/>
  <c r="C115" i="5"/>
  <c r="H31" i="5"/>
  <c r="H32" i="5" s="1"/>
  <c r="F32" i="5"/>
  <c r="D40" i="31"/>
  <c r="D39" i="8"/>
  <c r="E40" i="31" s="1"/>
  <c r="K31" i="5"/>
  <c r="D20" i="32"/>
  <c r="D27" i="32" s="1"/>
  <c r="C6" i="32"/>
  <c r="E12" i="2"/>
  <c r="D33" i="6"/>
  <c r="D14" i="36"/>
  <c r="D20" i="36" s="1"/>
  <c r="E29" i="25"/>
  <c r="I30" i="5"/>
  <c r="I32" i="5" s="1"/>
  <c r="C6" i="35" l="1"/>
  <c r="E11" i="2"/>
  <c r="E32" i="6"/>
  <c r="D34" i="6"/>
  <c r="E353" i="15"/>
  <c r="F335" i="15"/>
  <c r="D339" i="15"/>
  <c r="E339" i="15" s="1"/>
  <c r="F339" i="15" s="1"/>
  <c r="G339" i="15" s="1"/>
  <c r="H339" i="15" s="1"/>
  <c r="I339" i="15" s="1"/>
  <c r="J339" i="15" s="1"/>
  <c r="K339" i="15" s="1"/>
  <c r="L339" i="15" s="1"/>
  <c r="M339" i="15" s="1"/>
  <c r="N339" i="15" s="1"/>
  <c r="O339" i="15" s="1"/>
  <c r="P339" i="15" s="1"/>
  <c r="Q339" i="15" s="1"/>
  <c r="R339" i="15" s="1"/>
  <c r="S339" i="15" s="1"/>
  <c r="T339" i="15" s="1"/>
  <c r="U339" i="15" s="1"/>
  <c r="V339" i="15" s="1"/>
  <c r="W339" i="15" s="1"/>
  <c r="X339" i="15" s="1"/>
  <c r="Y339" i="15" s="1"/>
  <c r="Z339" i="15" s="1"/>
  <c r="AA339" i="15" s="1"/>
  <c r="AB339" i="15" s="1"/>
  <c r="AC339" i="15" s="1"/>
  <c r="AD339" i="15" s="1"/>
  <c r="AE339" i="15" s="1"/>
  <c r="AF339" i="15" s="1"/>
  <c r="AG339" i="15" s="1"/>
  <c r="AH339" i="15" s="1"/>
  <c r="D46" i="28"/>
  <c r="E34" i="4"/>
  <c r="E29" i="4"/>
  <c r="E33" i="4"/>
  <c r="C190" i="4"/>
  <c r="E32" i="4"/>
  <c r="G29" i="6"/>
  <c r="G32" i="6"/>
  <c r="G34" i="6"/>
  <c r="G31" i="6"/>
  <c r="G33" i="6"/>
  <c r="G30" i="6"/>
  <c r="C129" i="5"/>
  <c r="E34" i="6"/>
  <c r="D252" i="15"/>
  <c r="C258" i="24"/>
  <c r="C31" i="24" s="1"/>
  <c r="C34" i="24" s="1"/>
  <c r="C13" i="24" s="1"/>
  <c r="C6" i="24" s="1"/>
  <c r="H246" i="24"/>
  <c r="H250" i="24"/>
  <c r="H247" i="24"/>
  <c r="H248" i="24"/>
  <c r="K32" i="5"/>
  <c r="G7" i="32"/>
  <c r="D33" i="36"/>
  <c r="D30" i="6"/>
  <c r="D35" i="6" s="1"/>
  <c r="D21" i="35"/>
  <c r="D29" i="35"/>
  <c r="D355" i="15"/>
  <c r="E337" i="15"/>
  <c r="D354" i="15"/>
  <c r="E336" i="15"/>
  <c r="I15" i="7"/>
  <c r="C15" i="7" s="1"/>
  <c r="C6" i="7" s="1"/>
  <c r="E9" i="2" s="1"/>
  <c r="C6" i="8"/>
  <c r="D24" i="33"/>
  <c r="D28" i="33" s="1"/>
  <c r="D40" i="33" s="1"/>
  <c r="C107" i="21"/>
  <c r="C248" i="21"/>
  <c r="G46" i="28"/>
  <c r="G47" i="28" s="1"/>
  <c r="D19" i="28" s="1"/>
  <c r="H21" i="28" s="1"/>
  <c r="F32" i="4"/>
  <c r="F34" i="4"/>
  <c r="F29" i="4"/>
  <c r="C197" i="4"/>
  <c r="C198" i="4" s="1"/>
  <c r="F33" i="4"/>
  <c r="D27" i="37"/>
  <c r="D28" i="37" s="1"/>
  <c r="C33" i="24"/>
  <c r="E42" i="31"/>
  <c r="E324" i="15"/>
  <c r="D338" i="15"/>
  <c r="D41" i="8"/>
  <c r="J32" i="5"/>
  <c r="D99" i="6"/>
  <c r="K99" i="6" s="1"/>
  <c r="D102" i="6"/>
  <c r="K102" i="6" s="1"/>
  <c r="D98" i="6"/>
  <c r="K98" i="6" s="1"/>
  <c r="K104" i="6" s="1"/>
  <c r="K105" i="6" s="1"/>
  <c r="C119" i="6" s="1"/>
  <c r="D100" i="6"/>
  <c r="K100" i="6" s="1"/>
  <c r="D101" i="6"/>
  <c r="K101" i="6" s="1"/>
  <c r="E30" i="6"/>
  <c r="E31" i="6"/>
  <c r="D31" i="6"/>
  <c r="E29" i="6"/>
  <c r="E33" i="6"/>
  <c r="D32" i="6"/>
  <c r="D42" i="31"/>
  <c r="D14" i="31" s="1"/>
  <c r="D324" i="15"/>
  <c r="E46" i="28"/>
  <c r="E47" i="28" s="1"/>
  <c r="D18" i="28" s="1"/>
  <c r="H19" i="28" s="1"/>
  <c r="D33" i="4"/>
  <c r="D34" i="4"/>
  <c r="D29" i="4"/>
  <c r="C191" i="4"/>
  <c r="D32" i="4"/>
  <c r="E39" i="31"/>
  <c r="D19" i="34"/>
  <c r="D20" i="34" s="1"/>
  <c r="C173" i="23"/>
  <c r="C174" i="23" s="1"/>
  <c r="C13" i="23" s="1"/>
  <c r="C156" i="23"/>
  <c r="C114" i="21" l="1"/>
  <c r="C116" i="21"/>
  <c r="C115" i="21"/>
  <c r="G6" i="33"/>
  <c r="F46" i="28"/>
  <c r="C139" i="5"/>
  <c r="C144" i="5" s="1"/>
  <c r="C200" i="4"/>
  <c r="C201" i="4" s="1"/>
  <c r="H34" i="4"/>
  <c r="H32" i="4"/>
  <c r="H33" i="4"/>
  <c r="H29" i="4"/>
  <c r="D32" i="34"/>
  <c r="D22" i="34"/>
  <c r="I32" i="4"/>
  <c r="I33" i="4"/>
  <c r="I29" i="4"/>
  <c r="I34" i="4"/>
  <c r="C6" i="34"/>
  <c r="C6" i="23"/>
  <c r="E13" i="2" s="1"/>
  <c r="F36" i="4"/>
  <c r="G6" i="35"/>
  <c r="G7" i="35" s="1"/>
  <c r="D30" i="35"/>
  <c r="E354" i="15"/>
  <c r="F336" i="15"/>
  <c r="D41" i="37"/>
  <c r="C121" i="6"/>
  <c r="F34" i="6"/>
  <c r="F29" i="6"/>
  <c r="F35" i="6" s="1"/>
  <c r="F33" i="6"/>
  <c r="F31" i="6"/>
  <c r="F30" i="6"/>
  <c r="F32" i="6"/>
  <c r="H46" i="28"/>
  <c r="H47" i="28" s="1"/>
  <c r="D47" i="28"/>
  <c r="D17" i="28" s="1"/>
  <c r="H20" i="28" s="1"/>
  <c r="D356" i="15"/>
  <c r="E338" i="15"/>
  <c r="E36" i="4"/>
  <c r="C6" i="37"/>
  <c r="E15" i="2"/>
  <c r="D27" i="31"/>
  <c r="D18" i="31"/>
  <c r="C6" i="31" s="1"/>
  <c r="G33" i="4"/>
  <c r="G34" i="4"/>
  <c r="G29" i="4"/>
  <c r="G32" i="4"/>
  <c r="E355" i="15"/>
  <c r="F337" i="15"/>
  <c r="D36" i="4"/>
  <c r="E35" i="6"/>
  <c r="C247" i="21"/>
  <c r="C262" i="21"/>
  <c r="C264" i="21"/>
  <c r="G6" i="36"/>
  <c r="D34" i="36"/>
  <c r="G7" i="36" s="1"/>
  <c r="G35" i="6"/>
  <c r="F353" i="15"/>
  <c r="G335" i="15"/>
  <c r="C34" i="4" l="1"/>
  <c r="C29" i="4"/>
  <c r="C33" i="4"/>
  <c r="C224" i="4"/>
  <c r="C11" i="4" s="1"/>
  <c r="C6" i="4" s="1"/>
  <c r="C32" i="4"/>
  <c r="G36" i="4"/>
  <c r="C33" i="6"/>
  <c r="C32" i="6"/>
  <c r="C11" i="6"/>
  <c r="C6" i="6" s="1"/>
  <c r="E6" i="2" s="1"/>
  <c r="C31" i="6"/>
  <c r="C34" i="6"/>
  <c r="C29" i="6"/>
  <c r="C35" i="6" s="1"/>
  <c r="C30" i="6"/>
  <c r="D33" i="34"/>
  <c r="G6" i="34"/>
  <c r="G7" i="34" s="1"/>
  <c r="C167" i="5"/>
  <c r="C11" i="5" s="1"/>
  <c r="C6" i="5" s="1"/>
  <c r="E7" i="2" s="1"/>
  <c r="C29" i="5"/>
  <c r="C36" i="5" s="1"/>
  <c r="C34" i="5"/>
  <c r="C33" i="5"/>
  <c r="C32" i="5"/>
  <c r="F47" i="28"/>
  <c r="D16" i="28"/>
  <c r="G353" i="15"/>
  <c r="H335" i="15"/>
  <c r="D42" i="37"/>
  <c r="G6" i="37"/>
  <c r="G7" i="37" s="1"/>
  <c r="H36" i="4"/>
  <c r="F354" i="15"/>
  <c r="G336" i="15"/>
  <c r="I36" i="4"/>
  <c r="E356" i="15"/>
  <c r="E357" i="15" s="1"/>
  <c r="F338" i="15"/>
  <c r="F355" i="15"/>
  <c r="G337" i="15"/>
  <c r="D28" i="31"/>
  <c r="G6" i="31"/>
  <c r="G7" i="31" s="1"/>
  <c r="D357" i="15"/>
  <c r="C117" i="21"/>
  <c r="C272" i="21" s="1"/>
  <c r="C275" i="21" s="1"/>
  <c r="C12" i="21" s="1"/>
  <c r="F356" i="15" l="1"/>
  <c r="F357" i="15" s="1"/>
  <c r="G338" i="15"/>
  <c r="I335" i="15"/>
  <c r="H353" i="15"/>
  <c r="C6" i="28"/>
  <c r="D24" i="28" s="1"/>
  <c r="E5" i="2"/>
  <c r="G354" i="15"/>
  <c r="H336" i="15"/>
  <c r="D30" i="33"/>
  <c r="D31" i="33" s="1"/>
  <c r="D41" i="33" s="1"/>
  <c r="C6" i="21"/>
  <c r="F15" i="20" s="1"/>
  <c r="C15" i="20" s="1"/>
  <c r="C6" i="20" s="1"/>
  <c r="C36" i="4"/>
  <c r="H22" i="28"/>
  <c r="D15" i="28"/>
  <c r="D32" i="28" s="1"/>
  <c r="F37" i="31"/>
  <c r="F38" i="31"/>
  <c r="F40" i="31"/>
  <c r="F36" i="31"/>
  <c r="F41" i="31"/>
  <c r="F42" i="31"/>
  <c r="G355" i="15"/>
  <c r="H337" i="15"/>
  <c r="C6" i="33" l="1"/>
  <c r="G7" i="33" s="1"/>
  <c r="E10" i="2"/>
  <c r="H23" i="28"/>
  <c r="J335" i="15"/>
  <c r="I353" i="15"/>
  <c r="H354" i="15"/>
  <c r="I336" i="15"/>
  <c r="G356" i="15"/>
  <c r="H338" i="15"/>
  <c r="I337" i="15"/>
  <c r="H355" i="15"/>
  <c r="D36" i="28"/>
  <c r="D34" i="28"/>
  <c r="D33" i="28"/>
  <c r="D37" i="28" s="1"/>
  <c r="D35" i="28"/>
  <c r="G357" i="15"/>
  <c r="J353" i="15" l="1"/>
  <c r="K335" i="15"/>
  <c r="D38" i="28"/>
  <c r="D39" i="28"/>
  <c r="G7" i="28" s="1"/>
  <c r="G6" i="28"/>
  <c r="J337" i="15"/>
  <c r="I355" i="15"/>
  <c r="I19" i="28"/>
  <c r="I21" i="28"/>
  <c r="I20" i="28"/>
  <c r="H356" i="15"/>
  <c r="I338" i="15"/>
  <c r="I22" i="28"/>
  <c r="I354" i="15"/>
  <c r="J336" i="15"/>
  <c r="J355" i="15" l="1"/>
  <c r="K337" i="15"/>
  <c r="I356" i="15"/>
  <c r="I357" i="15" s="1"/>
  <c r="J338" i="15"/>
  <c r="H357" i="15"/>
  <c r="I23" i="28"/>
  <c r="K353" i="15"/>
  <c r="L335" i="15"/>
  <c r="J354" i="15"/>
  <c r="K336" i="15"/>
  <c r="J357" i="15" l="1"/>
  <c r="K355" i="15"/>
  <c r="L337" i="15"/>
  <c r="J356" i="15"/>
  <c r="K338" i="15"/>
  <c r="K354" i="15"/>
  <c r="L336" i="15"/>
  <c r="L353" i="15"/>
  <c r="M335" i="15"/>
  <c r="L354" i="15" l="1"/>
  <c r="M336" i="15"/>
  <c r="K356" i="15"/>
  <c r="K357" i="15" s="1"/>
  <c r="L338" i="15"/>
  <c r="L355" i="15"/>
  <c r="M337" i="15"/>
  <c r="N335" i="15"/>
  <c r="M353" i="15"/>
  <c r="N337" i="15" l="1"/>
  <c r="M355" i="15"/>
  <c r="N336" i="15"/>
  <c r="M354" i="15"/>
  <c r="N353" i="15"/>
  <c r="O335" i="15"/>
  <c r="L356" i="15"/>
  <c r="L357" i="15" s="1"/>
  <c r="M338" i="15"/>
  <c r="O353" i="15" l="1"/>
  <c r="P335" i="15"/>
  <c r="N338" i="15"/>
  <c r="M356" i="15"/>
  <c r="M357" i="15" s="1"/>
  <c r="N354" i="15"/>
  <c r="O336" i="15"/>
  <c r="N355" i="15"/>
  <c r="O337" i="15"/>
  <c r="O354" i="15" l="1"/>
  <c r="P336" i="15"/>
  <c r="N356" i="15"/>
  <c r="N357" i="15" s="1"/>
  <c r="O338" i="15"/>
  <c r="P353" i="15"/>
  <c r="Q335" i="15"/>
  <c r="O355" i="15"/>
  <c r="P337" i="15"/>
  <c r="P354" i="15" l="1"/>
  <c r="Q336" i="15"/>
  <c r="Q353" i="15"/>
  <c r="R335" i="15"/>
  <c r="O356" i="15"/>
  <c r="O357" i="15" s="1"/>
  <c r="P338" i="15"/>
  <c r="P355" i="15"/>
  <c r="Q337" i="15"/>
  <c r="P356" i="15" l="1"/>
  <c r="P357" i="15" s="1"/>
  <c r="Q338" i="15"/>
  <c r="R353" i="15"/>
  <c r="S335" i="15"/>
  <c r="R336" i="15"/>
  <c r="Q354" i="15"/>
  <c r="Q355" i="15"/>
  <c r="R337" i="15"/>
  <c r="R354" i="15" l="1"/>
  <c r="S336" i="15"/>
  <c r="R338" i="15"/>
  <c r="Q356" i="15"/>
  <c r="Q357" i="15" s="1"/>
  <c r="S353" i="15"/>
  <c r="T335" i="15"/>
  <c r="R355" i="15"/>
  <c r="S337" i="15"/>
  <c r="T353" i="15" l="1"/>
  <c r="U335" i="15"/>
  <c r="R356" i="15"/>
  <c r="R357" i="15" s="1"/>
  <c r="S338" i="15"/>
  <c r="S354" i="15"/>
  <c r="T336" i="15"/>
  <c r="S355" i="15"/>
  <c r="T337" i="15"/>
  <c r="T354" i="15" l="1"/>
  <c r="U336" i="15"/>
  <c r="S356" i="15"/>
  <c r="S357" i="15" s="1"/>
  <c r="T338" i="15"/>
  <c r="U353" i="15"/>
  <c r="V335" i="15"/>
  <c r="T355" i="15"/>
  <c r="U337" i="15"/>
  <c r="V353" i="15" l="1"/>
  <c r="W335" i="15"/>
  <c r="T356" i="15"/>
  <c r="T357" i="15" s="1"/>
  <c r="U338" i="15"/>
  <c r="V336" i="15"/>
  <c r="U354" i="15"/>
  <c r="U355" i="15"/>
  <c r="V337" i="15"/>
  <c r="W353" i="15" l="1"/>
  <c r="X335" i="15"/>
  <c r="V338" i="15"/>
  <c r="U356" i="15"/>
  <c r="U357" i="15" s="1"/>
  <c r="V354" i="15"/>
  <c r="W336" i="15"/>
  <c r="V355" i="15"/>
  <c r="W337" i="15"/>
  <c r="W355" i="15" l="1"/>
  <c r="X337" i="15"/>
  <c r="V356" i="15"/>
  <c r="V357" i="15" s="1"/>
  <c r="W338" i="15"/>
  <c r="W354" i="15"/>
  <c r="X336" i="15"/>
  <c r="Y335" i="15"/>
  <c r="X353" i="15"/>
  <c r="Y353" i="15" l="1"/>
  <c r="Z335" i="15"/>
  <c r="Y336" i="15"/>
  <c r="X354" i="15"/>
  <c r="W356" i="15"/>
  <c r="W357" i="15" s="1"/>
  <c r="X338" i="15"/>
  <c r="Y337" i="15"/>
  <c r="X355" i="15"/>
  <c r="X357" i="15" l="1"/>
  <c r="Y338" i="15"/>
  <c r="X356" i="15"/>
  <c r="Y355" i="15"/>
  <c r="Z337" i="15"/>
  <c r="Z336" i="15"/>
  <c r="Y354" i="15"/>
  <c r="Z353" i="15"/>
  <c r="AA335" i="15"/>
  <c r="Z354" i="15" l="1"/>
  <c r="AA336" i="15"/>
  <c r="Z355" i="15"/>
  <c r="AA337" i="15"/>
  <c r="AA353" i="15"/>
  <c r="AB335" i="15"/>
  <c r="Z338" i="15"/>
  <c r="Y356" i="15"/>
  <c r="Y357" i="15" s="1"/>
  <c r="AB353" i="15" l="1"/>
  <c r="AC335" i="15"/>
  <c r="AA355" i="15"/>
  <c r="AB337" i="15"/>
  <c r="AA354" i="15"/>
  <c r="AB336" i="15"/>
  <c r="Z356" i="15"/>
  <c r="Z357" i="15" s="1"/>
  <c r="AA338" i="15"/>
  <c r="AB354" i="15" l="1"/>
  <c r="AC336" i="15"/>
  <c r="AB355" i="15"/>
  <c r="AC337" i="15"/>
  <c r="AC353" i="15"/>
  <c r="AD335" i="15"/>
  <c r="AA356" i="15"/>
  <c r="AA357" i="15" s="1"/>
  <c r="AB338" i="15"/>
  <c r="AD353" i="15" l="1"/>
  <c r="AE335" i="15"/>
  <c r="AC355" i="15"/>
  <c r="AD337" i="15"/>
  <c r="AC354" i="15"/>
  <c r="AD336" i="15"/>
  <c r="AB356" i="15"/>
  <c r="AB357" i="15" s="1"/>
  <c r="AC338" i="15"/>
  <c r="AD354" i="15" l="1"/>
  <c r="AE336" i="15"/>
  <c r="AD355" i="15"/>
  <c r="AE337" i="15"/>
  <c r="AE353" i="15"/>
  <c r="AF335" i="15"/>
  <c r="AC356" i="15"/>
  <c r="AC357" i="15" s="1"/>
  <c r="AD338" i="15"/>
  <c r="AD356" i="15" l="1"/>
  <c r="AD357" i="15" s="1"/>
  <c r="AE338" i="15"/>
  <c r="AG335" i="15"/>
  <c r="AF353" i="15"/>
  <c r="AE355" i="15"/>
  <c r="AF337" i="15"/>
  <c r="AE354" i="15"/>
  <c r="AF336" i="15"/>
  <c r="AG337" i="15" l="1"/>
  <c r="AF355" i="15"/>
  <c r="AH335" i="15"/>
  <c r="AG353" i="15"/>
  <c r="AE356" i="15"/>
  <c r="AE357" i="15" s="1"/>
  <c r="AF338" i="15"/>
  <c r="AF354" i="15"/>
  <c r="AG336" i="15"/>
  <c r="AF357" i="15" l="1"/>
  <c r="AF356" i="15"/>
  <c r="AG338" i="15"/>
  <c r="AH353" i="15"/>
  <c r="H348" i="15"/>
  <c r="AH336" i="15"/>
  <c r="AH354" i="15" s="1"/>
  <c r="AG354" i="15"/>
  <c r="AH337" i="15"/>
  <c r="AH355" i="15" s="1"/>
  <c r="AG355" i="15"/>
  <c r="C354" i="15" l="1"/>
  <c r="C363" i="15" s="1"/>
  <c r="D363" i="15" s="1"/>
  <c r="E363" i="15" s="1"/>
  <c r="C375" i="15" s="1"/>
  <c r="AG356" i="15"/>
  <c r="AG357" i="15" s="1"/>
  <c r="AH338" i="15"/>
  <c r="AH356" i="15" s="1"/>
  <c r="C356" i="15" s="1"/>
  <c r="C365" i="15" s="1"/>
  <c r="D365" i="15" s="1"/>
  <c r="E365" i="15" s="1"/>
  <c r="C377" i="15" s="1"/>
  <c r="C355" i="15"/>
  <c r="C364" i="15" s="1"/>
  <c r="D364" i="15" s="1"/>
  <c r="E364" i="15" s="1"/>
  <c r="C376" i="15" s="1"/>
  <c r="AH357" i="15"/>
  <c r="C353" i="15"/>
  <c r="B39" i="16" l="1"/>
  <c r="D39" i="16" s="1"/>
  <c r="C65" i="16" s="1"/>
  <c r="B40" i="17"/>
  <c r="D40" i="17" s="1"/>
  <c r="C46" i="17" s="1"/>
  <c r="C362" i="15"/>
  <c r="D362" i="15" s="1"/>
  <c r="C357" i="15"/>
  <c r="C366" i="15" s="1"/>
  <c r="H349" i="15"/>
  <c r="J349" i="15" s="1"/>
  <c r="B34" i="17"/>
  <c r="D34" i="17" s="1"/>
  <c r="C47" i="17" s="1"/>
  <c r="B34" i="16"/>
  <c r="D34" i="16" s="1"/>
  <c r="C66" i="16" s="1"/>
  <c r="D366" i="15" l="1"/>
  <c r="E362" i="15"/>
  <c r="C374" i="15" l="1"/>
  <c r="E366" i="15"/>
  <c r="C378" i="15" l="1"/>
  <c r="C11" i="15" s="1"/>
  <c r="B28" i="17"/>
  <c r="D28" i="17" s="1"/>
  <c r="C48" i="17" s="1"/>
  <c r="C49" i="17" s="1"/>
  <c r="C11" i="17" s="1"/>
  <c r="B28" i="16"/>
  <c r="D28" i="16" s="1"/>
  <c r="C67" i="16" s="1"/>
  <c r="C69" i="16" s="1"/>
  <c r="C11" i="16" s="1"/>
  <c r="C6" i="16" l="1"/>
  <c r="I15" i="14"/>
  <c r="C6" i="17"/>
  <c r="L15" i="14"/>
  <c r="F15" i="14"/>
  <c r="C15" i="14" s="1"/>
  <c r="C6" i="14" s="1"/>
  <c r="E14" i="2" s="1"/>
  <c r="C6" i="15"/>
  <c r="E28" i="2" l="1"/>
  <c r="G21" i="2" l="1"/>
  <c r="G19" i="2"/>
  <c r="G26" i="2"/>
  <c r="G20" i="2"/>
  <c r="G27" i="2"/>
  <c r="G22" i="2"/>
  <c r="G25" i="2"/>
  <c r="G24" i="2"/>
  <c r="G23" i="2"/>
  <c r="G8" i="2"/>
  <c r="G17" i="2"/>
  <c r="G16" i="2"/>
  <c r="G12" i="2"/>
  <c r="G18" i="2"/>
  <c r="G11" i="2"/>
  <c r="G9" i="2"/>
  <c r="G13" i="2"/>
  <c r="G15" i="2"/>
  <c r="G6" i="2"/>
  <c r="G7" i="2"/>
  <c r="G5" i="2"/>
  <c r="G10" i="2"/>
  <c r="G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tc={00100068-0037-4AE1-ADA0-00A200C50051}</author>
  </authors>
  <commentList>
    <comment ref="F7" authorId="0" shapeId="0" xr:uid="{00100068-0037-4AE1-ADA0-00A200C50051}">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tc={00C2007F-00FE-4275-9050-006300EA0067}</author>
  </authors>
  <commentList>
    <comment ref="F7" authorId="0" shapeId="0" xr:uid="{00C2007F-00FE-4275-9050-006300EA0067}">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tc={5F608451-1996-AC40-BA2A-BE2EC32D7B87}</author>
  </authors>
  <commentList>
    <comment ref="F7" authorId="0" shapeId="0" xr:uid="{5F608451-1996-AC40-BA2A-BE2EC32D7B87}">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tc={00920002-00E0-422B-B4B3-00750065002C}</author>
  </authors>
  <commentList>
    <comment ref="F7" authorId="0" shapeId="0" xr:uid="{00920002-00E0-422B-B4B3-00750065002C}">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tc={00FC0002-0083-4464-AC07-0003006500CB}</author>
  </authors>
  <commentList>
    <comment ref="F7" authorId="0" shapeId="0" xr:uid="{00FC0002-0083-4464-AC07-0003006500CB}">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tc={007200FE-002F-4421-B2E4-005D00C20024}</author>
  </authors>
  <commentList>
    <comment ref="F7" authorId="0" shapeId="0" xr:uid="{007200FE-002F-4421-B2E4-005D00C20024}">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tc={00890019-0032-47BE-8F3D-002F00DE005C}</author>
  </authors>
  <commentList>
    <comment ref="F7" authorId="0" shapeId="0" xr:uid="{00890019-0032-47BE-8F3D-002F00DE005C}">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tc={00B90095-00D7-4822-A6CC-00BE00F0004D}</author>
  </authors>
  <commentList>
    <comment ref="F7" authorId="0" shapeId="0" xr:uid="{00B90095-00D7-4822-A6CC-00BE00F0004D}">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tc={00B70056-00AC-4329-B3AF-00B5005E00F3}</author>
  </authors>
  <commentList>
    <comment ref="F7" authorId="0" shapeId="0" xr:uid="{00B70056-00AC-4329-B3AF-00B5005E00F3}">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tc={00EC0059-0086-4234-A922-006500460001}</author>
  </authors>
  <commentList>
    <comment ref="F7" authorId="0" shapeId="0" xr:uid="{00EC0059-0086-4234-A922-006500460001}">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tc={000000FD-00EF-4AFF-A160-00980053001D}</author>
    <author>tc={0005009E-00BE-4C13-9AAC-0029003B00C2}</author>
  </authors>
  <commentList>
    <comment ref="F7" authorId="0" shapeId="0" xr:uid="{000000FD-00EF-4AFF-A160-00980053001D}">
      <text>
        <r>
          <rPr>
            <b/>
            <sz val="9"/>
            <rFont val="Tahoma"/>
          </rPr>
          <t>Erwan Proto:</t>
        </r>
        <r>
          <rPr>
            <sz val="9"/>
            <rFont val="Tahoma"/>
          </rPr>
          <t xml:space="preserve">
Données spécifiques / scénario optimum
(et, en italique, Scénario de collecte alternatif des données d’activité)
</t>
        </r>
      </text>
    </comment>
    <comment ref="F139" authorId="1" shapeId="0" xr:uid="{0005009E-00BE-4C13-9AAC-0029003B00C2}">
      <text>
        <r>
          <rPr>
            <b/>
            <sz val="9"/>
            <rFont val="Tahoma"/>
          </rPr>
          <t>Erwan Proto:</t>
        </r>
        <r>
          <rPr>
            <sz val="9"/>
            <rFont val="Tahoma"/>
          </rPr>
          <t xml:space="preserve">
6% dans le doc, ça ne fait pas 100%...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tc={00A00046-002F-4CB0-819E-00FE00C40003}</author>
  </authors>
  <commentList>
    <comment ref="F7" authorId="0" shapeId="0" xr:uid="{00A00046-002F-4CB0-819E-00FE00C40003}">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tc={00540056-00DF-44E9-902D-008500630035}</author>
  </authors>
  <commentList>
    <comment ref="F7" authorId="0" shapeId="0" xr:uid="{00540056-00DF-44E9-902D-008500630035}">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tc={00FD002B-0017-443A-8B4D-009A0068003F}</author>
  </authors>
  <commentList>
    <comment ref="F7" authorId="0" shapeId="0" xr:uid="{00FD002B-0017-443A-8B4D-009A0068003F}">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tc={002700D2-0074-4AF1-A84F-0076000200D2}</author>
  </authors>
  <commentList>
    <comment ref="F7" authorId="0" shapeId="0" xr:uid="{002700D2-0074-4AF1-A84F-0076000200D2}">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tc={0030006A-007F-4A13-B0E6-00E100540052}</author>
  </authors>
  <commentList>
    <comment ref="F7" authorId="0" shapeId="0" xr:uid="{0030006A-007F-4A13-B0E6-00E100540052}">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tc={00190086-00B0-43C7-97D5-008400AF004F}</author>
  </authors>
  <commentList>
    <comment ref="G34" authorId="0" shapeId="0" xr:uid="{00190086-00B0-43C7-97D5-008400AF004F}">
      <text>
        <r>
          <rPr>
            <b/>
            <sz val="9"/>
            <rFont val="Tahoma"/>
          </rPr>
          <t>Auteur:</t>
        </r>
        <r>
          <rPr>
            <sz val="9"/>
            <rFont val="Tahoma"/>
          </rPr>
          <t xml:space="preserve">
Une difficulté pour la distinction des deux types d'électricité : en fait, c'est un peu plus pour le chauffage et un peu moins pour l'élec hors chauffage, car on ne prend en compte que l'électricité des pompes à chaleur dans la catégorie chauffage et non celle des autres moyens de chauffage (effet joule). Mais on ne dispose pas des chiffres exacts pour les autres moyens de chauffage.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tc={00DF0072-000C-4331-BC3D-0055006100A8}</author>
  </authors>
  <commentList>
    <comment ref="F7" authorId="0" shapeId="0" xr:uid="{00DF0072-000C-4331-BC3D-0055006100A8}">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tc={00DF0072-000C-4332-BC3D-0055006100A8}</author>
  </authors>
  <commentList>
    <comment ref="F7" authorId="0" shapeId="0" xr:uid="{00DF0072-000C-4332-BC3D-0055006100A8}">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tc={002D0093-00E2-40E8-AA60-00AD009500E2}</author>
  </authors>
  <commentList>
    <comment ref="F7" authorId="0" shapeId="0" xr:uid="{002D0093-00E2-40E8-AA60-00AD009500E2}">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tc={0071009E-0067-4EC9-A40B-00210099004E}</author>
  </authors>
  <commentList>
    <comment ref="F7" authorId="0" shapeId="0" xr:uid="{0071009E-0067-4EC9-A40B-00210099004E}">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tc={000E009B-008A-470A-9C75-007F00A10004}</author>
  </authors>
  <commentList>
    <comment ref="F7" authorId="0" shapeId="0" xr:uid="{000E009B-008A-470A-9C75-007F00A10004}">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tc={00E200D9-00C0-45FF-BEBE-004E00F300C9}</author>
  </authors>
  <commentList>
    <comment ref="F7" authorId="0" shapeId="0" xr:uid="{00E200D9-00C0-45FF-BEBE-004E00F300C9}">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tc={006D006B-00C5-4B69-9EE0-003200870055}</author>
  </authors>
  <commentList>
    <comment ref="F7" authorId="0" shapeId="0" xr:uid="{006D006B-00C5-4B69-9EE0-003200870055}">
      <text>
        <r>
          <rPr>
            <b/>
            <sz val="9"/>
            <rFont val="Tahoma"/>
          </rPr>
          <t>Erwan Proto:</t>
        </r>
        <r>
          <rPr>
            <sz val="9"/>
            <rFont val="Tahoma"/>
          </rPr>
          <t xml:space="preserve">
Données spécifiques / scénario optimum
(et, en italique, Scénario de collecte alternatif des données d’activité)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8D8571C-6E03-43DD-AE1B-B250B702969D}" keepAlive="1" name="Requête - Table011 (Page 10)" description="Connexion à la requête « Table011 (Page 10) » dans le classeur." type="5" refreshedVersion="0" background="1">
    <dbPr connection="Provider=Microsoft.Mashup.OleDb.1;Data Source=$Workbook$;Location=&quot;Table011 (Page 10)&quot;;Extended Properties=&quot;&quot;" command="SELECT * FROM [Table011 (Page 10)]"/>
  </connection>
  <connection id="2" xr16:uid="{69CFF632-BBD2-47CB-B48B-296E517C1D70}" keepAlive="1" name="Requête - Table012 (Page 11)" description="Connexion à la requête « Table012 (Page 11) » dans le classeur." type="5" refreshedVersion="0" background="1">
    <dbPr connection="Provider=Microsoft.Mashup.OleDb.1;Data Source=$Workbook$;Location=&quot;Table012 (Page 11)&quot;;Extended Properties=&quot;&quot;" command="SELECT * FROM [Table012 (Page 11)]"/>
  </connection>
  <connection id="3" xr16:uid="{E3E3E807-4596-4AC5-8291-EECDF971C349}" keepAlive="1" name="Requête - Table013 (Page 12)" description="Connexion à la requête « Table013 (Page 12) » dans le classeur." type="5" refreshedVersion="0" background="1">
    <dbPr connection="Provider=Microsoft.Mashup.OleDb.1;Data Source=$Workbook$;Location=&quot;Table013 (Page 12)&quot;;Extended Properties=&quot;&quot;" command="SELECT * FROM [Table013 (Page 12)]"/>
  </connection>
  <connection id="4" xr16:uid="{0E161DD3-F040-4020-851B-8926DB6FC530}" keepAlive="1" name="Requête - Table014 (Page 13)" description="Connexion à la requête « Table014 (Page 13) » dans le classeur." type="5" refreshedVersion="7" background="1" saveData="1">
    <dbPr connection="Provider=Microsoft.Mashup.OleDb.1;Data Source=$Workbook$;Location=&quot;Table014 (Page 13)&quot;;Extended Properties=&quot;&quot;" command="SELECT * FROM [Table014 (Page 13)]"/>
  </connection>
  <connection id="5" xr16:uid="{D5D2C427-16ED-4ECC-A2CE-8874797E94E0}" keepAlive="1" name="Requête - Table015 (Page 14)" description="Connexion à la requête « Table015 (Page 14) » dans le classeur." type="5" refreshedVersion="7" background="1" saveData="1">
    <dbPr connection="Provider=Microsoft.Mashup.OleDb.1;Data Source=$Workbook$;Location=&quot;Table015 (Page 14)&quot;;Extended Properties=&quot;&quot;" command="SELECT * FROM [Table015 (Page 14)]"/>
  </connection>
  <connection id="6" xr16:uid="{AA072B4B-2E27-49AD-8C4C-69BC2080F725}" keepAlive="1" name="Requête - Table016 (Page 15)" description="Connexion à la requête « Table016 (Page 15) » dans le classeur." type="5" refreshedVersion="0" background="1">
    <dbPr connection="Provider=Microsoft.Mashup.OleDb.1;Data Source=$Workbook$;Location=&quot;Table016 (Page 15)&quot;;Extended Properties=&quot;&quot;" command="SELECT * FROM [Table016 (Page 15)]"/>
  </connection>
  <connection id="7" xr16:uid="{CC464611-5C75-4754-A56A-7EC92A2E35AA}" keepAlive="1" name="Requête - Table017 (Page 16)" description="Connexion à la requête « Table017 (Page 16) » dans le classeur." type="5" refreshedVersion="0" background="1">
    <dbPr connection="Provider=Microsoft.Mashup.OleDb.1;Data Source=$Workbook$;Location=&quot;Table017 (Page 16)&quot;;Extended Properties=&quot;&quot;" command="SELECT * FROM [Table017 (Page 16)]"/>
  </connection>
  <connection id="8" xr16:uid="{4F6C5D4F-373C-4547-8E90-713192515F54}" keepAlive="1" name="Requête - Table018 (Page 17)" description="Connexion à la requête « Table018 (Page 17) » dans le classeur." type="5" refreshedVersion="0" background="1">
    <dbPr connection="Provider=Microsoft.Mashup.OleDb.1;Data Source=$Workbook$;Location=&quot;Table018 (Page 17)&quot;;Extended Properties=&quot;&quot;" command="SELECT * FROM [Table018 (Page 17)]"/>
  </connection>
</connections>
</file>

<file path=xl/sharedStrings.xml><?xml version="1.0" encoding="utf-8"?>
<sst xmlns="http://schemas.openxmlformats.org/spreadsheetml/2006/main" count="4763" uniqueCount="2012">
  <si>
    <t>Informations générales:</t>
  </si>
  <si>
    <t xml:space="preserve">-Ce document excel est l'outil de calcul que le think tank The Shift Project utilise pour estimer l'empreinte carbone du secteur de la santé. Il contient les explications détaillées de nos calculs qui nous ont permis d'en déduire l'empreinte carbone du secteur de la santé.
Il contient également les explication détaillées du chiffrage des mesures </t>
  </si>
  <si>
    <r>
      <t xml:space="preserve">-Nous le partageons afin que vous puissiez prendre connaissance de notre méthode mais aussi pour que vous nous fassiez des retours. Aussi, si vous le souhaitez, vous pouvez nous renvoyer ce document avec vos commentaires écrits en rouge à l'adresse </t>
    </r>
    <r>
      <rPr>
        <b/>
        <u/>
        <sz val="11"/>
        <color rgb="FF00B0F0"/>
        <rFont val="Calibri (Corps)"/>
      </rPr>
      <t xml:space="preserve">sante@theshiftproject.org </t>
    </r>
  </si>
  <si>
    <t>-Dans le fichier que nous vous partageons, nous avons uniquement conservé les dernieres versions de calculs (celles présentées dans le rapport technique annexe au rapport "décarbonons la santé pour soigner durablement"). Il s'agit de celles qui nous semblaient les plus justes. Notez que chacune de ces versions est le résultat de plusieurs améliorations de versions antérieures. C'est pour cette raison que certaines d'entre elles sont numérotées "V1.2".</t>
  </si>
  <si>
    <r>
      <t>- A certains endroits, nous avons remplacé le contenu d'une "case" par le mot "</t>
    </r>
    <r>
      <rPr>
        <b/>
        <sz val="11"/>
        <color theme="1"/>
        <rFont val="Calibri"/>
        <scheme val="minor"/>
      </rPr>
      <t>Anonyme</t>
    </r>
    <r>
      <rPr>
        <sz val="11"/>
        <color theme="1"/>
        <rFont val="Calibri"/>
        <scheme val="minor"/>
      </rPr>
      <t>" car nous ne souhaitions pas rendre publique l'information.</t>
    </r>
  </si>
  <si>
    <t xml:space="preserve">- Nous vous invitons à prendre connaissance du rapport technique annexe au rapport "décarbonons la santé pour soigner durablement". Ce rapport vous facilitera la compréhension de cet outil de calcul. Ils sont complémentaires. </t>
  </si>
  <si>
    <r>
      <t xml:space="preserve">- Nous vous invitons à parcourir les différents onglets de ce document afin de prendre connaissance du détail de nos calculs. Vous constaterez que pour estimer l'empreinte carbone de certains postes d'émission, nous avons été obligés de faire des hypothèses et de réaliser des étapes de calculs supplémentaires. Dans la majorité des cas, ces hypothèses et ces étapes sont faites car nous ne disposions pas de la donnée nécessaire. Si vous disposez de données ou d'une méthode nous permettant d'affiner notre estimation, contactez nous à l'adresse </t>
    </r>
    <r>
      <rPr>
        <b/>
        <u/>
        <sz val="11"/>
        <color rgb="FF00B0F0"/>
        <rFont val="Calibri (Corps)"/>
      </rPr>
      <t>sante@theshiftproject.org</t>
    </r>
  </si>
  <si>
    <r>
      <rPr>
        <b/>
        <sz val="11"/>
        <color indexed="2"/>
        <rFont val="Calibri (Corps)"/>
      </rPr>
      <t>lim</t>
    </r>
    <r>
      <rPr>
        <sz val="11"/>
        <color theme="1"/>
        <rFont val="Calibri"/>
        <scheme val="minor"/>
      </rPr>
      <t xml:space="preserve">= Limites (nous expliquons à cet endroit les limites de notre calcul)
</t>
    </r>
    <r>
      <rPr>
        <b/>
        <sz val="11"/>
        <color rgb="FF7030A0"/>
        <rFont val="Calibri (Corps)"/>
      </rPr>
      <t>Hyp</t>
    </r>
    <r>
      <rPr>
        <sz val="11"/>
        <color theme="1"/>
        <rFont val="Calibri"/>
        <scheme val="minor"/>
      </rPr>
      <t>= Hypothèse (Nous détaillons à cet endroit les hypothèses faites)
BC= Bilan carbone</t>
    </r>
  </si>
  <si>
    <t>EHPA= Etablissement d'Hébergement pour Personnes Agées
ES"Handicap"= établissments d'acceuil et services pour adultes et enfants handicapés</t>
  </si>
  <si>
    <t xml:space="preserve">-Les premiers onglets présentent les détails des calculs pour estimer les émissions de chaque poste. Les derniers correspondent aux estimations des réductions des émissions de gaz à effet de serre de chaque poste considéré. </t>
  </si>
  <si>
    <t>Organisation des onglets :</t>
  </si>
  <si>
    <t>Bilan global</t>
  </si>
  <si>
    <t xml:space="preserve">Cet onglet contient la synthèse de nos estimations par poste d'émission. </t>
  </si>
  <si>
    <t>Fiche d'identité</t>
  </si>
  <si>
    <t xml:space="preserve">Cet onglet explique comment comprendre la fiche d'identité indiquée à chaque début de calcul. Pour chaque calcul nous avons une fiche de synthèse (résumé des hypothèses, des limites du calcul, des entités concidérées, etc.). </t>
  </si>
  <si>
    <t>Numéro</t>
  </si>
  <si>
    <t>Nous avons crée un onglet de calcul par poste d'émission estimé. Nous avons mis un code couleur pour chaque poste.  Si le poste n'a pas à être divisé en sous-poste, l'onglet contient directement la fiche d'identité avec les calculs. Par exemple, les émissions du poste 1 : "Sources fixes de combustion" ont directement été estimées dans l'onglet rouge "1". Dans certains cas nous avons divisé le poste en sous poste (exemple: le poste jaune 10 : "immobilsation" a été divisé en "10.bâtiments", "10.SI" et "10.Mobilier+machines+véhicules" car nous avons fait 2 calculs, un pour estimer l'empreinte carbone de l'immobilisation des véhicules et un pour l'immobilisation des machines). Dans ce cas là, cet onglet contient la synthèse des calculs des sous postes (par exemple: synthèse dans l'onglet jaune "10")</t>
  </si>
  <si>
    <t>Numéro.détail</t>
  </si>
  <si>
    <t>Comme expliqué juste au dessus, ces onglets ont été créées lorsque nous avons divisé un poste d'émission en sous-poste. Dans ces cas là, ces onglets contiennent le détail des calculs avec la fiche d'identité de la version.</t>
  </si>
  <si>
    <t>Numéro.détail_mesure</t>
  </si>
  <si>
    <t xml:space="preserve">Correspond aux détails des estimations de la réduction des émissions pour chaque poste (avec les mesures associées) </t>
  </si>
  <si>
    <t>Bilan Carbone du secteur de la Santé</t>
  </si>
  <si>
    <t>Catégorie d'émissions</t>
  </si>
  <si>
    <t>Numéro du poste</t>
  </si>
  <si>
    <t>Nom du poste</t>
  </si>
  <si>
    <t>Emissions (MtCO2e/an)</t>
  </si>
  <si>
    <t>Version poste</t>
  </si>
  <si>
    <t xml:space="preserve">Pourcentage </t>
  </si>
  <si>
    <t>Satisfaction</t>
  </si>
  <si>
    <t>Energie</t>
  </si>
  <si>
    <t>Sources fixes de combustion</t>
  </si>
  <si>
    <t>Consommation de vapeur, chaleur ou froid</t>
  </si>
  <si>
    <t>Consommation d’électricité</t>
  </si>
  <si>
    <t>Amont de l'énergie</t>
  </si>
  <si>
    <t>Achats</t>
  </si>
  <si>
    <t>Achat de produits et services</t>
  </si>
  <si>
    <t>v1.9</t>
  </si>
  <si>
    <t>Déplacements</t>
  </si>
  <si>
    <t>Transport des clients et visiteurs</t>
  </si>
  <si>
    <t>Sources mobiles de combustion</t>
  </si>
  <si>
    <t>Déplacements professionnels</t>
  </si>
  <si>
    <t>Trajets domicile-travail des employés</t>
  </si>
  <si>
    <t>Immobilisations</t>
  </si>
  <si>
    <t>V 1.9</t>
  </si>
  <si>
    <t>Incomplet</t>
  </si>
  <si>
    <t>Postes secondaires</t>
  </si>
  <si>
    <t>Emissions fugitives</t>
  </si>
  <si>
    <t>v1.a</t>
  </si>
  <si>
    <t>Transport de marchandises amont</t>
  </si>
  <si>
    <t>Transport de marchandises aval</t>
  </si>
  <si>
    <t>Déchets</t>
  </si>
  <si>
    <t>Postes non adaptés au secteur</t>
  </si>
  <si>
    <t>Procédés hors énergie</t>
  </si>
  <si>
    <t>X</t>
  </si>
  <si>
    <t>Utilisation des terres, leurs changements et la forêt (UTCF)</t>
  </si>
  <si>
    <t>Actifs en leasing amont</t>
  </si>
  <si>
    <t>Investissement</t>
  </si>
  <si>
    <t>Utilisation des produits vendus</t>
  </si>
  <si>
    <t>Fin de vie des produits vendus</t>
  </si>
  <si>
    <t>Franchises en aval</t>
  </si>
  <si>
    <t>Actif loués en aval</t>
  </si>
  <si>
    <t>Autres émissions non incluses dans les postes précédents</t>
  </si>
  <si>
    <t>TOTAL</t>
  </si>
  <si>
    <t>Indications du guide sectoriel</t>
  </si>
  <si>
    <t>Emissions totales du poste</t>
  </si>
  <si>
    <t>MtCO2e/an</t>
  </si>
  <si>
    <t>Sources potentielles</t>
  </si>
  <si>
    <t>Nous mettons ici les informations que l'ADEME donne dans son guide sectoriel : https://www.ademe.fr/sites/default/files/assets/documents/guide-sectoriel-etablissements-sanitaires-et-medico-sociaux-2020-010896.pdf</t>
  </si>
  <si>
    <t>Version</t>
  </si>
  <si>
    <t>Données spécifiques</t>
  </si>
  <si>
    <t>v1.1</t>
  </si>
  <si>
    <t>Carte d'identité de la version</t>
  </si>
  <si>
    <t>Hypothèses</t>
  </si>
  <si>
    <t>Ex. : On suppose que tous les hôpitaux sont chauffés au gaz</t>
  </si>
  <si>
    <t>Données et sources</t>
  </si>
  <si>
    <t>Données qu'on utilise et leur provenance</t>
  </si>
  <si>
    <t>Méthodologie</t>
  </si>
  <si>
    <t>Comment on fait nos calculs à partir des données et des hypothèses</t>
  </si>
  <si>
    <t>Données manquantes</t>
  </si>
  <si>
    <t>Quelles données nous manquent-t-il et sont à chercher quoi qu'il en coûte pour pouvoir faire nos calculs</t>
  </si>
  <si>
    <t>Ajouts / évolutions depuis la dernière version</t>
  </si>
  <si>
    <t>Qu'est-ce qui change depuis la dernière version</t>
  </si>
  <si>
    <t>Limites, pistes d'amélioration</t>
  </si>
  <si>
    <t>Quelles sont les limites et que faudrait-il faire pour passer au niveau supérieur</t>
  </si>
  <si>
    <t>Entités du périmètre concernées</t>
  </si>
  <si>
    <t>Est-ce que toutes les entités du périmètres sont concernés par les calculs, ou seulement une partie, par ex. seulement les hôpitaux ?</t>
  </si>
  <si>
    <t>Commentaires généraux</t>
  </si>
  <si>
    <t>Personne à l'origine de cette version</t>
  </si>
  <si>
    <t>Date</t>
  </si>
  <si>
    <t>Calculs de la v1.1 ci-dessous</t>
  </si>
  <si>
    <t>Tableau de bord du poste</t>
  </si>
  <si>
    <t>Chaudières, groupes électrogènes, fours, etc.</t>
  </si>
  <si>
    <t>Il s’agit de récupérer par type de combustible, les données annuelles de consommation à partir du suivi interne réalisé ou des factures.
(en kWh, litres ou m3)</t>
  </si>
  <si>
    <t>Numéro de version</t>
  </si>
  <si>
    <t>v1.0.f</t>
  </si>
  <si>
    <t>Emissions totales</t>
  </si>
  <si>
    <t>MtCO2e</t>
  </si>
  <si>
    <t>Satisfaction vis-à-vis de la version</t>
  </si>
  <si>
    <t>Bon ordre de grandeur</t>
  </si>
  <si>
    <r>
      <rPr>
        <b/>
        <sz val="11"/>
        <color rgb="FF7030A0"/>
        <rFont val="Calibri"/>
        <scheme val="minor"/>
      </rPr>
      <t xml:space="preserve">Hyp 1 </t>
    </r>
    <r>
      <rPr>
        <sz val="11"/>
        <color theme="1"/>
        <rFont val="Calibri"/>
        <scheme val="minor"/>
      </rPr>
      <t xml:space="preserve">: Les données du CEREN sur la division 86 sont transposables aux autres établissements de santé
</t>
    </r>
    <r>
      <rPr>
        <b/>
        <sz val="11"/>
        <color rgb="FF7030A0"/>
        <rFont val="Calibri"/>
        <scheme val="minor"/>
      </rPr>
      <t xml:space="preserve">Hyp 2 </t>
    </r>
    <r>
      <rPr>
        <sz val="11"/>
        <color theme="1"/>
        <rFont val="Calibri"/>
        <scheme val="minor"/>
      </rPr>
      <t xml:space="preserve">: On suppose que la catégorie "autres combustibles" est du bois énergie
</t>
    </r>
    <r>
      <rPr>
        <b/>
        <sz val="11"/>
        <color rgb="FF7030A0"/>
        <rFont val="Calibri (Corps)"/>
      </rPr>
      <t>Hyp 3 :</t>
    </r>
    <r>
      <rPr>
        <sz val="11"/>
        <color theme="1"/>
        <rFont val="Calibri"/>
        <scheme val="minor"/>
      </rPr>
      <t xml:space="preserve"> On suppose que la part de l'électricité dédiée à la cuisson est similaire pour les établissements de la division 86 et pour les établissements hors division 86
</t>
    </r>
    <r>
      <rPr>
        <b/>
        <sz val="11"/>
        <color rgb="FF7030A0"/>
        <rFont val="Calibri"/>
        <scheme val="minor"/>
      </rPr>
      <t xml:space="preserve">Hyp 4 </t>
    </r>
    <r>
      <rPr>
        <sz val="11"/>
        <color theme="1"/>
        <rFont val="Calibri"/>
        <scheme val="minor"/>
      </rPr>
      <t>: La consommation d'énergie par agent est similaire dans l'administration de la santé, dans l'administration publique et dans la complémentaire santé</t>
    </r>
  </si>
  <si>
    <r>
      <t xml:space="preserve">(1) CONSOMMATION ENERGETIQUE PAR ACTIVITE DU SECTEUR TERTIAIRE en 2017, 2018 et 2019, fenêtre 3, https://www.statistiques.developpement-durable.gouv.fr/consommation-denergie-par-usage-du-tertiaire
(2) </t>
    </r>
    <r>
      <rPr>
        <i/>
        <sz val="11"/>
        <color theme="1"/>
        <rFont val="Calibri"/>
        <scheme val="minor"/>
      </rPr>
      <t>Tableau-maître v8.51</t>
    </r>
    <r>
      <rPr>
        <sz val="11"/>
        <color theme="1"/>
        <rFont val="Calibri"/>
        <scheme val="minor"/>
      </rPr>
      <t>, Association Bilan Carbone
(3) Répartition des énergies renouvelables en France, https://www.statistiques.developpement-durable.gouv.fr/edition-numerique/chiffres-cles-energies-renouvelables-2021/1-les-energies-renouvelables-en-france
(4) Base carbone de l'ADEME,  https://bilans-ges.ademe.fr/fr/basecarbone/donnees-consulter/</t>
    </r>
    <r>
      <rPr>
        <sz val="11"/>
        <color theme="1"/>
        <rFont val="Calibri"/>
        <scheme val="minor"/>
      </rPr>
      <t xml:space="preserve">
(5) Décarbonons l'administration publique, https://theshiftproject.org/article/decarboner-ladministration-publique-rapport-octobre-2021/</t>
    </r>
  </si>
  <si>
    <t>Notre méthodologie se divise ici en 2 parties. 
Pour la première partie qui concerne les établissements de santé publics, privés à but lucratif et privé à but non lucratif ainsi que la médecine de ville, nous avons utilisé les données sur la consommation énergétique de de chacune de ce classes de bâtiments (données CEREN) que nous avons ensuite multipliée par le FE adapté
Pour la deuxième partie, on utilise les données de surfaces calculées poste 10 pour estimer à l'aide des données du CEREN les consommations des autres établissements de santé.</t>
  </si>
  <si>
    <t>Incertitude pour certains FE (facteurs d'émissions), notamment bois-énergie ;  pour la seconde partie on ne prend en compte que chauffage et ECS (Eau Chaude Sanitaire)</t>
  </si>
  <si>
    <t>Tout le périmètre</t>
  </si>
  <si>
    <t>Partie 0 : Synthèse des résultats</t>
  </si>
  <si>
    <t>Energie consommée en Gwh</t>
  </si>
  <si>
    <t>Emissions en Mtco2</t>
  </si>
  <si>
    <t>Empreinte carbone totale (hors électricité, hors cuisson, avec chaleur)  (MtCO2)</t>
  </si>
  <si>
    <t>Gaz</t>
  </si>
  <si>
    <t>Fioul</t>
  </si>
  <si>
    <t xml:space="preserve">Autres combustibles </t>
  </si>
  <si>
    <t>Autres combustibles</t>
  </si>
  <si>
    <t>Etablissements d'officine</t>
  </si>
  <si>
    <t>Médecine libérale (hors établissements d'officine)</t>
  </si>
  <si>
    <t>établissements hospitaliers</t>
  </si>
  <si>
    <t>établissements d'accueil pour personnes âgées</t>
  </si>
  <si>
    <t>établissements d'accueil pour enfants handicapés</t>
  </si>
  <si>
    <t>établissements d'accueil pour adultes handicapés</t>
  </si>
  <si>
    <t>Administration publique et complémentaire santé</t>
  </si>
  <si>
    <t>Total</t>
  </si>
  <si>
    <t>Partie I: Estimation de l'empreinte carbone de l'énergie hors électricité dans les établissements de santé de la division 86 CEREN</t>
  </si>
  <si>
    <t>Les activités pour la santé humaine décrites dans cette division s'exercent sous des formes variées, publiques ou privées, en pratique libérale ou en établissement, sous la responsabilité de médecins ou de personnel para médical. On ne vise pas ici les caractéristiques réglementaires des professions de santé, salariées ou libérales, mais celles des unités de production.
Cette division comprend les activités des établissements hospitaliers de court ou long séjour, publics ou privés, sous la responsabilité de médecins, qui offrent des services d'hébergement et qui assurent un diagnostic et un traitement médical aux patients.
Elle couvre les activités de pratique médicale et de pratique dentaire de nature générale ou spécialisée, correspondant à des formules de consultation, de diagnostic, de soins et de prescriptions, au cabinet du praticien.
Cette division comprend, en outre, les activités afférentes à la santé humaine qui ne sont pas dispensées dans des hôpitaux ou par des médecins, mais généralement exercées par des praticiens paramédicaux exécutant sous leur responsabilité des actes prescrits par un médecin.</t>
  </si>
  <si>
    <t xml:space="preserve">La division 86 couvre donc les établissements hospitaliers, ainsi que la médecine de ville. Elle ne comprend pas les pharmacies. </t>
  </si>
  <si>
    <t>Etape de calcul</t>
  </si>
  <si>
    <t>On ne prends pas ici en compte l'énergie destinée à la cuisson, cette énergie étant comptée dans le facteur d'émission de l'alimentation (poste 9.alimentaire)</t>
  </si>
  <si>
    <t>Énergie consommée</t>
  </si>
  <si>
    <t>Usages</t>
  </si>
  <si>
    <t>Unités</t>
  </si>
  <si>
    <t>FE</t>
  </si>
  <si>
    <t>Unité</t>
  </si>
  <si>
    <t>Source</t>
  </si>
  <si>
    <t xml:space="preserve">Empreinte carbone </t>
  </si>
  <si>
    <t xml:space="preserve">Unité </t>
  </si>
  <si>
    <t>(1)</t>
  </si>
  <si>
    <t>Estimation du facteur d'émission Bois énergie</t>
  </si>
  <si>
    <t>Gaz naturel</t>
  </si>
  <si>
    <t>Chauffage</t>
  </si>
  <si>
    <t>GWh PCS</t>
  </si>
  <si>
    <t>GWh PCI</t>
  </si>
  <si>
    <t>kgCO2e/kWh PCI</t>
  </si>
  <si>
    <t>ADEME Gaz naturel - 2015 - mix moyen - consommation, France continentale, France</t>
  </si>
  <si>
    <t>kgCO2e</t>
  </si>
  <si>
    <t>Composantes</t>
  </si>
  <si>
    <t>Pourcentage</t>
  </si>
  <si>
    <t>Facteur d'émission</t>
  </si>
  <si>
    <t>Eau chaude sanitaire</t>
  </si>
  <si>
    <t>Plaquettes forestières</t>
  </si>
  <si>
    <t>(4) Plaquettes forestières - Humides (45% humidité)</t>
  </si>
  <si>
    <t>Cuisson</t>
  </si>
  <si>
    <t>Plaquettes bocagères</t>
  </si>
  <si>
    <t>Refroidissement/climatisation</t>
  </si>
  <si>
    <t>Connexes de l'industrie du bois</t>
  </si>
  <si>
    <t>(4) Connexes transformation bois</t>
  </si>
  <si>
    <t>Autres usages</t>
  </si>
  <si>
    <t>Sous-produits agricoles et industriels</t>
  </si>
  <si>
    <t>GPL</t>
  </si>
  <si>
    <t>ADEME https://www.bilans-ges.ademe.fr/fr/basecarbone/donnees-consulter/liste-element?recherche=gpl</t>
  </si>
  <si>
    <t>Bois en fin de vie</t>
  </si>
  <si>
    <t>(4) Déchets bois - "Propres"</t>
  </si>
  <si>
    <t>bois déchet « adjuvanté »</t>
  </si>
  <si>
    <t>(4) Déchets bois - "Adjuvantés"</t>
  </si>
  <si>
    <t>Granulés et autres</t>
  </si>
  <si>
    <t>(4) Granulés - Blancs français (issus de connexe de scierie)</t>
  </si>
  <si>
    <t>Moyenne</t>
  </si>
  <si>
    <t>ADEME Fioul domestique, France continentale</t>
  </si>
  <si>
    <t>Estimation facteur d'emission "Energies renouvelables"</t>
  </si>
  <si>
    <t>Source d'énergie</t>
  </si>
  <si>
    <t>Part de la production d'énergie primaire française</t>
  </si>
  <si>
    <t>Bois énergie</t>
  </si>
  <si>
    <t>(3)</t>
  </si>
  <si>
    <t>kgCO2e/kWh</t>
  </si>
  <si>
    <t>Géothermie</t>
  </si>
  <si>
    <t>(4)</t>
  </si>
  <si>
    <t>Solaire thermique</t>
  </si>
  <si>
    <t>Énergies renouvelables</t>
  </si>
  <si>
    <t>Estimation</t>
  </si>
  <si>
    <t>Déchets renouvelables</t>
  </si>
  <si>
    <t>Biogaz</t>
  </si>
  <si>
    <t>Total (hors énergie destinée à la cuisson):</t>
  </si>
  <si>
    <t>Mtco2</t>
  </si>
  <si>
    <t>N.B. : on convertit les valeurs du tableau précédents fournies en GWh PCS en GWh PCI grâce au tableau suivant</t>
  </si>
  <si>
    <t>Combustible liquide ou gazeux</t>
  </si>
  <si>
    <t>Rapport PCS/PCI</t>
  </si>
  <si>
    <t>www.thermexcel.com160</t>
  </si>
  <si>
    <t>www.thermexcel.com</t>
  </si>
  <si>
    <t>Essence</t>
  </si>
  <si>
    <t>Extrapolation</t>
  </si>
  <si>
    <t>Diesel, fioul domestique</t>
  </si>
  <si>
    <t xml:space="preserve"> </t>
  </si>
  <si>
    <t>Fioul lourd</t>
  </si>
  <si>
    <t>Charbon</t>
  </si>
  <si>
    <t>Partie II: Estimation de l'empreinte carbone de l'énergie hors électricité dans les autres établissements couverts par notre périmètre</t>
  </si>
  <si>
    <t>Méthodo</t>
  </si>
  <si>
    <t>Dans cette partie, nous utilisons les données des surfaces des établissements d'officine, des établissements pour personnes agées et pour personnes handicapées calculées poste 10.bâtiments</t>
  </si>
  <si>
    <t>On utilise ensuite les données de CEREN pour estimer la consommation d'énergie de ces établissements.</t>
  </si>
  <si>
    <t>Type d'établissement</t>
  </si>
  <si>
    <t>Surface (en m2)</t>
  </si>
  <si>
    <t>Total division 86 CEREN</t>
  </si>
  <si>
    <t>Total santé hors secteur 86 CEREN</t>
  </si>
  <si>
    <t xml:space="preserve">On va estimer le type de chauffage par pourcentage de surface </t>
  </si>
  <si>
    <r>
      <rPr>
        <b/>
        <sz val="11"/>
        <color rgb="FF7030A0"/>
        <rFont val="Calibri (Corps)"/>
      </rPr>
      <t xml:space="preserve">Hyp1 </t>
    </r>
    <r>
      <rPr>
        <b/>
        <sz val="11"/>
        <color theme="1"/>
        <rFont val="Calibri"/>
        <scheme val="minor"/>
      </rPr>
      <t>:</t>
    </r>
    <r>
      <rPr>
        <sz val="11"/>
        <color theme="1"/>
        <rFont val="Calibri"/>
        <scheme val="minor"/>
      </rPr>
      <t xml:space="preserve"> Les données du CEREN sur la division 86 sont transposables aux autres établissements de santé</t>
    </r>
  </si>
  <si>
    <t>Évolution des surfaces totales du secteur tertiaire selon l'énergie de chauffage (en millions de m^2)</t>
  </si>
  <si>
    <t>Énergie de chauffage</t>
  </si>
  <si>
    <t>Part des surfaces</t>
  </si>
  <si>
    <t>Électricité</t>
  </si>
  <si>
    <t>Total général</t>
  </si>
  <si>
    <t>On en déduit donc la quantité de surfaces chauffées par type d'énergie pour les établissements hors division 86:</t>
  </si>
  <si>
    <t>surface m2</t>
  </si>
  <si>
    <t>On peut maintenant utiliser la consommation d'énergie par surface pour obtenir la consommation totale:</t>
  </si>
  <si>
    <t>T2 : issu du tableau-maître, onglet Utilitaires (2)</t>
  </si>
  <si>
    <t>Tertiaire chauffé au gaz, moyenne</t>
  </si>
  <si>
    <t>kWh/m2.an</t>
  </si>
  <si>
    <t>ECS</t>
  </si>
  <si>
    <t>Chauff + ECS</t>
  </si>
  <si>
    <t>Incertitude</t>
  </si>
  <si>
    <t>Autres activités de santé</t>
  </si>
  <si>
    <t>T3 : issu du tableau-maître, onglet Utilitaires (2)</t>
  </si>
  <si>
    <t>Tertiaire chauffé au fioul, moyenne</t>
  </si>
  <si>
    <t>Santé</t>
  </si>
  <si>
    <t xml:space="preserve">Estimons maintenant l'intensité energétique en kWh/m2.an de "autres combustibles" </t>
  </si>
  <si>
    <t>Pour cela nous allons utiliser les tableaux de la source CEREN:</t>
  </si>
  <si>
    <t xml:space="preserve">Consommation en "Autres combustibles" du secteur tertiaire en 2019 : </t>
  </si>
  <si>
    <t>TWh</t>
  </si>
  <si>
    <t>On peut donc, avec les données précédentes des surfaces du tertiaires utilisant "autres énergie" comme chauffage, calculer la consommation par surface pour le tertiaire:</t>
  </si>
  <si>
    <t>TWh/millions de m2.an</t>
  </si>
  <si>
    <t>Il ne nous reste plus qu'à estimer l'energie utilisée par an dans ces établissements tous les ans.</t>
  </si>
  <si>
    <t>Consommation (kWh)</t>
  </si>
  <si>
    <t>commentaires</t>
  </si>
  <si>
    <t xml:space="preserve">Pour chauffage uniquement </t>
  </si>
  <si>
    <t xml:space="preserve">Pour eau chaude sanitaire et chauffage </t>
  </si>
  <si>
    <t>Pour tous les usages</t>
  </si>
  <si>
    <r>
      <rPr>
        <b/>
        <sz val="11"/>
        <color rgb="FF7030A0"/>
        <rFont val="Calibri (Corps)"/>
      </rPr>
      <t xml:space="preserve">Hyp2 </t>
    </r>
    <r>
      <rPr>
        <b/>
        <sz val="11"/>
        <color theme="1"/>
        <rFont val="Calibri"/>
        <scheme val="minor"/>
      </rPr>
      <t>:</t>
    </r>
    <r>
      <rPr>
        <sz val="11"/>
        <color theme="1"/>
        <rFont val="Calibri"/>
        <scheme val="minor"/>
      </rPr>
      <t xml:space="preserve"> On suppose que la catégorie "autres combustibles" est du bois énergie</t>
    </r>
  </si>
  <si>
    <t>Facteurs d'émissions:</t>
  </si>
  <si>
    <t>(4) Gaz naturel - 2015 - mix moyen - consommation, France continentale, France</t>
  </si>
  <si>
    <t>(4) Fioul domestique, France continentale</t>
  </si>
  <si>
    <t>(4) Granulés bois - 8% d'humidité, France continentale</t>
  </si>
  <si>
    <t xml:space="preserve">Estimons l'empreinte carbone </t>
  </si>
  <si>
    <t>Pour les "autres combustibles", on retranche l'énergie utilisée pour la cuisson:</t>
  </si>
  <si>
    <r>
      <rPr>
        <b/>
        <sz val="11"/>
        <color rgb="FF7030A0"/>
        <rFont val="Calibri"/>
        <scheme val="minor"/>
      </rPr>
      <t xml:space="preserve">Hyp 3 </t>
    </r>
    <r>
      <rPr>
        <sz val="11"/>
        <color theme="1"/>
        <rFont val="Calibri"/>
        <scheme val="minor"/>
      </rPr>
      <t>: On suppose que la part de l'électricité dédiée à la cuisson est similaire pour les établissements de la division 86 et pour les établissements hors division 86</t>
    </r>
  </si>
  <si>
    <t>Part des énergies renouvelables dédiées à la cuisson (division 86):</t>
  </si>
  <si>
    <t>Empreinte carbone autres combustibles (tous usages) (kgCO2e)</t>
  </si>
  <si>
    <t>Empreinte carbone autres combustibles (Hors cuisson) (kgCO2)</t>
  </si>
  <si>
    <t>total:</t>
  </si>
  <si>
    <t>MtCO2</t>
  </si>
  <si>
    <t>Partie III: Emissions de l'administration publique et de la complémentaire santé</t>
  </si>
  <si>
    <t>Estimons les émissions par personnel dans l'administration  publique, à l'aide des travaux du rapport "Administration publique" du Shift Project (5)</t>
  </si>
  <si>
    <t>Emissions liées à la consommation de gaz, fioul et autres combustibles</t>
  </si>
  <si>
    <t>(5)</t>
  </si>
  <si>
    <t>Effectif pris en compte</t>
  </si>
  <si>
    <r>
      <rPr>
        <b/>
        <sz val="10"/>
        <color rgb="FF7030A0"/>
        <rFont val="Calibri Light"/>
      </rPr>
      <t>Hyp 4 :</t>
    </r>
    <r>
      <rPr>
        <sz val="10"/>
        <rFont val="Calibri Light"/>
      </rPr>
      <t xml:space="preserve"> La consommation d'énergie par agent est similaire dans l'administration de la santé, dans l'administration publique et dans la complémentaire santé</t>
    </r>
  </si>
  <si>
    <t>Le tableau suivant provient de la feuille de calcul annexe intitulée "Effectif admin &amp; comp santé"</t>
  </si>
  <si>
    <t>Effectifs</t>
  </si>
  <si>
    <t>Administration de la santé</t>
  </si>
  <si>
    <t>Complémentaire santé</t>
  </si>
  <si>
    <t>Emissions de l'administration publique et de la complémentaire santé</t>
  </si>
  <si>
    <t>Partie IV: Synthèse des calculs</t>
  </si>
  <si>
    <t>Total énergie (hors électricité, chaleur et cuisson)</t>
  </si>
  <si>
    <t>Achat d’électricité</t>
  </si>
  <si>
    <t>Il s’agit de récupérer les consommations d’électricité utilisées pour les besoins des locaux contrôlés par l’établissement, à partir du suivi interne réalisé ou des factures
(en kWh)</t>
  </si>
  <si>
    <t>v1.0.g</t>
  </si>
  <si>
    <r>
      <rPr>
        <b/>
        <sz val="11"/>
        <color rgb="FF7030A0"/>
        <rFont val="Calibri"/>
        <scheme val="minor"/>
      </rPr>
      <t xml:space="preserve">Hyp 1 </t>
    </r>
    <r>
      <rPr>
        <sz val="11"/>
        <color theme="1"/>
        <rFont val="Calibri"/>
        <scheme val="minor"/>
      </rPr>
      <t xml:space="preserve">: Les données du CEREN sur le tertiaire sont transposables aux établissements de santé hors division 86
</t>
    </r>
    <r>
      <rPr>
        <b/>
        <sz val="11"/>
        <color rgb="FF7030A0"/>
        <rFont val="Calibri"/>
        <scheme val="minor"/>
      </rPr>
      <t>Hyp 2 :</t>
    </r>
    <r>
      <rPr>
        <sz val="11"/>
        <color theme="1"/>
        <rFont val="Calibri"/>
        <scheme val="minor"/>
      </rPr>
      <t xml:space="preserve"> On suppose que la part de l'électricité dédiée à la cuisson est similaire pour les établissements de la division 86 et pour les établissements hors division 86</t>
    </r>
    <r>
      <rPr>
        <sz val="11"/>
        <color theme="1"/>
        <rFont val="Calibri"/>
        <scheme val="minor"/>
      </rPr>
      <t xml:space="preserve">
</t>
    </r>
    <r>
      <rPr>
        <b/>
        <sz val="11"/>
        <color rgb="FF7030A0"/>
        <rFont val="Calibri"/>
        <scheme val="minor"/>
      </rPr>
      <t>Hyp 3 :</t>
    </r>
    <r>
      <rPr>
        <sz val="11"/>
        <color theme="1"/>
        <rFont val="Calibri"/>
        <scheme val="minor"/>
      </rPr>
      <t xml:space="preserve"> La consommation d'énergie par agent est similaire dans l'administration de la santé, dans l'administration publique et dans la complémentaire santé</t>
    </r>
  </si>
  <si>
    <r>
      <t xml:space="preserve">(1) </t>
    </r>
    <r>
      <rPr>
        <i/>
        <sz val="11"/>
        <color theme="1"/>
        <rFont val="Calibri"/>
        <scheme val="minor"/>
      </rPr>
      <t>Données énergie, 1990-2019 du secteur tertiaire</t>
    </r>
    <r>
      <rPr>
        <sz val="11"/>
        <color theme="1"/>
        <rFont val="Calibri"/>
        <scheme val="minor"/>
      </rPr>
      <t>, Ceren, 21/12/2020, https://www.ceren.fr/publications/les-publications-du-ceren/
(2) Tableau-maître v8.51, Association Bilan Carbone
(3) ADEME Electricité - 2019 - mix moyen - consommation, France continentale, https://bilans-ges.ademe.fr/fr/basecarbone/donnees-consulter/liste-element?recherche=Electricit%C3%A9</t>
    </r>
    <r>
      <rPr>
        <sz val="11"/>
        <color theme="1"/>
        <rFont val="Calibri"/>
        <scheme val="minor"/>
      </rPr>
      <t xml:space="preserve">
(4) Décarbonons l'administration publique, https://theshiftproject.org/article/decarboner-ladministration-publique-rapport-octobre-2021/</t>
    </r>
  </si>
  <si>
    <t>Même méthode que pour poste 1. Ici on ne prend pas en compte l'électricité dédiée à la cuisson car cette dernière est déjà prise en compte dans le facteur d'émissions de l'alimentation (poste 9.alimentaire)</t>
  </si>
  <si>
    <t>Bon odg</t>
  </si>
  <si>
    <t>Empreinte carbone totale de l'électricité(hors cuisson)  (MtCO2)</t>
  </si>
  <si>
    <t>Consommation (en GWh)</t>
  </si>
  <si>
    <t xml:space="preserve">Cuisson </t>
  </si>
  <si>
    <t xml:space="preserve">Refroidissement/climatisation </t>
  </si>
  <si>
    <t>Spécifique</t>
  </si>
  <si>
    <t>La division 86 couvre donc les établissements hospitaliers, ainsi que la médecine de ville. Cela ne comprend pas les pharmacies.</t>
  </si>
  <si>
    <t>GWh</t>
  </si>
  <si>
    <t>ADEME Electricité - 2019 - mix moyen - consommation, France continentale</t>
  </si>
  <si>
    <t>Total électricité (hors cuisson):</t>
  </si>
  <si>
    <t>Partie II: Estimation de l'empreinte carbone de l'électricité dans les autres établissements couverts par notre périmètre</t>
  </si>
  <si>
    <r>
      <rPr>
        <b/>
        <sz val="11"/>
        <color rgb="FF7030A0"/>
        <rFont val="Calibri"/>
        <scheme val="minor"/>
      </rPr>
      <t xml:space="preserve">Hyp 1 </t>
    </r>
    <r>
      <rPr>
        <b/>
        <sz val="11"/>
        <color theme="1"/>
        <rFont val="Calibri"/>
        <scheme val="minor"/>
      </rPr>
      <t xml:space="preserve">: </t>
    </r>
    <r>
      <rPr>
        <sz val="11"/>
        <color theme="1"/>
        <rFont val="Calibri"/>
        <scheme val="minor"/>
      </rPr>
      <t>Les données du CEREN sur le tertiaire sont transposables aux établissements de santé hors division 86</t>
    </r>
  </si>
  <si>
    <r>
      <rPr>
        <b/>
        <sz val="11"/>
        <color rgb="FF7030A0"/>
        <rFont val="Calibri (Corps)"/>
      </rPr>
      <t xml:space="preserve">Hyp1 </t>
    </r>
    <r>
      <rPr>
        <b/>
        <sz val="11"/>
        <color theme="1"/>
        <rFont val="Calibri"/>
        <scheme val="minor"/>
      </rPr>
      <t>:</t>
    </r>
    <r>
      <rPr>
        <sz val="11"/>
        <color theme="1"/>
        <rFont val="Calibri"/>
        <scheme val="minor"/>
      </rPr>
      <t xml:space="preserve"> Les données du CEREN sur le tertiaire sont transposables aux établissements de santé hors division 86</t>
    </r>
  </si>
  <si>
    <t>Évolution des surfaces totales du secteur tertiaire selon l'énergie de chauffage (en millions de m2)</t>
  </si>
  <si>
    <t>On peut maintenant utiliser la consommation d'électricité par surface pour obtenir la consommation totale:</t>
  </si>
  <si>
    <t>T4 : issu du tableau-maître, onglet Utilitaires (2)</t>
  </si>
  <si>
    <t>Tertaire, électrictié, consos moyenne</t>
  </si>
  <si>
    <t>Tous usages</t>
  </si>
  <si>
    <t>kWh/m².an</t>
  </si>
  <si>
    <t>Bureaux, France</t>
  </si>
  <si>
    <t>Santé, France</t>
  </si>
  <si>
    <t>Moyenne toutes branches, France</t>
  </si>
  <si>
    <t>On compte la consommation d'électricité tous usages pour les surfaces chauffées à l'électricité, et spécifique pour les autres surfaces</t>
  </si>
  <si>
    <t>Consommation d'électricité:</t>
  </si>
  <si>
    <t>kWh</t>
  </si>
  <si>
    <t>Facteur d'émission de l'électricité</t>
  </si>
  <si>
    <t>(3) ADEME Electricité - 2019 - mix moyen - consommation, France continentale</t>
  </si>
  <si>
    <t xml:space="preserve">Empreinte carbone de l'électricité </t>
  </si>
  <si>
    <r>
      <rPr>
        <b/>
        <sz val="11"/>
        <color rgb="FF7030A0"/>
        <rFont val="Calibri"/>
        <scheme val="minor"/>
      </rPr>
      <t xml:space="preserve">Hyp 2 </t>
    </r>
    <r>
      <rPr>
        <sz val="11"/>
        <color theme="1"/>
        <rFont val="Calibri"/>
        <scheme val="minor"/>
      </rPr>
      <t>: On suppose que la part de l'électricité dédiée à la cuisson est similaire pour les établissements de la division 86 et pour les établissements hors division 86</t>
    </r>
  </si>
  <si>
    <t>Part de l'électricité dédiée à la cuisson (division 86):</t>
  </si>
  <si>
    <t>Empreinte carbone de l'électricité (hors cuisson):</t>
  </si>
  <si>
    <t>Emissions liées à la consommation d'électricité</t>
  </si>
  <si>
    <r>
      <rPr>
        <b/>
        <sz val="10"/>
        <color rgb="FF7030A0"/>
        <rFont val="Calibri Light"/>
      </rPr>
      <t>Hyp 3 :</t>
    </r>
    <r>
      <rPr>
        <sz val="10"/>
        <rFont val="Calibri Light"/>
      </rPr>
      <t xml:space="preserve"> La consommation d'énergie par agent est similaire dans l'administration de la santé, dans l'administration publique et dans la complémentaire santé</t>
    </r>
  </si>
  <si>
    <t>Total électricité (hors cuisson)</t>
  </si>
  <si>
    <t>Achat de vapeur, de chaleur ou du froid via un réseau collectif</t>
  </si>
  <si>
    <t>Il s’agit de récupérer les consommations provenant des réseaux de chaleurs (ou de froid) utilisées pour les besoins des locaux contrôlés par l’établissement, à partir du suivi interne réalisé ou des factures (en kWh, litres ou m3)</t>
  </si>
  <si>
    <r>
      <rPr>
        <b/>
        <sz val="11"/>
        <color rgb="FF7030A0"/>
        <rFont val="Calibri"/>
        <scheme val="minor"/>
      </rPr>
      <t xml:space="preserve">Hyp 1: </t>
    </r>
    <r>
      <rPr>
        <sz val="11"/>
        <rFont val="Calibri"/>
        <scheme val="minor"/>
      </rPr>
      <t>On suppose que les consommations des réseaux de vapeur sont inclus dans les données de réseaux de chaleur</t>
    </r>
    <r>
      <rPr>
        <b/>
        <sz val="11"/>
        <color rgb="FF7030A0"/>
        <rFont val="Calibri"/>
        <scheme val="minor"/>
      </rPr>
      <t xml:space="preserve">
Hyp 2 </t>
    </r>
    <r>
      <rPr>
        <sz val="11"/>
        <color theme="1"/>
        <rFont val="Calibri"/>
        <scheme val="minor"/>
      </rPr>
      <t xml:space="preserve">: Les données du CEREN sur la division 86 sont transposables aux autres établissements de santé
</t>
    </r>
    <r>
      <rPr>
        <b/>
        <sz val="11"/>
        <color rgb="FF7030A0"/>
        <rFont val="Calibri"/>
        <scheme val="minor"/>
      </rPr>
      <t xml:space="preserve">Hyp 3 </t>
    </r>
    <r>
      <rPr>
        <sz val="11"/>
        <color theme="1"/>
        <rFont val="Calibri"/>
        <scheme val="minor"/>
      </rPr>
      <t>: On suppose que la consommation de froid surfacique dans le secteur de la santé est la même que celle du secteur tertaire</t>
    </r>
  </si>
  <si>
    <r>
      <t xml:space="preserve">(1) </t>
    </r>
    <r>
      <rPr>
        <i/>
        <sz val="11"/>
        <color theme="1"/>
        <rFont val="Calibri"/>
        <scheme val="minor"/>
      </rPr>
      <t>Données énergie, 1990-2019 du secteur tertiaire</t>
    </r>
    <r>
      <rPr>
        <sz val="11"/>
        <color theme="1"/>
        <rFont val="Calibri"/>
        <scheme val="minor"/>
      </rPr>
      <t xml:space="preserve">, Ceren, 21/12/2020, https://www.ceren.fr/publications/les-publications-du-ceren/
(2) </t>
    </r>
    <r>
      <rPr>
        <i/>
        <sz val="11"/>
        <color theme="1"/>
        <rFont val="Calibri"/>
        <scheme val="minor"/>
      </rPr>
      <t>Tableau-maître v8.51</t>
    </r>
    <r>
      <rPr>
        <sz val="11"/>
        <color theme="1"/>
        <rFont val="Calibri"/>
        <scheme val="minor"/>
      </rPr>
      <t>, Association Bilan Carbone
(3) Répartition des énergies renouvelables en France, https://www.statistiques.developpement-durable.gouv.fr/edition-numerique/chiffres-cles-energies-renouvelables-2021/1-les-energies-renouvelables-en-france</t>
    </r>
    <r>
      <rPr>
        <sz val="11"/>
        <color theme="1"/>
        <rFont val="Calibri"/>
        <scheme val="minor"/>
      </rPr>
      <t xml:space="preserve">
(4) Les réseaux de chaleur et de froid, SNCU, https://www.fedene.fr/wp-content/uploads/sites/2/2021/11/2021-Enquete-reseaux-de-chaleur-et-de-froid-Rapport-Global-2021-version-finale.pdf
(5) Estimation des surfaces chauffées, p.84, https://pastel.archives-ouvertes.fr/tel-03228301/document
(6) Estimation de la part des surfaces chauffées sur les surfaces totales, https://archive-ouverte.unige.ch/unige:98199/ATTACHMENT01</t>
    </r>
  </si>
  <si>
    <t>Chaleur: même méthode que pour poste 1
Froid: on récupère la consommation de froid dans le secteur du tertiaire, puis on rapporte cette consommation à la surface considérée</t>
  </si>
  <si>
    <t>Tout, sauf bâtiments administratifs</t>
  </si>
  <si>
    <t>Baptiste</t>
  </si>
  <si>
    <t>Consommation des réseaux de chaleur (en GWh)</t>
  </si>
  <si>
    <t>Empreinte carbone totale des réseaux de chaleur et de froid (MtCO2)</t>
  </si>
  <si>
    <t>Empreinte carbone des réseaux de chaleur (MtCO2)</t>
  </si>
  <si>
    <t>Empreinte carbone des réseaux de froid (MtCO2)</t>
  </si>
  <si>
    <t xml:space="preserve">La division 86 couvre donc les établissements hospitaliers, ainsi que la médecine de ville. Cela ne comprend pas les pharmacies. </t>
  </si>
  <si>
    <t>Chaleur</t>
  </si>
  <si>
    <t>kgCO2 / kWh</t>
  </si>
  <si>
    <t>https://www.bilans-ges.ademe.fr/fr/accueil/documentation-gene/index/page/Reseau_de_chaleur.  FE moyen (après avoir retirer les valeurs nulles et les F)</t>
  </si>
  <si>
    <t>https://www.bilans-ges.ademe.fr/fr/accueil/documentation-gene/index/page/Reseau_de_chaleur.  FE moyen (après avoir retir les valeurs nulles et les F)</t>
  </si>
  <si>
    <t>Total chaleur (sans cuisson):</t>
  </si>
  <si>
    <t>Partie II: Estimation de l'empreinte carbone des réseaux de chaleur dans les autres établissements couverts par notre périmètre</t>
  </si>
  <si>
    <r>
      <rPr>
        <b/>
        <sz val="11"/>
        <color rgb="FF7030A0"/>
        <rFont val="Calibri"/>
        <scheme val="minor"/>
      </rPr>
      <t xml:space="preserve">Hyp 2 </t>
    </r>
    <r>
      <rPr>
        <b/>
        <sz val="11"/>
        <color theme="1"/>
        <rFont val="Calibri"/>
        <scheme val="minor"/>
      </rPr>
      <t xml:space="preserve">: </t>
    </r>
    <r>
      <rPr>
        <sz val="11"/>
        <color theme="1"/>
        <rFont val="Calibri"/>
        <scheme val="minor"/>
      </rPr>
      <t>Les données du CEREN sur la division 86 sont transposables aux autres établissements de santé</t>
    </r>
  </si>
  <si>
    <t>Nous pouvons en déduire la consommation d'énergie des établissements de santé hors division 86:</t>
  </si>
  <si>
    <t>Total chaleur (hors cuisson):</t>
  </si>
  <si>
    <t>Partie III: les réseaux de froid</t>
  </si>
  <si>
    <r>
      <rPr>
        <b/>
        <sz val="11"/>
        <color rgb="FF7030A0"/>
        <rFont val="Calibri"/>
        <scheme val="minor"/>
      </rPr>
      <t xml:space="preserve">Hyp 3 </t>
    </r>
    <r>
      <rPr>
        <b/>
        <sz val="11"/>
        <color theme="1"/>
        <rFont val="Calibri"/>
        <scheme val="minor"/>
      </rPr>
      <t xml:space="preserve">: </t>
    </r>
    <r>
      <rPr>
        <sz val="11"/>
        <color theme="1"/>
        <rFont val="Calibri"/>
        <scheme val="minor"/>
      </rPr>
      <t>On suppose que la consommation de froid surfacique dans le secteur de la santé est la même que celle du secteur tertaire</t>
    </r>
  </si>
  <si>
    <t>Surface totale de tertiaire (m2)</t>
  </si>
  <si>
    <t>Surface totale de la santé (m2)</t>
  </si>
  <si>
    <t>Part de le surface chauffée sur la surface totale</t>
  </si>
  <si>
    <t>Surface totale chauffée de la santé (m2)</t>
  </si>
  <si>
    <t>Poste 10.bâtiments</t>
  </si>
  <si>
    <t>(6)</t>
  </si>
  <si>
    <t xml:space="preserve">Energie consommée par le tertiaire pour les réseaux de froid </t>
  </si>
  <si>
    <t>Emission de CO2 du tertiaire</t>
  </si>
  <si>
    <t>Emission de CO2 de la santé</t>
  </si>
  <si>
    <t>Energie consommée:</t>
  </si>
  <si>
    <t>gCO2/kWh</t>
  </si>
  <si>
    <t>Total chaleur (hors cuisson)</t>
  </si>
  <si>
    <t>Total chaleur + froid</t>
  </si>
  <si>
    <t>-Achat de médicaments
-Achat de produits alimentaires
-Achat de dispositifs médicaux
-Services fortement matériels (hors transport)
-Services faiblement matériels
-Linge
-Fournitures administratives
-produits spécifiques</t>
  </si>
  <si>
    <t xml:space="preserve">- Il s'agit d'estimer l'intensité carbone associée à la vente de médicaments par les grands laboratoires pharmaceutiques puis de trouver le flux monétaire associé à cette vente en france. AInsi, en aillant la quantité de médicaments vendue en france et le FE en kgCO2/€ de médicament on peut en déduire l'empreinte carbone associée à ce sous poste
- Il s’agit de récupérer le nombre de repas servis dans les entités du secteur de la santé (en partant d'une courbe nombre de repas serivs/lits+places), puis à partir de l'empreinte carbone associée à un repas moyen (source: base carbone de l'ademe), de retrouver l'empreinte générale.
-Pour les dispositifs médicaux, nous procéderont de la même manière que pour les médicaments ou nous utiliserons les approximations et hypothèses faites dans les BC récuépés
-Pas encore estimé
-Pas encore estimé
-Comme les repas: on part des rapports d'activité des centres hospitaliers, on trace la tonne de linges traitée en fonction du nombre de lit+places, on extrapole au niveau nationale. Il faudra sûrement rajouter les vêtements utilisés dans les cabients
-Pas encore estimé
-Pas encore estimé
</t>
  </si>
  <si>
    <t>Faire les liens avec les fiches d'identité des versions directement (pas avec le tableau de bord, car celui-ci est mis à jour à chaque nouvelle version).</t>
  </si>
  <si>
    <t>Version du poste</t>
  </si>
  <si>
    <t>Emissions (MtCO2e)</t>
  </si>
  <si>
    <t>Satisf.</t>
  </si>
  <si>
    <t>Version sous-poste médicament</t>
  </si>
  <si>
    <t>Version sous-poste produits alimentaires</t>
  </si>
  <si>
    <t>Version sous-poste dispositifs médicaux</t>
  </si>
  <si>
    <t>Version sous-poste Linge</t>
  </si>
  <si>
    <t>Version sous-poste optique</t>
  </si>
  <si>
    <t>Version sous-poste fournitures administratives</t>
  </si>
  <si>
    <t>Version sous-poste services</t>
  </si>
  <si>
    <t>v1.12</t>
  </si>
  <si>
    <t>v1.0.b</t>
  </si>
  <si>
    <t>v1.0.c</t>
  </si>
  <si>
    <t>V1.1</t>
  </si>
  <si>
    <t>Inclus DM</t>
  </si>
  <si>
    <t>v1.0.a</t>
  </si>
  <si>
    <t>Achat de produits et services / Sous-poste Alimentaire</t>
  </si>
  <si>
    <t>-Achats d'aliments</t>
  </si>
  <si>
    <t>Il s’agit de récupérer le nombre de repas servi, le menu de ces repas…</t>
  </si>
  <si>
    <r>
      <rPr>
        <b/>
        <sz val="11"/>
        <color rgb="FF7030A0"/>
        <rFont val="Calibri (Corps)"/>
      </rPr>
      <t>Hyp1</t>
    </r>
    <r>
      <rPr>
        <sz val="11"/>
        <color theme="1"/>
        <rFont val="Calibri"/>
        <scheme val="minor"/>
      </rPr>
      <t xml:space="preserve">: le nombre de repas servis en France est proportionnel au nombre de lits et de places dans les établissements. 
</t>
    </r>
    <r>
      <rPr>
        <b/>
        <sz val="11"/>
        <color rgb="FF7030A0"/>
        <rFont val="Calibri"/>
        <scheme val="minor"/>
      </rPr>
      <t xml:space="preserve">Hyp 2 </t>
    </r>
    <r>
      <rPr>
        <sz val="11"/>
        <color theme="1"/>
        <rFont val="Calibri"/>
        <scheme val="minor"/>
      </rPr>
      <t xml:space="preserve">: On suppose que les petits déjeuners, goûters, collations, et boissons servis représentent un repas chaque deux repas comptabilisés
</t>
    </r>
    <r>
      <rPr>
        <b/>
        <sz val="11"/>
        <color rgb="FF7030A0"/>
        <rFont val="Calibri (Corps)"/>
      </rPr>
      <t xml:space="preserve">Hyp3 : </t>
    </r>
    <r>
      <rPr>
        <sz val="11"/>
        <color theme="1"/>
        <rFont val="Calibri"/>
        <scheme val="minor"/>
      </rPr>
      <t xml:space="preserve">Chaque professionnel libéral consomme un repas par jour dans le cadre de ses fonctions
</t>
    </r>
    <r>
      <rPr>
        <b/>
        <sz val="11"/>
        <color rgb="FF7030A0"/>
        <rFont val="Calibri (Corps)"/>
      </rPr>
      <t>Hyp4</t>
    </r>
    <r>
      <rPr>
        <sz val="11"/>
        <color theme="1"/>
        <rFont val="Calibri"/>
        <scheme val="minor"/>
      </rPr>
      <t xml:space="preserve"> : Aucun repas n'est servi aux patients dans le cadre des consultations dans les cabinets libéraux 
</t>
    </r>
    <r>
      <rPr>
        <b/>
        <sz val="11"/>
        <color rgb="FF7030A0"/>
        <rFont val="Calibri (Corps)"/>
      </rPr>
      <t>Hyp5 :</t>
    </r>
    <r>
      <rPr>
        <sz val="11"/>
        <color theme="1"/>
        <rFont val="Calibri"/>
        <scheme val="minor"/>
      </rPr>
      <t xml:space="preserve"> Pour les infirmiers, les masseurs kiné, les ergothérapeutes et les psychomotriciens, on considère que les libéraux ou mixtes mangent tous à l'extérieur de l'hôpital (alors que normalement il faudrait uniquement prendre en compte les libéraux exclusifs)
</t>
    </r>
    <r>
      <rPr>
        <b/>
        <sz val="11"/>
        <color rgb="FF7030A0"/>
        <rFont val="Calibri (Corps)"/>
      </rPr>
      <t>Hyp6</t>
    </r>
    <r>
      <rPr>
        <sz val="11"/>
        <color theme="1"/>
        <rFont val="Calibri"/>
        <scheme val="minor"/>
      </rPr>
      <t xml:space="preserve"> : Les professionnels libéraux travaillent 5 jours par semaine, prennent 25 jours de congés et il y a 11 jours fériés par an. Ils travaillent donc 225 jours. 
</t>
    </r>
    <r>
      <rPr>
        <b/>
        <sz val="11"/>
        <color rgb="FF7030A0"/>
        <rFont val="Calibri (Corps)"/>
      </rPr>
      <t>Hyp7</t>
    </r>
    <r>
      <rPr>
        <sz val="11"/>
        <color theme="1"/>
        <rFont val="Calibri"/>
        <scheme val="minor"/>
      </rPr>
      <t xml:space="preserve"> : Pour les établissements pour personnes âgées ou en situation de handicap, on utilise la même relation nombre de places,lits/nombre de repas servis</t>
    </r>
  </si>
  <si>
    <t>(1) LES CHIFFRES  CLÉS DE L’OFFRE DE SOINS, 2017, Page 5 https://solidarites-sante.gouv.fr/IMG/pdf/dgos_cc_2018_02_16_a_web_pages_hd.pdf
(2) LES CHIFFRES  CLÉS DE L’OFFRE DE SOINS, 2017, Page 15 https://solidarites-sante.gouv.fr/IMG/pdf/dgos_cc_2018_02_16_a_web_pages_hd.pdf
(3) Base carbone de l'ADEME, repas moyen, https://www.bilans-ges.ademe.fr/fr/accueil/documentation-gene/index/page/Repas
(4)Répartition du nombre de lits des établissements médico-sociaux par type, https://www.insee.fr/fr/statistiques/4277754?sommaire=4318291
(5)Nombre de résidents par catégorie d'établissement https://drees.solidarites-sante.gouv.fr/sites/default/files/er1015.pdf
(6) APPROCHE DU COUT COMPLET DES PERTES ET GASPILLAGE ALIMENTAIRE EN RESTAURATION COLLECTIVE ,Page 45, https://presse.ademe.fr/wp-content/uploads/2016/09/cout-complet-pertes-gaspillage-restauration-collective-rapport.pdf
(7) APPROCHE DU COUT COMPLET DES PERTES ET GASPILLAGE ALIMENTAIRE EN RESTAURATION COLLECTIVE ,Page 5, https://presse.ademe.fr/wp-content/uploads/2016/09/cout-complet-pertes-gaspillage-restauration-collective-rapport.pdf
(8) Données sur les établissements pour individus handicapés, "télecharger les données", https://drees.solidarites-sante.gouv.fr/publications/etudes-et-resultats/loffre-daccueil-des-personnes-handicapees-dans-les-0
(9) Périmètre secteur santé v1.10, sur Nextcloud au chemin Projet/PTEF/25 BC services/Livrables/périmètres/santé
(10) données sur les professionels travaillant dans les cabinets médicaux, https://www.ompl.fr/images/Publications/EtudesBranches/sante/Cabinetsmedicaux/2014-_etude_cab._medicaux-portrait_statistique.pdf
(11) Rapport sur la restauration collective, https://presse.ademe.fr/wp-content/uploads/2016/09/cout-complet-pertes-gaspillage-restauration-collective-rapport.pdf</t>
  </si>
  <si>
    <t>Pour estimer l'empreinte carbone associée à l'alimentation dans le secteur de la santé, il faut commencer par estimer le nombre de repas servis chaque année. 
Pour cela nous avons eu 2 approches "bottom up" différentes en fonction des entités conernées. 
Pour les établissements de santé privés et publics, les EHPA et les établissements et servces pour enfants et adultes handicapés nous avons estimé le nombre de repas servis en utilisant le nombre de lits et de places dans ces établissements. Pour pouvoir faire cela nous avons préalablement défini une relation entre le nombre de lits et places et le nombre de repas servis par an
Pour les autres entités qui composent notre périmètre (notamment les professionnels libéraux), nous ne pouvons pas partir du nombre de lits et de places car cela n'a pas de sens. Aussi, pour ces entités, nous n'avons pas à prendre en compte les repas des patients car ces entités n'ont pas pour vocation à les acceuillir. Nous avons donc uniquement pris en compte les repas consommés par les professionnels de santé et le personnel non médical.</t>
  </si>
  <si>
    <t xml:space="preserve">Données sur les collations/goûter/petits déjeuner </t>
  </si>
  <si>
    <t>Etudier les caractéristiques des repas servis dans les établissements de santé et les EHPA. Appeler un CH pour demander si dans les repas servis il y a le petit dej.</t>
  </si>
  <si>
    <t>Partie 0: Synthèse des résultats</t>
  </si>
  <si>
    <t>EN millions de repas</t>
  </si>
  <si>
    <t>Nombre de repas(millions)</t>
  </si>
  <si>
    <t>Emissions (Mtco2)</t>
  </si>
  <si>
    <t xml:space="preserve">Etablissements de santé </t>
  </si>
  <si>
    <t>EHPA</t>
  </si>
  <si>
    <t>ES "Handicap"</t>
  </si>
  <si>
    <t>Professions libérales</t>
  </si>
  <si>
    <t>Administration et complémentaire santé</t>
  </si>
  <si>
    <t>Nombre de repas</t>
  </si>
  <si>
    <t xml:space="preserve">Établissements de santé </t>
  </si>
  <si>
    <t xml:space="preserve">Part des émissions associées aux achats d'aliments  </t>
  </si>
  <si>
    <t>Nombre de lits et places</t>
  </si>
  <si>
    <t>Partie I: Estimation du nombre de repas servis dans les établissements de santé, les EHPA et les ES "Handicap"</t>
  </si>
  <si>
    <t xml:space="preserve">On cherche une relation entre le nombre de repas servis et le nombre de lits et places dans de telles entités </t>
  </si>
  <si>
    <r>
      <rPr>
        <b/>
        <sz val="11"/>
        <color rgb="FF7030A0"/>
        <rFont val="Calibri (Corps)"/>
      </rPr>
      <t>Hyp1</t>
    </r>
    <r>
      <rPr>
        <sz val="11"/>
        <color theme="1"/>
        <rFont val="Calibri"/>
        <scheme val="minor"/>
      </rPr>
      <t xml:space="preserve">: le nombre de repas servis en France est proportionnel au nombre de lits et de places dans les établissements. </t>
    </r>
  </si>
  <si>
    <r>
      <t>Lim1 :</t>
    </r>
    <r>
      <rPr>
        <sz val="11"/>
        <rFont val="Calibri"/>
        <scheme val="minor"/>
      </rPr>
      <t xml:space="preserve"> L'étude qui va être présentée se repose sur une étude sur un échantillon de centres hospitaliers et d'hôpitaux. Il aurait fallu inclure des établissements et services pour enfants et adultes handicapés pour mener une étude sur un échantillon vraiment représentatif. Ou distinguer plusieurs catégories.</t>
    </r>
  </si>
  <si>
    <t>Nom</t>
  </si>
  <si>
    <t xml:space="preserve">Repas par an </t>
  </si>
  <si>
    <t xml:space="preserve">lits et places </t>
  </si>
  <si>
    <t>source</t>
  </si>
  <si>
    <t>CH Nord deux sevre</t>
  </si>
  <si>
    <t>https://www.chnds.fr/Ressources/FCK/files/Institutionnel/Chiffres%20cl%C3%A9s%202019%20_%20Version%20modifi%C3%A9e.pdf</t>
  </si>
  <si>
    <t>CH le mans</t>
  </si>
  <si>
    <t>http://www.ch-lemans.fr/media/chiffres_cles_chm_2015__mars_2016__058529800_1419_18032016.pdf et https://www.ch-lemans.fr/media/chiffres_cles_chm_2019.pdf</t>
  </si>
  <si>
    <t>Ch de perpignan</t>
  </si>
  <si>
    <t>http://www.ch-perpignan.fr/fileadmin/user_upload/2019_RA_DG.pdf et http://www.ch-perpignan.fr/nous-connaitre/l-hopital/chiffres-cles-279.html</t>
  </si>
  <si>
    <t>CH de valence</t>
  </si>
  <si>
    <t>http://centrehospitalierdevalence.businesscatalyst.com/pdf/Chiffres%20clefs/plaquette%20chiffres%20cl%C3%A9s%202018.pdf</t>
  </si>
  <si>
    <t>CENTRE HOSPITALIER ALPES LEMAN</t>
  </si>
  <si>
    <t>https://ch-alpes-leman.fr/wp-content/uploads/2020/12/Chiffres-cle%cc%81s-2019.pdf</t>
  </si>
  <si>
    <t>CENTRE HOSPITALIER DE ROANNE</t>
  </si>
  <si>
    <t>file:///Users/mathisegnell/Downloads/0092703622_205_chiffre-cles-2018_07062019_definitif_comm.pdf</t>
  </si>
  <si>
    <t>CH de Niort</t>
  </si>
  <si>
    <t>https://www.ch-niort.fr/sites/default/files/media/chiffres_cles_2019_0.pdf</t>
  </si>
  <si>
    <t>CENTRE HOSPITALIER DE LAVAUR</t>
  </si>
  <si>
    <t>https://ch-lavaur.fr/votre-centre-hospitalier/hopital-de-lavaur-en-chiffres</t>
  </si>
  <si>
    <t>CENTRE HOSPITALIER GUINGAMP</t>
  </si>
  <si>
    <t>http://www.ch-guingamp.fr/images/Ressources/PDF/chiffrescl%C3%A9s2017BDEF.pdf</t>
  </si>
  <si>
    <t>CH de bourges</t>
  </si>
  <si>
    <t>https://www.ch-bourges.fr/wp-content/uploads/2020/10/chiffres-cles-2020.pdf</t>
  </si>
  <si>
    <t>Centre Hospitalierde Périgueux</t>
  </si>
  <si>
    <t>http://www.ch-perigueux.fr/documents/user_upload/Chiffres_Cles_2019.pdf</t>
  </si>
  <si>
    <t>CENTRE HOSPITALIER DE SAUMUR</t>
  </si>
  <si>
    <t>https://ch-brive.fr/wp-content/uploads/2018/04/chiffres-cles-2017.pdf</t>
  </si>
  <si>
    <t xml:space="preserve">CH annecy genevois </t>
  </si>
  <si>
    <t>https://www.ch-annecygenevois.fr/sites/default/files/chiffres_cles_2019_-_v8.pdf</t>
  </si>
  <si>
    <t>CH de chinonais</t>
  </si>
  <si>
    <t>https://www.ch-chinon.fr/chiffres-cles.html</t>
  </si>
  <si>
    <t>CH de laval</t>
  </si>
  <si>
    <t>file:///Users/mathisegnell/Downloads/survolez-ce-nouveau-document-pour-l-editer.pdf</t>
  </si>
  <si>
    <t>CH Reims</t>
  </si>
  <si>
    <t>https://www.chu-reims.fr/le-chu/gouvernance/chiffres-cles</t>
  </si>
  <si>
    <t>CH de rambouillet</t>
  </si>
  <si>
    <t>http://www.ch-rambouillet.fr/Ressources/FCK/chiffres_HD_nocrop.pdf</t>
  </si>
  <si>
    <t>CH chateaubriant-Nozay-Pouance</t>
  </si>
  <si>
    <t>https://www.ch-cnp.fr/wp-content/uploads/2020/09/Plaquette-CH-CNP-activite-2019-v2.pdf</t>
  </si>
  <si>
    <t>CHU de toulouse</t>
  </si>
  <si>
    <t>https://www.chu-toulouse.fr/IMG/pdf/chu_toulouse_chiffres_cles_2019.pdf</t>
  </si>
  <si>
    <t xml:space="preserve">Résultat </t>
  </si>
  <si>
    <t xml:space="preserve">Nous trouvons une relation quasi-linéaire entre le nombre de repas servis et le nombre de lits et places dans les CH. Le coefficient de correlation est proche de 1. </t>
  </si>
  <si>
    <t>Nous prenons donc comme hypothèse que le nombre de repas est donnée par la fonction :</t>
  </si>
  <si>
    <t>f(x)=762,1x</t>
  </si>
  <si>
    <t>où x représente le nombre de lits et de places</t>
  </si>
  <si>
    <t xml:space="preserve">On répertorie le nombre de lits et places dans nos entités considérées </t>
  </si>
  <si>
    <r>
      <t>Lim2 :</t>
    </r>
    <r>
      <rPr>
        <sz val="11"/>
        <rFont val="Calibri"/>
        <scheme val="minor"/>
      </rPr>
      <t xml:space="preserve"> Les données trouvées ne correspondent pas toutes à la même année </t>
    </r>
  </si>
  <si>
    <t xml:space="preserve">Nombre de lits et places dans les établissements de santé privés et publics </t>
  </si>
  <si>
    <t>Année</t>
  </si>
  <si>
    <t>Numéro de la source</t>
  </si>
  <si>
    <t xml:space="preserve">Nombre de lits </t>
  </si>
  <si>
    <t>Nombre de places</t>
  </si>
  <si>
    <t>(2)</t>
  </si>
  <si>
    <t xml:space="preserve">Nombre de lits et places dans les établissements pour enfants et adultes handicapés </t>
  </si>
  <si>
    <t>Établissements pour enfants</t>
  </si>
  <si>
    <t>(8)</t>
  </si>
  <si>
    <t>Dont :</t>
  </si>
  <si>
    <t xml:space="preserve">       Instituts médico-éducatif (IME)</t>
  </si>
  <si>
    <r>
      <t xml:space="preserve">       Instituts thérapeutiques, éducatifs et pédagogiques (Itep)</t>
    </r>
    <r>
      <rPr>
        <vertAlign val="superscript"/>
        <sz val="8"/>
        <rFont val="Arial"/>
      </rPr>
      <t>1</t>
    </r>
  </si>
  <si>
    <t xml:space="preserve">       Établissements pour enfants polyhandicapés</t>
  </si>
  <si>
    <t xml:space="preserve">       Instituts d'éducation motrice</t>
  </si>
  <si>
    <r>
      <t xml:space="preserve">       Établissements pour jeunes déficients sensoriels</t>
    </r>
    <r>
      <rPr>
        <vertAlign val="superscript"/>
        <sz val="8"/>
        <rFont val="Arial"/>
      </rPr>
      <t>2</t>
    </r>
  </si>
  <si>
    <t xml:space="preserve">       Établissements d'accueil temporaire</t>
  </si>
  <si>
    <t xml:space="preserve">       Jardins d'enfants</t>
  </si>
  <si>
    <r>
      <t xml:space="preserve">       </t>
    </r>
    <r>
      <rPr>
        <sz val="8"/>
        <rFont val="Calibri"/>
      </rPr>
      <t>É</t>
    </r>
    <r>
      <rPr>
        <sz val="8"/>
        <rFont val="Arial"/>
      </rPr>
      <t>tablissements expérimentaux</t>
    </r>
  </si>
  <si>
    <t xml:space="preserve">       Foyers d'hébergement pour enfants et adolescents handicapés7</t>
  </si>
  <si>
    <r>
      <t>Services pour enfants</t>
    </r>
    <r>
      <rPr>
        <b/>
        <vertAlign val="superscript"/>
        <sz val="8"/>
        <rFont val="Arial"/>
      </rPr>
      <t>1,</t>
    </r>
    <r>
      <rPr>
        <b/>
        <sz val="8"/>
        <rFont val="Arial"/>
      </rPr>
      <t xml:space="preserve"> </t>
    </r>
    <r>
      <rPr>
        <b/>
        <vertAlign val="superscript"/>
        <sz val="8"/>
        <rFont val="Arial"/>
      </rPr>
      <t>3</t>
    </r>
  </si>
  <si>
    <t>Établissements pour adultes</t>
  </si>
  <si>
    <t xml:space="preserve">       Établissements et services d'aide pour le travail (Esat)</t>
  </si>
  <si>
    <r>
      <t xml:space="preserve">       Centres de formation et d'orientation professionnelle</t>
    </r>
    <r>
      <rPr>
        <vertAlign val="superscript"/>
        <sz val="8"/>
        <rFont val="Arial"/>
      </rPr>
      <t>4</t>
    </r>
  </si>
  <si>
    <r>
      <t xml:space="preserve">       Foyers</t>
    </r>
    <r>
      <rPr>
        <vertAlign val="superscript"/>
        <sz val="8"/>
        <rFont val="Arial"/>
      </rPr>
      <t>5</t>
    </r>
  </si>
  <si>
    <t xml:space="preserve">       Établissement expérimental</t>
  </si>
  <si>
    <r>
      <t>Services pour adultes</t>
    </r>
    <r>
      <rPr>
        <b/>
        <vertAlign val="superscript"/>
        <sz val="8"/>
        <rFont val="Arial"/>
      </rPr>
      <t>6</t>
    </r>
  </si>
  <si>
    <r>
      <t>Lieux de vie et d’accueil</t>
    </r>
    <r>
      <rPr>
        <b/>
        <vertAlign val="superscript"/>
        <sz val="8"/>
        <rFont val="Arial"/>
      </rPr>
      <t>7</t>
    </r>
  </si>
  <si>
    <t>Capacités des établissements d’hébergement pour personnes âgées et nombre de places en SSIAD</t>
  </si>
  <si>
    <t xml:space="preserve">Nombre de lits en 2018 </t>
  </si>
  <si>
    <t>USLD</t>
  </si>
  <si>
    <t>EHPAD</t>
  </si>
  <si>
    <t>SSIAD</t>
  </si>
  <si>
    <t>Pour ne pas faire de double compte, il faut retirer dans le nombre de lits des EHPA le nombre de ces lits qui ont déjà été inclus dans les établissements publics de santé. En effet, certians des EHPAH publics font parti des CH</t>
  </si>
  <si>
    <t>Catégorie d’établissement et statut juridique</t>
  </si>
  <si>
    <t>Nombre de résidents au 31 décembre 2015</t>
  </si>
  <si>
    <t>Établissements d’hébergement pour
personnes âgées dépendantes (EHPAD)</t>
  </si>
  <si>
    <t>EHPAD privés à but lucratif</t>
  </si>
  <si>
    <t>EHPAD privés à but non lucratif</t>
  </si>
  <si>
    <t>EHPAD publics</t>
  </si>
  <si>
    <t>- dont EHPAD publics hospitaliers</t>
  </si>
  <si>
    <t>- dont EHPAD publics non hospitaliers</t>
  </si>
  <si>
    <t>Ce tableau nous permet d'estimer le pourcentage d'EHPAD qui sont des EHPAD publics hospitaliers</t>
  </si>
  <si>
    <t xml:space="preserve">Pourcentage des EHPAD publics hospitaliers parmis les EHPAD </t>
  </si>
  <si>
    <t>%</t>
  </si>
  <si>
    <t xml:space="preserve">Il faut donc retirer 21,7% des lits en EHPAD. </t>
  </si>
  <si>
    <t xml:space="preserve">Ainsi, pour ne pas faire doublon, il faut prendre le nombre de lits en EHPAD suivant </t>
  </si>
  <si>
    <t xml:space="preserve">Le tableau des lits pour les EHPA est donc le suivant </t>
  </si>
  <si>
    <t>On peut maintenant estimer le nombre de lits et places considérés dans notre calcul</t>
  </si>
  <si>
    <t>Nombre de lits et places total</t>
  </si>
  <si>
    <t xml:space="preserve">nombre total de repas comptabilisés dans les établissements se santé et les établissements médico-sociaux </t>
  </si>
  <si>
    <t xml:space="preserve">repas </t>
  </si>
  <si>
    <t>Les établissements de santé ne comptabilisent que les repas servis le midi, mais pas les petits déjeuners, collations, goûters et boissons</t>
  </si>
  <si>
    <r>
      <rPr>
        <b/>
        <sz val="11"/>
        <color rgb="FF7030A0"/>
        <rFont val="Calibri"/>
        <scheme val="minor"/>
      </rPr>
      <t>Hyp 2 :</t>
    </r>
    <r>
      <rPr>
        <sz val="11"/>
        <color theme="1"/>
        <rFont val="Calibri"/>
        <scheme val="minor"/>
      </rPr>
      <t xml:space="preserve"> On suppose que les petits déjeuners, goûters, collations, et boissons servis représentent un repas chaque deux repas comptabilisés</t>
    </r>
  </si>
  <si>
    <t>On multiplie donc la quantité de repas servis par un facteur multiplicatif 1,5</t>
  </si>
  <si>
    <t xml:space="preserve">nombre total de "repas équivalents" servis dans les établissements se santé et les établissements médico-sociaux </t>
  </si>
  <si>
    <t xml:space="preserve">ce nombre peut être comparé aux 1 577 millions de repas estimé par l'ADEME (6). </t>
  </si>
  <si>
    <t xml:space="preserve">Partie II: Estimation du nombre de repas consommés par les professionnels de santé libéraux </t>
  </si>
  <si>
    <t>L'idée ici est d'évaluer le nombre de professionnel travaillant dans des cabinets libéraux. A partir de ce nombre, on pourra estimer le nombre de repas consommés chaque année.</t>
  </si>
  <si>
    <r>
      <rPr>
        <b/>
        <sz val="11"/>
        <color rgb="FF7030A0"/>
        <rFont val="Calibri (Corps)"/>
      </rPr>
      <t>Hyp3</t>
    </r>
    <r>
      <rPr>
        <sz val="11"/>
        <color theme="1"/>
        <rFont val="Calibri"/>
        <scheme val="minor"/>
      </rPr>
      <t xml:space="preserve"> : Chaque professionnel libéral consomme un repas par jour dans le cadre de ses fonctions</t>
    </r>
  </si>
  <si>
    <r>
      <rPr>
        <b/>
        <sz val="11"/>
        <color rgb="FF7030A0"/>
        <rFont val="Calibri (Corps)"/>
      </rPr>
      <t>Hyp4</t>
    </r>
    <r>
      <rPr>
        <sz val="11"/>
        <color theme="1"/>
        <rFont val="Calibri (Corps)"/>
      </rPr>
      <t xml:space="preserve"> : </t>
    </r>
    <r>
      <rPr>
        <sz val="11"/>
        <color theme="1"/>
        <rFont val="Calibri"/>
        <scheme val="minor"/>
      </rPr>
      <t xml:space="preserve">Aucun repas n'est servi aux patients dans le cadre des consultations dans les cabinets libéreaux </t>
    </r>
  </si>
  <si>
    <r>
      <rPr>
        <b/>
        <sz val="11"/>
        <color rgb="FF7030A0"/>
        <rFont val="Calibri (Corps)"/>
      </rPr>
      <t>Hyp5</t>
    </r>
    <r>
      <rPr>
        <sz val="11"/>
        <color theme="1"/>
        <rFont val="Calibri"/>
        <scheme val="minor"/>
      </rPr>
      <t>: Pour les infirmiers, les masseurs kiné, les ergothérapeutes et les psychomotriciens,on considère que les libéraux ou mixtes mangent tous à l'extérieur de l'hôpital (alors que normalement il faudrait uniquement prendre en compte les libéaux exclusifs)</t>
    </r>
  </si>
  <si>
    <r>
      <rPr>
        <b/>
        <sz val="11"/>
        <color rgb="FF7030A0"/>
        <rFont val="Calibri (Corps)"/>
      </rPr>
      <t>Hyp6</t>
    </r>
    <r>
      <rPr>
        <sz val="11"/>
        <color theme="1"/>
        <rFont val="Calibri"/>
        <scheme val="minor"/>
      </rPr>
      <t xml:space="preserve"> : Les professionnels libéraux travaillent 5 jours par semaine, prennent 25 jours de congés et il y a 11 jours fériés par an. Ils travaillent donc 225 jours. </t>
    </r>
  </si>
  <si>
    <t xml:space="preserve">Nombre de professionnels libéreaux </t>
  </si>
  <si>
    <t>(9)</t>
  </si>
  <si>
    <t xml:space="preserve">médecins </t>
  </si>
  <si>
    <t xml:space="preserve">Chirurgiens dentistes </t>
  </si>
  <si>
    <t xml:space="preserve">Pharmaciens </t>
  </si>
  <si>
    <t xml:space="preserve">Sages femmes </t>
  </si>
  <si>
    <t xml:space="preserve">Infirmiers </t>
  </si>
  <si>
    <t xml:space="preserve">Masseurs-kiné </t>
  </si>
  <si>
    <t xml:space="preserve"> ERGOTHÉRAPEUTES </t>
  </si>
  <si>
    <t xml:space="preserve">Psychomotriciens </t>
  </si>
  <si>
    <t>Orthophonistes</t>
  </si>
  <si>
    <t xml:space="preserve">Orthptistes </t>
  </si>
  <si>
    <t>audiprothésistes</t>
  </si>
  <si>
    <t>Pédicure podologie</t>
  </si>
  <si>
    <t>Opticien lunetier</t>
  </si>
  <si>
    <t>Manipulateur ERM</t>
  </si>
  <si>
    <t xml:space="preserve">Diététicien </t>
  </si>
  <si>
    <t xml:space="preserve">Technicien de laboratoire </t>
  </si>
  <si>
    <t xml:space="preserve">Professions d'appareillage </t>
  </si>
  <si>
    <t xml:space="preserve">Psychologue </t>
  </si>
  <si>
    <t xml:space="preserve">Personnel non médical dans les cabinets médicaux </t>
  </si>
  <si>
    <t>(10)</t>
  </si>
  <si>
    <t>Cadres</t>
  </si>
  <si>
    <t xml:space="preserve">Agents administratifs </t>
  </si>
  <si>
    <t xml:space="preserve">Agents de service </t>
  </si>
  <si>
    <t xml:space="preserve">Secrétaires médicaux </t>
  </si>
  <si>
    <t xml:space="preserve">Nombre de repas consommés par les professionnels travaillant dans les cabinets libéraux </t>
  </si>
  <si>
    <t>repas</t>
  </si>
  <si>
    <t>Partie III: Estimation du nombre de repas consommés par les professionnels de l'administration publique et de la complémentaire santé</t>
  </si>
  <si>
    <t>Nombre de repas consommés par les professionnels travaillant dans l'admnistration publique et la complémentaire santé</t>
  </si>
  <si>
    <t>On considère que les repas servis dans les établissements d'hébergements correspondent à de la restauration collective ; pour les repas consommés par les professionnels on choisis le facteur d'émission moyen d'un repas</t>
  </si>
  <si>
    <t>Empreinte carbone d'un repas moyen en France en restauration collective</t>
  </si>
  <si>
    <t>kgCO2/repas</t>
  </si>
  <si>
    <t>(11)</t>
  </si>
  <si>
    <t>Base carbone - repas moyen</t>
  </si>
  <si>
    <t>(12)</t>
  </si>
  <si>
    <t>Calcul de l'empreinte carbone</t>
  </si>
  <si>
    <t>Empreinte carbone des repas servis dans les établissements hospitaliers et médico-sociaux</t>
  </si>
  <si>
    <t>kgCO2</t>
  </si>
  <si>
    <t>Empreinte carbone des repas consommés par les professionnels travaillant dans les cabinets libéraux, l'admnistration publique ou la complémentaire santé</t>
  </si>
  <si>
    <t>Empreinte carbone totale</t>
  </si>
  <si>
    <t xml:space="preserve">Selon l'ADEME le % des quantités perdues/quantités préparées dans le secteur de la santé est de 22%. Ainsi, 22% de l'empreinte carbone estimée plus haut provient de gaspillage </t>
  </si>
  <si>
    <t>empreinte carbone qui pourrait être évitée en absence de gaspillage</t>
  </si>
  <si>
    <t>Empreinte carbone d'un repas végétarien en France</t>
  </si>
  <si>
    <t>Empreinte carbone totale si tous les repas étaient vege</t>
  </si>
  <si>
    <r>
      <t>MtCO</t>
    </r>
    <r>
      <rPr>
        <vertAlign val="subscript"/>
        <sz val="11"/>
        <color theme="1"/>
        <rFont val="Calibri"/>
        <scheme val="minor"/>
      </rPr>
      <t>2</t>
    </r>
    <r>
      <rPr>
        <sz val="11"/>
        <color theme="1"/>
        <rFont val="Calibri"/>
        <scheme val="minor"/>
      </rPr>
      <t>e</t>
    </r>
  </si>
  <si>
    <t>Achat de produits et services / Sous-poste Médicaments</t>
  </si>
  <si>
    <t>Achats des médicaments</t>
  </si>
  <si>
    <t>Il s’agit de récupérer le volume de médicaments vendus et le facteur d'émission</t>
  </si>
  <si>
    <t>(1) Base empreinte, ADEME
(2) DRESS, "Les dépenses de santé en 2018", 2018,  page 48, https://drees.solidarites-sante.gouv.fr/sites/default/files/2020-07/cns2019.pdf</t>
  </si>
  <si>
    <t>L'idée est d'utiliser le FE proposé par l'ADEME pour les médicaments puis de trouver le flux monétaire associé à cette vente en france.
En ayant la quantité de médicaments vendue en france et le FE en kgCO2/€ de médicament on peut en déduire l'empreinte carbone associée à ce sous poste</t>
  </si>
  <si>
    <t>L'intensité carbone exacte</t>
  </si>
  <si>
    <t xml:space="preserve">Ce modèle ne différencie pas les médicaments entre eux. Pour estimer l'empreinte globale cela ne pose pas trop de problème mais si on veut descendre d'un étage au niveau de la granularité, il faudrait évaluser l'intensité carbone par type de pathologie. Donc d'avoir des FE en kgCO2/€ pour les médicaments pour traiter le diabète, les insuffisances rénales...
Cela nous serait surtout utile pour parler de surmédication et de prévention dans le cas de certaines pathologies </t>
  </si>
  <si>
    <t>Toutes</t>
  </si>
  <si>
    <t xml:space="preserve">Estimation pour les médicaments: </t>
  </si>
  <si>
    <t>TCO2 par million d'euros</t>
  </si>
  <si>
    <t>kg/€</t>
  </si>
  <si>
    <t xml:space="preserve">Marché pharmaceutitque pour officine </t>
  </si>
  <si>
    <t>Md€</t>
  </si>
  <si>
    <t>Marché pharmaceutitque pour hôpital</t>
  </si>
  <si>
    <t xml:space="preserve">Empreinte carbone des achats de médicaments pour les officines </t>
  </si>
  <si>
    <t>TCO2</t>
  </si>
  <si>
    <t>Empreinte carbone des achats de médicaments pour leshôpitaux</t>
  </si>
  <si>
    <t>Empreinte carbone pour les Officines</t>
  </si>
  <si>
    <t>Empreinte carbone pour les autres Établissements</t>
  </si>
  <si>
    <t>MTCO2</t>
  </si>
  <si>
    <t>Achats de dispositifs médicaux</t>
  </si>
  <si>
    <t>Il s’agit des quantités de consommables médicaux, implants, équipements, réactifs et automates de biologie médicale achetés annuellement à partir du suivi des achats  (en unités)</t>
  </si>
  <si>
    <r>
      <rPr>
        <b/>
        <sz val="11"/>
        <color rgb="FF7030A0"/>
        <rFont val="Calibri"/>
        <scheme val="minor"/>
      </rPr>
      <t>Hyp 1</t>
    </r>
    <r>
      <rPr>
        <sz val="11"/>
        <color theme="1"/>
        <rFont val="Calibri"/>
        <scheme val="minor"/>
      </rPr>
      <t xml:space="preserve">: Le facteur d'émission "dispositifs médicaux" est adapté à tous les FE
</t>
    </r>
    <r>
      <rPr>
        <b/>
        <sz val="11"/>
        <color rgb="FF7030A0"/>
        <rFont val="Calibri"/>
        <scheme val="minor"/>
      </rPr>
      <t xml:space="preserve">Hyp. 2 </t>
    </r>
    <r>
      <rPr>
        <sz val="11"/>
        <color rgb="FF7030A0"/>
        <rFont val="Calibri"/>
        <scheme val="minor"/>
      </rPr>
      <t>:</t>
    </r>
    <r>
      <rPr>
        <sz val="11"/>
        <color theme="1"/>
        <rFont val="Calibri"/>
        <scheme val="minor"/>
      </rPr>
      <t xml:space="preserve"> Le ratio centre les DM couverts par les 7 codes produits de la source (3) et l'ensemble des DM est similaire pour les importations et les exportations</t>
    </r>
  </si>
  <si>
    <t>(1) Facteur d'émission, Guide sectoriel de l'ADEME,Page 56, https://www.ademe.fr/sites/default/files/assets/documents/guide-sectoriel-etablissements-sanitaires-et-medico-sociaux-2020-010896.pdf
(2) SNITEM, Panorama et analyse qualitative de la filière industielle des DM en france, 2019, https://www.snitem.fr/wp-content/uploads/2020/01/Snitem-Panorama-chiffre-des-DM-2019.pdf
(3) https://www.qualitiso.com/commerce-dispositifs-medicaux-monde/?fbclid=IwAR3Rk8vwYBbOeOnFeZ52ciqpmc-SVrarHbfJDlIyMnFNaggVOR0xlO2KHY0</t>
  </si>
  <si>
    <t>L'idée est d'utiliser le FE proposé par l'ADEME pour les dispositfs médicaux puis de trouver le flux monétaire associé à cette vente en france.
En ayant le chiffre d'affaire associé à la vente de DM en france et le FE en kgCO2/€ de DMt on peut en déduire l'empreinte carbone associée à ce sous poste</t>
  </si>
  <si>
    <t xml:space="preserve">Le FE d'émission exact. Des données plus désagrégées pour pouvoir faire correspondre à chaque groupe de DM son FE associé. Afin d'être plus précis. Le pb ici est qu'on réfléchit en "gros", avec des moyennes. </t>
  </si>
  <si>
    <t>Ce modèle ne différencie pas les DM entre eux. Pour estimer l'empreinte globale cela ne pose pas trop de problème mais si on veut descendre d'un étage au niveau de la granularité, il faudrait évaluser l'intensité carbone par type de DM. 
Les sources (2) et (3) n'ont pas le même périmètre de DM</t>
  </si>
  <si>
    <t>Partie I: Estimation de l'empreinte carbone associée à la production puis l'achat de DM</t>
  </si>
  <si>
    <t>On multiplie le flux monètaire des dispositifs médicaux considérés par le FE d'émission proposé par l'ADEME</t>
  </si>
  <si>
    <r>
      <rPr>
        <b/>
        <sz val="11"/>
        <color rgb="FF7030A0"/>
        <rFont val="Calibri (Corps)"/>
      </rPr>
      <t>Hyp 1</t>
    </r>
    <r>
      <rPr>
        <sz val="11"/>
        <color theme="1"/>
        <rFont val="Calibri"/>
        <scheme val="minor"/>
      </rPr>
      <t>: Le facteur d'émission "dispositifs médicaux" est adapté à tous les FE</t>
    </r>
  </si>
  <si>
    <t>Chiffre d'affaire des entreprises de DM françaises en 2019</t>
  </si>
  <si>
    <t>CA correspondant à des exportations</t>
  </si>
  <si>
    <t>La source (3) nous fournit les données des exportations et des importations des dispositifs en prenant en comte 7 codes produits.</t>
  </si>
  <si>
    <t>Toutefois, ces 7 codes produits ne couvrent pas tous le périmètre des disposotifs médicaux pris en compte (par exemple, les logiciels, ou les compléments alimentaires médicaux)</t>
  </si>
  <si>
    <t>On fait donc l'hypothèse que le ratio entre les DM couverts par les 7 codes produits et les DM couverts par notre périmètre est similaire pour les importations et les exportations</t>
  </si>
  <si>
    <r>
      <rPr>
        <b/>
        <sz val="11"/>
        <color rgb="FF7030A0"/>
        <rFont val="Calibri"/>
        <scheme val="minor"/>
      </rPr>
      <t xml:space="preserve">Hyp. 2 </t>
    </r>
    <r>
      <rPr>
        <sz val="11"/>
        <color theme="1"/>
        <rFont val="Calibri"/>
        <scheme val="minor"/>
      </rPr>
      <t>: Le ratio centre les DM couverts par les 7 codes produits de la source (3) et l'ensemble des DM est similaire pour les importations et les exportations</t>
    </r>
  </si>
  <si>
    <t>CA des exports  (uniquement DM couverts par 7 codes produits)</t>
  </si>
  <si>
    <t>Md$</t>
  </si>
  <si>
    <t>CA des imports (uniquement DM couverts par 7 codes produits)</t>
  </si>
  <si>
    <t>Ratio CA exports 7 produits/CA export total</t>
  </si>
  <si>
    <t>Md$/Md€</t>
  </si>
  <si>
    <t>CA des imports</t>
  </si>
  <si>
    <t>CA des DM consommés en France</t>
  </si>
  <si>
    <t xml:space="preserve">Facteur d'émission des dispositifs médicaux </t>
  </si>
  <si>
    <t xml:space="preserve">Marché des dispositifs médicaux </t>
  </si>
  <si>
    <t>Empreinte carbone des achats de DM en France</t>
  </si>
  <si>
    <t>Achat de produits et services / Sous-poste Fournitures administratives</t>
  </si>
  <si>
    <t>Fournitures administratives</t>
  </si>
  <si>
    <t>Il s’agit des quantités de fournitures administratives achetées annuellement à partir du suivi des achats  (en montant monétaire)</t>
  </si>
  <si>
    <t>incomplet</t>
  </si>
  <si>
    <r>
      <rPr>
        <b/>
        <sz val="11"/>
        <color rgb="FF7030A0"/>
        <rFont val="Calibri (Corps)"/>
      </rPr>
      <t>Hyp 1</t>
    </r>
    <r>
      <rPr>
        <sz val="11"/>
        <color theme="1"/>
        <rFont val="Calibri"/>
        <scheme val="minor"/>
      </rPr>
      <t>: La quantité de papier utilisé par personnel est similaire dans le secteur "activité pour la santé humaine" et dans le reste du périmètre considéré</t>
    </r>
  </si>
  <si>
    <t>(1) Tableau des entrées-sorties, niveau 139, INSEE
(2) Base carbone de l'ADEME "papier et carton", https://bilans-ges.ademe.fr/fr/basecarbone/donnees-consulter/liste-element?recherche=papier+et+carton</t>
  </si>
  <si>
    <t>On regarde les dépenses de la santé en papier/carton et on utilise un FE en kgCO2/€</t>
  </si>
  <si>
    <t>Le montant exact des dépenses pour les fournitures administratives autres que papier/carton</t>
  </si>
  <si>
    <t>Ne prend en compte que le papier et le carton</t>
  </si>
  <si>
    <t>Tout, uniquement papier/carton</t>
  </si>
  <si>
    <t>Ordre de grandeur correct</t>
  </si>
  <si>
    <t>PRODUITS</t>
  </si>
  <si>
    <t>Achats en million d'euros du secteur "activité pour la santé humaine marchande"</t>
  </si>
  <si>
    <t>Achats en million d'euros du secteur "activité pour la santé humaine non marchande"</t>
  </si>
  <si>
    <t>Ratio monétaire</t>
  </si>
  <si>
    <t>émission</t>
  </si>
  <si>
    <t>unité</t>
  </si>
  <si>
    <t>Fabrication de pâte à papier, de papier et de carton</t>
  </si>
  <si>
    <t>kgCO2e / k€ HT</t>
  </si>
  <si>
    <t>(2) ADEME - Papier et cartons</t>
  </si>
  <si>
    <t>Fabrication d articles en papier ou en carton</t>
  </si>
  <si>
    <t>On fait maintenant l'hypothèse que la quantité de papier utilisé dépend linéairement des effectifs pris en compte</t>
  </si>
  <si>
    <r>
      <rPr>
        <b/>
        <sz val="11"/>
        <color rgb="FF7030A0"/>
        <rFont val="Calibri"/>
        <scheme val="minor"/>
      </rPr>
      <t>Hyp 1 :</t>
    </r>
    <r>
      <rPr>
        <sz val="11"/>
        <color theme="1"/>
        <rFont val="Calibri"/>
        <scheme val="minor"/>
      </rPr>
      <t xml:space="preserve"> La quantité de papier utilisé par personnel est similaire dans le secteur "activité pour la santé humaine" et dans le reste du périmètre considéré</t>
    </r>
  </si>
  <si>
    <t>Le secteur "activité pour la santé humaine" inclus les établissements hospitaliers et la médecine libérale (sans les officines). On y ajoute donc les établissements médico-sociaux et les pharmacies.</t>
  </si>
  <si>
    <t>Effectif</t>
  </si>
  <si>
    <t>Emissions</t>
  </si>
  <si>
    <t>Secteur "activité pour la santé humaine"</t>
  </si>
  <si>
    <t>Secteur de la santé hors secteur "activité pour la santé humaine"</t>
  </si>
  <si>
    <t>Achat de produits et services / Sous-poste Services fortement matériels</t>
  </si>
  <si>
    <t>Service</t>
  </si>
  <si>
    <t>Il s’agit des factures pour les prestations de services telles que la maintenance technique ; l’entretien/nettoyage ; la téléphonie ; la publicité/communication ; la reprographie ; l’hébergement de serveur ou de site internet ; les espaces verts, à partir du suivi des achats  (en montant monétaire) ; mais aussi "Réparation et installation de machines et d'équipements", "Programmation, conseil et autres activités informatiques;Services d'information", "Services de publicité et d'études de marché"</t>
  </si>
  <si>
    <t>(1) Tableau des entrées-sorties, niveau 139, INSEE
(2) Base carbone de l'ADEME, https://bilans-ges.ademe.fr/fr/basecarbone/donnees-consulter/liste-element?recherche=papier+et+carton</t>
  </si>
  <si>
    <t xml:space="preserve">L'idée ici est d'adopter une approche top down et d'utiliser les tableaux Entrées-Sorties d'Eurostat pour avoir accès au montant des différents services et ensuite d'utiliser les ratios monétaires appropriés pour en déduire les émissions associées </t>
  </si>
  <si>
    <t xml:space="preserve">Les tableaux E-S pour le médico social pris en compte dans le périmètre. Eurostat présente ces données poru tout le médico-social ce qui est un périmètre trop large pour nous car nous ne prenons pas en compte le social. </t>
  </si>
  <si>
    <t>Les données des achats sont de 2014 ; les données ne comprennent que le champ "activités pour la santé humaine" et donc les émissions sont sous-estimées.</t>
  </si>
  <si>
    <t xml:space="preserve">Médecine de ville et établissements de santé </t>
  </si>
  <si>
    <t>Imprimerie et reproduction d enregistrements</t>
  </si>
  <si>
    <t>(2) ADEME - Services (imprimerie, publicité, architecture et ingénierie, maintenance multi-technique des bâtiments, gardiennage, nettoyage, sécurité, agence de voyage, autres services aux entreprises)</t>
  </si>
  <si>
    <t>Activités de poste et de courrier</t>
  </si>
  <si>
    <t>(2) ADEME - Courrier</t>
  </si>
  <si>
    <t>Télécommunication</t>
  </si>
  <si>
    <t>(2) ADEME - Télécommunications</t>
  </si>
  <si>
    <t>Édition</t>
  </si>
  <si>
    <t>(2) ADEME - Édition (livres, journaux, revues, etc.)</t>
  </si>
  <si>
    <t>Prod  films cinémat  vidéo et prog TV- enrg  sonore et éd  musicale</t>
  </si>
  <si>
    <t>Programmation et diffusion</t>
  </si>
  <si>
    <t>Programmation, conseil et autres activités informatiques</t>
  </si>
  <si>
    <t>Services d information</t>
  </si>
  <si>
    <t>Activ  svices financiers, hors assur  et cais  retr  (hors SIFIM)</t>
  </si>
  <si>
    <t>(2) ADEME - Assurance, services bancaires, conseil et honoraires</t>
  </si>
  <si>
    <t>Activ  svices financiers, hors assur  et cais  retr  (SIFIM)</t>
  </si>
  <si>
    <t>Assurance</t>
  </si>
  <si>
    <t>Activités auxiliaires de services financiers et d assurance</t>
  </si>
  <si>
    <t>Activités juridiques et comptables</t>
  </si>
  <si>
    <t>Activités des sièges sociaux - conseil de gestion</t>
  </si>
  <si>
    <t>Activ   architecture et ingénierie- contrôle et analyses techniques</t>
  </si>
  <si>
    <t>Publicité et études de marché</t>
  </si>
  <si>
    <t>Enquêtes et sécurité</t>
  </si>
  <si>
    <t>Services relatifs aux bâtiments et aménagement paysager</t>
  </si>
  <si>
    <t>empreinte carbone des services</t>
  </si>
  <si>
    <t xml:space="preserve">Achat et traitement du linge </t>
  </si>
  <si>
    <t xml:space="preserve">Émissions liées à l'achat et au traitement/Blanchissement du linge externalisé par les établissements de santé </t>
  </si>
  <si>
    <r>
      <rPr>
        <b/>
        <sz val="11"/>
        <color rgb="FF7030A0"/>
        <rFont val="Calibri"/>
        <scheme val="minor"/>
      </rPr>
      <t xml:space="preserve">Hyp 1 </t>
    </r>
    <r>
      <rPr>
        <sz val="11"/>
        <color theme="1"/>
        <rFont val="Calibri"/>
        <scheme val="minor"/>
      </rPr>
      <t xml:space="preserve">: D'après les données de l'URBH de 2010, 80% des hôpitaux publics internalisent au moins une partie du blanchissement de leur linge. De plus, d'après la source (6) de 2019 les blanchisseries hospitalières traitent en moyenne 1,5 tonne de linge par jour. Nous faisons donc l'hypothèse que 43 % du linge (en masse) est traité/blanchi en interne. 
</t>
    </r>
    <r>
      <rPr>
        <b/>
        <sz val="11"/>
        <color rgb="FF7030A0"/>
        <rFont val="Calibri"/>
        <scheme val="minor"/>
      </rPr>
      <t>Hyp 2 :</t>
    </r>
    <r>
      <rPr>
        <sz val="11"/>
        <color theme="1"/>
        <rFont val="Calibri"/>
        <scheme val="minor"/>
      </rPr>
      <t xml:space="preserve"> D'après la source (5), il faut traiter 1,8 kg de linge par jour et par lit dans les EHPAD. Nous faisons l'hypothèse que cette valeur s'applique également pour les établissements d'acceuil et de services pour adultes et enfants handicapés. 
</t>
    </r>
    <r>
      <rPr>
        <b/>
        <sz val="11"/>
        <color rgb="FF7030A0"/>
        <rFont val="Calibri"/>
        <scheme val="minor"/>
      </rPr>
      <t xml:space="preserve">Hyp 3 </t>
    </r>
    <r>
      <rPr>
        <sz val="11"/>
        <color theme="1"/>
        <rFont val="Calibri"/>
        <scheme val="minor"/>
      </rPr>
      <t xml:space="preserve">: Nous faisons l'hypothèse que dans les établissements pour personnes âgées, toutes les places sont occupées et donc que toutes les places nécessitent un changement de linge.
</t>
    </r>
    <r>
      <rPr>
        <b/>
        <sz val="11"/>
        <color rgb="FF7030A0"/>
        <rFont val="Calibri"/>
        <scheme val="minor"/>
      </rPr>
      <t xml:space="preserve">Hyp 4 </t>
    </r>
    <r>
      <rPr>
        <sz val="11"/>
        <color theme="1"/>
        <rFont val="Calibri"/>
        <scheme val="minor"/>
      </rPr>
      <t xml:space="preserve">: Nous faisons l'hypothèse que l'ensemble du textile acheté sur une année est consommé sur cette même année. Le textile est donc vu comme un achat et pas une immobilisation. 
</t>
    </r>
    <r>
      <rPr>
        <b/>
        <sz val="11"/>
        <color rgb="FF7030A0"/>
        <rFont val="Calibri"/>
        <scheme val="minor"/>
      </rPr>
      <t xml:space="preserve">Hyp 5 </t>
    </r>
    <r>
      <rPr>
        <sz val="11"/>
        <color theme="1"/>
        <rFont val="Calibri"/>
        <scheme val="minor"/>
      </rPr>
      <t xml:space="preserve">: Dans les TES de l'INSEE, plusieurs catégories correspondent au textile. Nous faisons l'hypothèse que la catégorie " fabrication de textile" est déjà intégralement prise en compte dans le poste "Dispositifs médicaux". Nous prenons donc en compte " Industrie de l'habillement" et "industrie du cuir et de la chaussure". </t>
    </r>
  </si>
  <si>
    <r>
      <t xml:space="preserve">(1) Base Angers, 2019, https://www.chu-angers.fr/le-chu-angers/partenariats-et-cooperations/base-des-donnees-de-cout-par-activite-base-d-angers/base-de-donnees-des-couts-par-activite-base-d-angers-55791.kjsp
(2) LES CHIFFRES  CLÉS DE L’OFFRE DE SOINS, 2017, Page 5 https://solidarites-sante.gouv.fr/IMG/pdf/dgos_cc_2018_02_16_a_web_pages_hd.pdf
(3) DREES Les établissements et services pour personnes handicapées, 2018, https://drees.solidarites-sante.gouv.fr/sites/default/files/2021-01/Fiche%2023%20-%20Les%20%C3%A9tablissements%20et%20services%20pour%20personnes%20handicap%C3%A9es.pdf
(4) Guide de la fonction linge, URBH, 2010, http://www.urbh.net/index.php/documentations-menu/les-publications-urbh/les-guides-urbh/le-guide-de-la-fonction-linge
(5) En quoi la fonction linge impacte-t-elle la qualité de l’accompagnementpersonnalisé des usagers ?, 2015, https://documentation.ehesp.fr/memoires/2015/ehpad/pallard.pdf
(6) BLANCHISSERIES HOSPITALIÈRES DES COÛTS À NE PAS SOUS-ESTIMER, https://asteres.fr/site/wp-content/uploads/2019/11/Aster%C3%A8s-GEIST-Etude-blanchisseries-hospitali%C3%A8res-13112019.pdf
(7) Bilan carbone, </t>
    </r>
    <r>
      <rPr>
        <b/>
        <sz val="11"/>
        <color theme="1"/>
        <rFont val="Calibri"/>
        <scheme val="minor"/>
      </rPr>
      <t>Anonyme</t>
    </r>
    <r>
      <rPr>
        <sz val="11"/>
        <color theme="1"/>
        <rFont val="Calibri"/>
        <scheme val="minor"/>
      </rPr>
      <t xml:space="preserve"> 
(8) Tableaux entrée-sortie de l'INSEE, 2018, Comptes nationaux - Base 2014, Insee
(9) Textile et habillement, Base carbone de l'ADEME, https://bilans-ges.ademe.fr/fr/accueil/documentation-gene/index/page/Autres-services-informatiques
</t>
    </r>
  </si>
  <si>
    <r>
      <t xml:space="preserve">Notre estimation des émissions associées au linge se divise en deux étapes : une première étape qui vise à estimer les émissions associées à l'externalisation du traitement du linge par les établissements et une seconde étape qui vise à estimer les émissions associées à l'achat de textile par ces mêmes établissements. 
</t>
    </r>
    <r>
      <rPr>
        <b/>
        <sz val="11"/>
        <rFont val="Calibri"/>
        <scheme val="minor"/>
      </rPr>
      <t xml:space="preserve">Étape 1 : </t>
    </r>
    <r>
      <rPr>
        <sz val="11"/>
        <rFont val="Calibri"/>
        <scheme val="minor"/>
      </rPr>
      <t xml:space="preserve">
Pour la première étape, l'objectif  est d'estimer l'empreinte carbone associée au traitement/blanchissement du linge utilisé par les établissements de santé et les établissements médico-sociaux qui font partie de notre périmètre. 
Il faut être vigileant au double compte : l'empreinte carbone associée au traitement/blanchissement du linge en interne a déjà été prise en compte dans les postes énergie, transport, etc. Ici, il faut uniquement ajouter l'empreinte carbone associée au traitement/blanchissement du linge externalisé par les établissements. Pour faire cela, nous commençons par estimer la quantité totale de linge traitée par les établissements concernés. Puis, à partir de données de l'Union des Responsables de Blanchisserie Hospitalière (URBH), de la base Angers, et de la source (6), nous en déduisons la quantité de linge traité en dehors des établissements. Enfin, à l'aide des données carbones sur la blanchisserie d'un CH qui permettent d'obtenir un ratio en tonnes de CO2 par tonnes de linges traités, nous en déduisons l'empreinte carbone associée.
Pour estimer la quantité de linge traité dans les établissements concernés nous utilisons : 
     - Les données de la base Angers pour les CHU, les CH et les CH Psy,
     - Une extrapolation de la quantité de linge traité par nombre de lits et places pour le reste des établissements de santé. 
     - Un ratio de linge traité par jour et par lit pour les établissements médico-social. 
</t>
    </r>
    <r>
      <rPr>
        <b/>
        <sz val="11"/>
        <rFont val="Calibri"/>
        <scheme val="minor"/>
      </rPr>
      <t xml:space="preserve">Étape 2 : 
</t>
    </r>
    <r>
      <rPr>
        <sz val="11"/>
        <rFont val="Calibri"/>
        <scheme val="minor"/>
      </rPr>
      <t xml:space="preserve">Pour cette deuxièe étape, l'objectif est d'estimer l'empreinte carbone associée à l'achat de textile par les établissements de notre périmètre. Pour cela, nous utilisons les données de tableaux entrée-sortie (TES) de l'INSEE de 2018 qui donnent les achats par grande catégorie de La division 86 qui couvre les établissements hospitaliers et la médecine ville.
Ces TES donnent des flux monétaires. Nous utilisons ensuite le facteur d'émission monétaire de l'ADEME poru en déduire les émissions associées. </t>
    </r>
  </si>
  <si>
    <t xml:space="preserve">Les quantités de linge traitées par la médecine de ville. Les quantités de textile achetées par le médico-social et les pharmacies. </t>
  </si>
  <si>
    <t xml:space="preserve">La première partie du modèle repose sur un facteur d'émission qui n'est pas issu de la base carbone de l'ADEME (mais d'un ratio d'un bilan carbone effectué par un CH). </t>
  </si>
  <si>
    <t xml:space="preserve">Pour la partie sur le traitement du linge, la médecine de ville n'est pas prise en compte. 
Pour la partie sur les achats de textile, le médico-social et les pharmacies ne sont pas prises en compte.  </t>
  </si>
  <si>
    <t xml:space="preserve">Le facteur d'émission utilisé pour le traitement du linge provient d'un bilan carbone de CH. Ce FE ne prend pas en compte le Fret associé à l'externalisation du traitement du linge. </t>
  </si>
  <si>
    <t xml:space="preserve">Partie 0:  Synthèse des résultats </t>
  </si>
  <si>
    <t>Émission (MtC02)</t>
  </si>
  <si>
    <t xml:space="preserve">Emissions dues au traitement du linge </t>
  </si>
  <si>
    <t xml:space="preserve">Emissions dues à l'achat de texile </t>
  </si>
  <si>
    <t xml:space="preserve">Partie I: Estimation de l'empreinte carbone associée au traitement du linge externalisé par les établissements de santé et les établissements médico-sociaux. </t>
  </si>
  <si>
    <t xml:space="preserve">L'objectif de cette partie est d'estimer l'empreinte carbone associée au traitement/blanchissement du linge utilisé par les établissements de santé et les établissements médico-sociaux qui font partie de notre périmètre. 
Il faut être vigileant au double compte : l'empreinte carbone associée au traitement/blanchissement du linge en interne a déjà été prise en compte dans les postes énergie, transport, etc. Ici, il faut uniquement ajouter l'empreinte carbone associée au traitement/blanchissement du linge externalisé par les établissements. Pour faire cela, nous commençons par estimer la quantité totale de linge traitée par les établissements concernés. Puis, à partir de données de l'Union des Responsables de Blanchisserie Hospitalière (URBH), de la base Angers, et de la source (6), nous en déduisons la quantité de linge traité en dehors des établissements. Enfin, à l'aide des données carbones sur la blanchisserie d'un CH qui permettent d'obtenir un ratio en tonnes de CO2 par tonnes de linges traités, nous en déduisons l'empreinte carbone associée.
Pour estimer la quantité de linge traité dans les établissements concernés nous utilisons : 
     - Les données de la base Angers pour les CHU, les CH et les CH Psy,
     - Une extrapolation de la quantité de linge traité par nombre de lits et places pour le reste des établissements de santé. 
     - Un ratio de linge traité par jour et par lit pour les établissements médico-social. 
</t>
  </si>
  <si>
    <r>
      <rPr>
        <b/>
        <sz val="11"/>
        <color rgb="FF7030A0"/>
        <rFont val="Calibri (Corps)"/>
      </rPr>
      <t>Hyp 1 :</t>
    </r>
    <r>
      <rPr>
        <sz val="11"/>
        <color theme="1"/>
        <rFont val="Calibri"/>
        <scheme val="minor"/>
      </rPr>
      <t xml:space="preserve"> D'après les données de l'URBH de 2010, 80% des hôpitaux publics internalisent au moins une partie du blanchissement de leur linge. De plus, d'après la source (6) de 2019 les blanchisseries hospitalières traitent en moyenne 1,5 tonne de linge par jour. Nous faisons donc l'hypothèse que 43 % du linge (en masse) est traité/blanchi en interne. </t>
    </r>
  </si>
  <si>
    <r>
      <rPr>
        <b/>
        <sz val="11"/>
        <color rgb="FF7030A0"/>
        <rFont val="Calibri (Corps)"/>
      </rPr>
      <t>Hyp 2  :</t>
    </r>
    <r>
      <rPr>
        <sz val="11"/>
        <color theme="1"/>
        <rFont val="Calibri"/>
        <scheme val="minor"/>
      </rPr>
      <t xml:space="preserve"> D'après la source (5), il faut traiter 1,8 kg de linge par jour et par lit dans les EHPAD. Nous faisons l'hypothèse que cette valeur s'applique également pour les établissements d'acceuil et de services pour adultes et enfants handicapés. </t>
    </r>
  </si>
  <si>
    <r>
      <rPr>
        <b/>
        <sz val="11"/>
        <color rgb="FF7030A0"/>
        <rFont val="Calibri (Corps)"/>
      </rPr>
      <t xml:space="preserve">Hyp 3: </t>
    </r>
    <r>
      <rPr>
        <sz val="11"/>
        <color theme="1"/>
        <rFont val="Calibri"/>
        <scheme val="minor"/>
      </rPr>
      <t xml:space="preserve">Nous faisons l'hypothèse que dans les établissements pour personnes âgées, toutes les places sont occupées et donc que toutes les places nécessitent un changement de linge. </t>
    </r>
  </si>
  <si>
    <t xml:space="preserve">Nous commencons par estimer la quantité de linge traité dans les CHU, les CH et les CH spécialisés en psy. </t>
  </si>
  <si>
    <t xml:space="preserve">Pour ces établissements, nous utilisons les données de la base Angers qui donnent le nombre de kg de linge traité par an par établissement intérrogé. Les résultats sont présentés par grande catégorie d'établissements. </t>
  </si>
  <si>
    <t>Catégorie</t>
  </si>
  <si>
    <t xml:space="preserve">Nombre d'établissements </t>
  </si>
  <si>
    <t xml:space="preserve">Moyenne de kg de linge lavé par an </t>
  </si>
  <si>
    <t>CH</t>
  </si>
  <si>
    <r>
      <t xml:space="preserve">dont CH 1 </t>
    </r>
    <r>
      <rPr>
        <vertAlign val="superscript"/>
        <sz val="10"/>
        <rFont val="Calibri"/>
      </rPr>
      <t>(1)</t>
    </r>
  </si>
  <si>
    <r>
      <t xml:space="preserve">dont CH 2 </t>
    </r>
    <r>
      <rPr>
        <vertAlign val="superscript"/>
        <sz val="10"/>
        <rFont val="Calibri"/>
      </rPr>
      <t>(1)</t>
    </r>
  </si>
  <si>
    <r>
      <t xml:space="preserve">dont CH 3 </t>
    </r>
    <r>
      <rPr>
        <vertAlign val="superscript"/>
        <sz val="10"/>
        <rFont val="Calibri"/>
      </rPr>
      <t>(1)</t>
    </r>
  </si>
  <si>
    <r>
      <t xml:space="preserve">dont CH 4 </t>
    </r>
    <r>
      <rPr>
        <vertAlign val="superscript"/>
        <sz val="10"/>
        <rFont val="Calibri"/>
      </rPr>
      <t>(1)</t>
    </r>
  </si>
  <si>
    <t>CHS</t>
  </si>
  <si>
    <r>
      <t xml:space="preserve">dont CHS 1 </t>
    </r>
    <r>
      <rPr>
        <vertAlign val="superscript"/>
        <sz val="10"/>
        <rFont val="Calibri"/>
      </rPr>
      <t>(2)</t>
    </r>
  </si>
  <si>
    <r>
      <t xml:space="preserve">dont CHS 2 </t>
    </r>
    <r>
      <rPr>
        <vertAlign val="superscript"/>
        <sz val="10"/>
        <rFont val="Calibri"/>
      </rPr>
      <t>(2)</t>
    </r>
  </si>
  <si>
    <t>CHU</t>
  </si>
  <si>
    <r>
      <t xml:space="preserve">dont CHU 1 </t>
    </r>
    <r>
      <rPr>
        <vertAlign val="superscript"/>
        <sz val="10"/>
        <rFont val="Calibri"/>
      </rPr>
      <t>(3)</t>
    </r>
  </si>
  <si>
    <r>
      <t xml:space="preserve">dont CHU 2 </t>
    </r>
    <r>
      <rPr>
        <vertAlign val="superscript"/>
        <sz val="10"/>
        <rFont val="Calibri"/>
      </rPr>
      <t>(3)</t>
    </r>
  </si>
  <si>
    <t>Ces données nous donnent des ratios exploitables pour 3 types d'établissements : les CHU, les CH et les CH spécialisés en psy. Nous dressons la liste de ces établissements. Notez que nous utilisons le chiffre de 32 CHU qui correspondent à 178 entités juridiques.</t>
  </si>
  <si>
    <t xml:space="preserve">Nombre de structures </t>
  </si>
  <si>
    <t xml:space="preserve">CHU </t>
  </si>
  <si>
    <t xml:space="preserve">CH </t>
  </si>
  <si>
    <t xml:space="preserve">CH spécialisés en psy </t>
  </si>
  <si>
    <t xml:space="preserve">Nous en déduisons la quantité de lingé traité dans les 3 types d'établissements. </t>
  </si>
  <si>
    <t xml:space="preserve">Quantité de linge traité par an (kg) </t>
  </si>
  <si>
    <t xml:space="preserve">Pour les établissements de santé qui ne sont pas des CHU, des CH ou des CH psy : Nous cherchons maintenant une relation entre la quantité de linge traité par les établissements et leur nombre de lits et places pour pouvoir en déduire la quantité de linge traité dans les établissements qui n'ont pas encore été pris en compte. </t>
  </si>
  <si>
    <t xml:space="preserve">Tonnes de linge hospitalier traité </t>
  </si>
  <si>
    <t xml:space="preserve">Anonyme </t>
  </si>
  <si>
    <t>Nous trouvons une relation quasi-linéaire entre la quantité de linge traité et le nombre de lits et places dans les établissements de santé. Le coefficient de correlation est de 0,92.</t>
  </si>
  <si>
    <t>Nous prenons donc comme hypothèse que la quantité de lingne traité chaque année est donnée par :</t>
  </si>
  <si>
    <t xml:space="preserve">f(x) = </t>
  </si>
  <si>
    <t>x</t>
  </si>
  <si>
    <t>où x représente le nombre de lits et de places. Le résultat est en tonnes de linge lavé.</t>
  </si>
  <si>
    <t>Nous répertorions le nombre de lits et places à prendre en compte (en excluant les CHU, les CH et les CH spécialisés en psy) pour les établissements de santé</t>
  </si>
  <si>
    <t xml:space="preserve">Nombre de lits et places </t>
  </si>
  <si>
    <t>Autres établissements publics</t>
  </si>
  <si>
    <t xml:space="preserve">Privé d'interêt collectif </t>
  </si>
  <si>
    <t xml:space="preserve">Privé à but lucratif </t>
  </si>
  <si>
    <t>Nous en déduisons la quantité de linge traité par an dans tous les établissements de santé.</t>
  </si>
  <si>
    <t>Publics</t>
  </si>
  <si>
    <t xml:space="preserve">Total </t>
  </si>
  <si>
    <t xml:space="preserve">Il nous faut maintenant prendre en compte le médico social. Pour ces établissements, nous utilisons la source (5) et l'hypothèse 2 : 1,8 kg de linge lavé par jour et par lit. 
</t>
  </si>
  <si>
    <t xml:space="preserve">Nous répertorions dans un premier temps le nombre de lits et places à prendre en compte dans le médico social dédié aux personnes âgées. Pour cela, nous faisons attention à ne pas prendre en compte les EPHAD déjà pris en compte dans les établissements de santé. Pour comprendre comment ces résultats sont obtenus, se référerer à la méthodologie du poste 9.alimentaire. </t>
  </si>
  <si>
    <t xml:space="preserve">Enfin, nous répertorions le nombre de lits et places à prendre en compte dans le médico social dédié aux adultes et enfants handicapés. Pour cela nous utilisons les données de la DREES pour ne considérer que les places en internat. </t>
  </si>
  <si>
    <t xml:space="preserve">Nombre de places en internat en 2018 </t>
  </si>
  <si>
    <t>Structures pour adultes et enfants handicapés</t>
  </si>
  <si>
    <t>Nous en déduisons la quantité de linge traité par an dans tous les établissements considérés dans notre périmètre.</t>
  </si>
  <si>
    <t xml:space="preserve">Structures pour adultes et enfants handicapés </t>
  </si>
  <si>
    <t xml:space="preserve">Les étapes précedentes nous donnent tout le linge traité dans les établissements considérés. Comme expliqué plus haut, il faut maintenant retirer le ligne qui est traité en interne pour éviter les doubles comptes. Pour cela, nous estimons la quantité du traitement de linge qui est externalisé par les établissements de santé. </t>
  </si>
  <si>
    <t>Une certaine partie du linge est traitée en interne dans les établissements de santé. En 2010, l'URBH (4) estimait que 20 % des établissements publics avaient externalisé totalement leur traitement du linge. Cela signifie que 80 % internalise tout ou partie du traitement du linge. Pour avoir une estimation de la quantité de linge externalisée, nous utilisons (6) qui indique que "les blanchisseries hospitalières traitent en moyenne 1,5 tonne de linge par jour" et nous comparons ce chiffre avec les données de la base Angers. .</t>
  </si>
  <si>
    <t xml:space="preserve">En comparant cela avec les données moyennes de la base Angers, nous en déduisons que les blanchisseries internes peuvent traiter </t>
  </si>
  <si>
    <t xml:space="preserve">% du linge </t>
  </si>
  <si>
    <t xml:space="preserve">Nous obtenons donc les résultats suivant : </t>
  </si>
  <si>
    <t xml:space="preserve">Quantité de linge dont le traitement est externalisé chaque année (kg) </t>
  </si>
  <si>
    <t xml:space="preserve">Estimation des émissions associées à l'externalisation du ligne par les établissements de santé et le médico-social. </t>
  </si>
  <si>
    <t>Nous utilisons ici les données d'un CH qui dans leur bilan carbone de 2016 estime les émissions de GES associés à leur blanchisserie ainsi que la quantité de linge traité chaque année.</t>
  </si>
  <si>
    <t>Cela permet alors d'obtenir un ratio en TCO2e/Tonne de linge traité. Il est à noter que ce ratio sous-estime surement les émissions étant donné qu'il ne prend pas en compte la partie Fret lié au traitement du linge. ("Hôpitaux et EHPAD peuvent sous-traiter tout ou partie du blanchissage à des établissements de santé situés dans un périmètre pouvant atteindre 80 kilomètres" (6))</t>
  </si>
  <si>
    <t xml:space="preserve">Ratio Teq CO2/Tonnes de linge traité </t>
  </si>
  <si>
    <t xml:space="preserve">Année </t>
  </si>
  <si>
    <t>N.B. Le facteur d'émission choisi provient du Bilan Carbone d'un CH, qui a déjà réduit de moitié ses émissions entre 2009 et 2016.</t>
  </si>
  <si>
    <t>Le chiffre est donc probablement sous-estimé</t>
  </si>
  <si>
    <t xml:space="preserve">Émissions de gaz à effet de serre (MtCO2e) </t>
  </si>
  <si>
    <t>Partie II: Estimation de l'empreinte carbone associée à l'achat de textile/linge par les établissements</t>
  </si>
  <si>
    <t xml:space="preserve">L'objectif de cette partie est d'estimer l'empreinte carbone associée à l'achat de textile par les établissements de notre périmètre. Pour cela, nous utilisons les données de tableaux entrée-sortie (TES) de l'INSEE de 2018 qui donnent les achats par grande catégorie de La division 86 qui couvre les établissements hospitaliers et la médecine ville.
Ces TES donnent des flux monétaires. Nous utilisons ensuite le facteur d'émission monétaire de l'ADEME poru en déduire les émissions associées. </t>
  </si>
  <si>
    <r>
      <rPr>
        <b/>
        <sz val="11"/>
        <color rgb="FF7030A0"/>
        <rFont val="Calibri (Corps)"/>
      </rPr>
      <t xml:space="preserve">Hyp 1 : </t>
    </r>
    <r>
      <rPr>
        <sz val="11"/>
        <color theme="1"/>
        <rFont val="Calibri (Corps)"/>
      </rPr>
      <t xml:space="preserve">Nous faisons l'hypothèse que l'ensemble du textile acheté sur une année est consommé sur cette même année. Le textile est donc vu comme un achat et pas une immobilisation. </t>
    </r>
  </si>
  <si>
    <r>
      <rPr>
        <b/>
        <sz val="11"/>
        <color rgb="FF7030A0"/>
        <rFont val="Calibri (Corps)"/>
      </rPr>
      <t>Hyp 2  :</t>
    </r>
    <r>
      <rPr>
        <sz val="11"/>
        <color theme="1"/>
        <rFont val="Calibri"/>
        <scheme val="minor"/>
      </rPr>
      <t xml:space="preserve"> Dans les TES de l'INSEE, plusieurs catégories correspondent au textile. Nous faisons l'hypothèse que la catégorie " fabrication de textile" est déjà intégralement prise en compte dans le poste "Dispositifs médicaux". Nous prenons donc en compte " Industrie de l'habillement" et "industrie du cuir et de la chaussure". </t>
    </r>
  </si>
  <si>
    <t xml:space="preserve">Pour rappel : </t>
  </si>
  <si>
    <t>"Les activités pour la santé humaine décrites dans cette division s'exercent sous des formes variées, publiques ou privées, en pratique libérale ou en établissement, sous la responsabilité de médecins ou de personnel para médical. On ne vise pas ici les caractéristiques réglementaires des professions de santé, salariées ou libérales, mais celles des unités de production.
Cette division comprend les activités des établissements hospitaliers de court ou long séjour, publics ou privés, sous la responsabilité de médecins, qui offrent des services d'hébergement et qui assurent un diagnostic et un traitement médical aux patients.
Elle couvre les activités de pratique médicale et de pratique dentaire de nature générale ou spécialisée, correspondant à des formules de consultation, de diagnostic, de soins et de prescriptions, au cabinet du praticien.
Cette division comprend, en outre, les activités afférentes à la santé humaine qui ne sont pas dispensées dans des hôpitaux ou par des médecins, mais généralement exercées par des praticiens paramédicaux exécutant sous leur responsabilité des actes prescrits par un médecin."</t>
  </si>
  <si>
    <t xml:space="preserve">Nous dressons les montants des achats à prendre en compte </t>
  </si>
  <si>
    <t xml:space="preserve">Catégorie </t>
  </si>
  <si>
    <t>Montant (M€)</t>
  </si>
  <si>
    <t xml:space="preserve">(8) </t>
  </si>
  <si>
    <t>Industrie de l'habillement</t>
  </si>
  <si>
    <t>Industrie du cuir et de la chaussure</t>
  </si>
  <si>
    <t xml:space="preserve">Nous prenons le facteur d'émission de l'ADEME qui correspond </t>
  </si>
  <si>
    <t>Facteur d'émission (kgCO2e/k€)</t>
  </si>
  <si>
    <t xml:space="preserve">Source </t>
  </si>
  <si>
    <t xml:space="preserve">Nous en déduisons les émissions associées </t>
  </si>
  <si>
    <t>Émissions (MtCO2e)</t>
  </si>
  <si>
    <t xml:space="preserve">-Bâtiments
-Matériel informatique 
-Mobilier, machines et véhicules
</t>
  </si>
  <si>
    <t xml:space="preserve">- Il s’agit de récupérer les surfaces SHON28 en cours d’amortissement comptable par type de bâtiment et parking ainsi que la durée d’amortissement à partir du suivi des bâtiments et des durées d’amortissement  (en m²)
-Il s’agit de récupérer par type de matériel informatique, les quantités détenues et les durées de renouvellement du matériel à partir du suivi des unités informatiques  (en nombre d’unité)
-Il s’agit de récupérer par type de machine, le type de matériau, le poids et la durée d’amortissement ou de renouvellement des machines à partir du suivi annuel des quantités de fluide rechargées  (en tonnes)
</t>
  </si>
  <si>
    <t>car incomplet</t>
  </si>
  <si>
    <t>Version sous-poste  bâtiments</t>
  </si>
  <si>
    <t>Version sous-poste matériel informatique (SI)</t>
  </si>
  <si>
    <t>Version sous-poste Mobilier+machines+véhicules</t>
  </si>
  <si>
    <t>v1.10</t>
  </si>
  <si>
    <t>Calcul brouillon, odg</t>
  </si>
  <si>
    <t>v1.0.i</t>
  </si>
  <si>
    <t>V1.g</t>
  </si>
  <si>
    <t>Immobilisations / Sous-poste Bâtiments</t>
  </si>
  <si>
    <t>Immobilisation des bâtiments</t>
  </si>
  <si>
    <t>Il s’agit de récupérer les surfaces SHON28 en cours d’amortissement comptable par type de bâtiment ainsi que la durée d’amortissement à partir du suivi des bâtiments et des durées d’amortissement  (en m²)</t>
  </si>
  <si>
    <t>v1.i</t>
  </si>
  <si>
    <r>
      <rPr>
        <b/>
        <sz val="11"/>
        <color rgb="FF7030A0"/>
        <rFont val="Calibri"/>
        <scheme val="minor"/>
      </rPr>
      <t xml:space="preserve">Hyp 1 : </t>
    </r>
    <r>
      <rPr>
        <sz val="11"/>
        <rFont val="Calibri"/>
        <scheme val="minor"/>
      </rPr>
      <t xml:space="preserve">On suppose que le ratio moyens des m2/lit et place des CHU/CH/CHS/EPSM est adapté aux autres structures des établissements de santé  </t>
    </r>
    <r>
      <rPr>
        <b/>
        <sz val="11"/>
        <color rgb="FF7030A0"/>
        <rFont val="Calibri"/>
        <scheme val="minor"/>
      </rPr>
      <t xml:space="preserve">
Hyp 2 : </t>
    </r>
    <r>
      <rPr>
        <sz val="11"/>
        <rFont val="Calibri"/>
        <scheme val="minor"/>
      </rPr>
      <t>On suppose que la surface moyenne d'un cabinet libéral (médical, kiné, infirmier, sage-femme, dentistes...) est de 70 m2 (estimation prise à la louche mais toujours inférieure aux surfaces des établissements dont on a récupéré le BC. cf ce docuement : https://www.drhackney.net/quelle-surface-pour-un-cabinet-medical/)</t>
    </r>
    <r>
      <rPr>
        <b/>
        <sz val="11"/>
        <color rgb="FF7030A0"/>
        <rFont val="Calibri"/>
        <scheme val="minor"/>
      </rPr>
      <t xml:space="preserve">
Hyp 3 : </t>
    </r>
    <r>
      <rPr>
        <sz val="11"/>
        <rFont val="Calibri"/>
        <scheme val="minor"/>
      </rPr>
      <t xml:space="preserve">On suppose que la surface moyenne d'un labo, d'une pharmacie... est de 100m2. Cette estimation sous-estime sûrement la véritable surface moyenne </t>
    </r>
    <r>
      <rPr>
        <b/>
        <sz val="11"/>
        <color rgb="FF7030A0"/>
        <rFont val="Calibri"/>
        <scheme val="minor"/>
      </rPr>
      <t xml:space="preserve">
Hyp 4 : </t>
    </r>
    <r>
      <rPr>
        <sz val="11"/>
        <rFont val="Calibri"/>
        <scheme val="minor"/>
      </rPr>
      <t xml:space="preserve">Au vu des données sur le nombre de professionnels (médecine, sage-femme, kiné...) et le nombre de cabinets, pour les professions dont nous ne disposons pas du nombre de cabinets, nous supposons qu'il y a un cabinet par professionnels "libéraux ou mixte" </t>
    </r>
    <r>
      <rPr>
        <b/>
        <sz val="11"/>
        <color rgb="FF7030A0"/>
        <rFont val="Calibri"/>
        <scheme val="minor"/>
      </rPr>
      <t xml:space="preserve">
Hyp 5 : </t>
    </r>
    <r>
      <rPr>
        <sz val="11"/>
        <rFont val="Calibri"/>
        <scheme val="minor"/>
      </rPr>
      <t>On suppose que la densité des EHPA est la même que la densité des établissements d'accueil pour adultes et enfants handicapés</t>
    </r>
    <r>
      <rPr>
        <b/>
        <sz val="11"/>
        <color rgb="FF7030A0"/>
        <rFont val="Calibri"/>
        <scheme val="minor"/>
      </rPr>
      <t xml:space="preserve">
Hyp 6 : </t>
    </r>
    <r>
      <rPr>
        <sz val="11"/>
        <rFont val="Calibri"/>
        <scheme val="minor"/>
      </rPr>
      <t>Le facteur d'émission associé à la construction des établissements de santé est de 1 147kgCO2/m2</t>
    </r>
    <r>
      <rPr>
        <b/>
        <sz val="11"/>
        <color rgb="FF7030A0"/>
        <rFont val="Calibri"/>
        <scheme val="minor"/>
      </rPr>
      <t xml:space="preserve">
Hyp 7 :  </t>
    </r>
    <r>
      <rPr>
        <sz val="11"/>
        <rFont val="Calibri"/>
        <scheme val="minor"/>
      </rPr>
      <t>Le facteur d'émission associé à la construction des établissements du médico-socail est de 1 043kgCO2/m2 (Bâtiment à usage d'habitation - Etablissement sanitaire avec hébergement)</t>
    </r>
    <r>
      <rPr>
        <b/>
        <sz val="11"/>
        <color rgb="FF7030A0"/>
        <rFont val="Calibri"/>
        <scheme val="minor"/>
      </rPr>
      <t xml:space="preserve">
Hyp 8 :</t>
    </r>
    <r>
      <rPr>
        <sz val="11"/>
        <color rgb="FF7030A0"/>
        <rFont val="Calibri"/>
        <scheme val="minor"/>
      </rPr>
      <t xml:space="preserve"> </t>
    </r>
    <r>
      <rPr>
        <sz val="11"/>
        <rFont val="Calibri"/>
        <scheme val="minor"/>
      </rPr>
      <t>Le facteur d'émission associé à la construction de la médecine de ville  est de 697kgCO2/m2  (Maison individuelle ou accolée)</t>
    </r>
    <r>
      <rPr>
        <b/>
        <sz val="11"/>
        <color rgb="FF7030A0"/>
        <rFont val="Calibri"/>
        <scheme val="minor"/>
      </rPr>
      <t xml:space="preserve">
Hyp 9 : </t>
    </r>
    <r>
      <rPr>
        <sz val="11"/>
        <rFont val="Calibri"/>
        <scheme val="minor"/>
      </rPr>
      <t>La durée d'amortissement des établissements est de 30 ans. (pour les cabinets et les établissements de santé)</t>
    </r>
    <r>
      <rPr>
        <b/>
        <sz val="11"/>
        <color rgb="FF7030A0"/>
        <rFont val="Calibri"/>
        <scheme val="minor"/>
      </rPr>
      <t xml:space="preserve">
Hyp 10 : </t>
    </r>
    <r>
      <rPr>
        <sz val="11"/>
        <rFont val="Calibri"/>
        <scheme val="minor"/>
      </rPr>
      <t>On part du principe que les surfaces construites entre 1990 et 2019 sont égales à la différence de surfaces entre 2019 et 1990. Cela part du principe qu'aucune surface n'a été détruite ou délaissée.</t>
    </r>
    <r>
      <rPr>
        <b/>
        <sz val="11"/>
        <color rgb="FF7030A0"/>
        <rFont val="Calibri"/>
        <scheme val="minor"/>
      </rPr>
      <t xml:space="preserve">
Hyp 11: </t>
    </r>
    <r>
      <rPr>
        <sz val="11"/>
        <rFont val="Calibri"/>
        <scheme val="minor"/>
      </rPr>
      <t>On suppose que la médecine de ville et le médico-social (hors EHPAD) ont le même taux d'évolution des surfaces que pour les établissements de santé.</t>
    </r>
    <r>
      <rPr>
        <b/>
        <sz val="11"/>
        <color rgb="FF7030A0"/>
        <rFont val="Calibri"/>
        <scheme val="minor"/>
      </rPr>
      <t xml:space="preserve">
Hyp 12:</t>
    </r>
    <r>
      <rPr>
        <sz val="11"/>
        <rFont val="Calibri"/>
        <scheme val="minor"/>
      </rPr>
      <t xml:space="preserve"> On suppose que le taux d'évolution des surfaces totales est le même que celui des surfaces chauffées</t>
    </r>
  </si>
  <si>
    <t>(1)Fiche pédagogique -Retraitement comptable 2016 Précisions de calcul sur les m² SDO, https://www.atih.sante.fr/sites/default/files/public/content/3078/2016-03_definition_des_m2_sdo_-1.pdf
(2) LES CHIFFRES  CLÉS DE L’OFFRE DE SOINS, 2017 https://solidarites-sante.gouv.fr/IMG/pdf/dgos_cc_2018_02_16_a_web_pages_hd.pdf
(3) Nombre de dentistes libéraux, Chirurgiens-dentistes : les chiffres clés de la profession en France | Nextdentiste
(4) Nombre de pédicure-podologue libéraux, Démographie professionnelle (onpp.fr)
(5) Ratio de la surface chauffée sur la surface totale dans les établissements de santé, https://archive-ouverte.unige.ch/unige:98199/ATTACHMENT01
(6) Données sur les établissements de type EHPA, Data DREES http://www.data.drees.sante.gouv.fr/ReportFolders/reportFolders.aspx
(7) Facteurs d'émissions du tableau maitre "Bilan_carbone_V8" onglet 
(8) Estimation des surfaces chauffées, p.84, https://pastel.archives-ouvertes.fr/tel-03228301/document 
(9) Précisions sur les données du tertiaire, Ceren, 12/2019, https://www.ceren.fr/publications/les-publications-du-ceren/
(10) L'enquête auprès des établissements d'hébergement pour personnes âgées (EHPA), EHPA 2015 Caractéristiques du bâti-2, https://data.drees.solidarites-sante.gouv.fr/explore/dataset/587_l-enquete-aupres-des-etablissements-d-hebergement-pour-personnes-agees-ehpa/information/
(11) Premières trajectoires dans les secteurs résidentiel et tertiaire pour l’horizon d’étude 2050, RTE,  https://www.concerte.fr/system/files/u12200/2020.09.18%20-%20GT%20Consommation%20-%20%20Premi%C3%A8res%20trajectoires_doc%20cadrage-min.pdf
(12) LE POIDS CARBONE RÉEL D’UN BATIMENT DE BUREAUX TOUT AU LONG DE SON CYCLE DE VIE https://resources.taloen.fr/resources/documents/7765_191210_poids_carbone_ACV_vdef.pdf
(13) Observatoire Bâtiment Energie-Carbone, consulté le 1e septembre 2021, http://observatoire.batiment-energiecarbone.fr/statistiques/experimentation-en-chiffres/</t>
  </si>
  <si>
    <t xml:space="preserve">Pour les constructions :
Pour ce poste nous allons estimer les surfaces moyennes des établissements sanitaires et médico-sociaux pour ensuite en déduire la surface immobilisée. 
Pour cela nous allons partir de surfaces moyennes/lits et places des établissements de santé que nous allons multiplier par le nombre de lits et de places. Ces surfaces moyennes sont obtenues à partir d'estimations de ces ratios pour un échantillon d'établissements.
Pour la médecine de ville, nous allons faire des hypothèses de surfaces par cabinets et nous allons utiliser le nombre total de cabinets. 
Pour les EHPA et les ES "handicap" nous allons utiliser les données de la DREES (surface moyenne par lits ou places.)
Une fois ces surfaces globales estimées, nous allons utiliser les données du CEREN pour en déduire un taux d'évolution des surfaces annuel. Ce taux d'évolution nous permettra alors d'en déduire les surfaces construites les 30 dernières années.
Enfin, nous utiliserons des facteurs d'émissions issus de REX pour en déduire les émissions associées à la construction 
Pour la rénovation : 
Pour ce poste, nous allons utiliser les taux de rénovation des bâtiments du tertiaire pour l'année 2019 publié par RTE afin de modéliser une évolution exponentielle du taux de rénovation.
A partir de ce taux, nous allons en déduire la quantité de surface rénovée depuis 30 ans. Enfin, nous allons utiliser un facteur d'émission pour la rénovation pour ensuite en déduire les émissions associées à la rénovation depuis 30 ans. Il ne nous restera plus qu'à diviser ces émissions par la durée d'amortissement (30ans) pour avoir les émissions annuelles
</t>
  </si>
  <si>
    <t>c</t>
  </si>
  <si>
    <t xml:space="preserve">Le facteur d'émission pour la rénovation + Le taux de rénovation spécifique aux bâtiements du secteur de la santé </t>
  </si>
  <si>
    <t xml:space="preserve">Ce modèle intègre les rénovations. Mais il utilise des données propres au tertiaire et pas spécifique au secteur de la santé. De plus, le FE utilisé pour la rénovation est celui du résidentiel. Il y a donc plusieurs  approximations. Mais l'objectif était d'avoir un ordre de grandeur. </t>
  </si>
  <si>
    <t>tout (sauf administrations)</t>
  </si>
  <si>
    <t>La plus grande source d'incertitude vient des facteurs d'émission</t>
  </si>
  <si>
    <t>Partie I.1: Estimation de la surface des établissements de santé</t>
  </si>
  <si>
    <t xml:space="preserve">Commençons par présenter les ratios que nous allons retenir pour estimer la surface totale des établissements de santé. </t>
  </si>
  <si>
    <t>Structures</t>
  </si>
  <si>
    <t xml:space="preserve">ratios </t>
  </si>
  <si>
    <t xml:space="preserve">source </t>
  </si>
  <si>
    <t>m2/lit et place</t>
  </si>
  <si>
    <t xml:space="preserve">Véronique Molière </t>
  </si>
  <si>
    <t>CHS/EPSM</t>
  </si>
  <si>
    <t>Moyenne pondérée</t>
  </si>
  <si>
    <r>
      <rPr>
        <b/>
        <sz val="10"/>
        <color rgb="FF7030A0"/>
        <rFont val="Arial"/>
      </rPr>
      <t>Hyp 1 :</t>
    </r>
    <r>
      <rPr>
        <sz val="10"/>
        <color rgb="FF00005A"/>
        <rFont val="Arial"/>
      </rPr>
      <t xml:space="preserve"> On suppose que le ratio moyens des m2/lit et place des CHU/CH/CHS/EPSM est adapté aux autres structures des établissements de santé  </t>
    </r>
  </si>
  <si>
    <t>Surface totale des établissements de santé publics et privés</t>
  </si>
  <si>
    <t>m2</t>
  </si>
  <si>
    <t xml:space="preserve">Partie I.2: Estimation de la surface totale des cabinets de la médecine de ville </t>
  </si>
  <si>
    <t>on utilise les données disponibles sur le nombre de cabinets, officines,etc et sur les surfaces minimales légales de ces établissements</t>
  </si>
  <si>
    <r>
      <rPr>
        <b/>
        <sz val="11"/>
        <color rgb="FF7030A0"/>
        <rFont val="Calibri"/>
        <scheme val="minor"/>
      </rPr>
      <t xml:space="preserve">Hyp 2 : </t>
    </r>
    <r>
      <rPr>
        <sz val="11"/>
        <rFont val="Calibri"/>
        <scheme val="minor"/>
      </rPr>
      <t>On suppose que la surface moyenne d'un cabinet libéral (médical, kiné, infirmier, sage femme, dentistes...) est de 70 m2 (estimation prise à la louche mais toujours inférieure aux surfaces des établissements dont on a récupéré le BC. cf ce docuement : https://www.drhackney.net/quelle-surface-pour-un-cabinet-medical/)</t>
    </r>
  </si>
  <si>
    <r>
      <rPr>
        <b/>
        <sz val="11"/>
        <color rgb="FF7030A0"/>
        <rFont val="Calibri"/>
        <scheme val="minor"/>
      </rPr>
      <t xml:space="preserve">Hyp 3 </t>
    </r>
    <r>
      <rPr>
        <sz val="11"/>
        <color theme="1"/>
        <rFont val="Calibri"/>
        <scheme val="minor"/>
      </rPr>
      <t xml:space="preserve">: On suppose que la surface moyenne d'un labo, d'une pharmacie... est de 100m2. Cette estimation sous-estime sûrement la véritable surface moyenne </t>
    </r>
  </si>
  <si>
    <r>
      <rPr>
        <b/>
        <sz val="11"/>
        <color rgb="FF7030A0"/>
        <rFont val="Calibri"/>
        <scheme val="minor"/>
      </rPr>
      <t>Hyp 4 :</t>
    </r>
    <r>
      <rPr>
        <sz val="11"/>
        <color theme="1"/>
        <rFont val="Calibri"/>
        <scheme val="minor"/>
      </rPr>
      <t xml:space="preserve"> Au vu des données sur le nombre de professionnels (médecine, sage femme, kiné...) et le nombre de cabinets, pour les professions dont nous ne disposons pas du nombre de cabinets, nous supposons qu'il y a un cabine par professionnels "libéraux ou mixte" </t>
    </r>
  </si>
  <si>
    <t xml:space="preserve">Nombre </t>
  </si>
  <si>
    <t>Officines</t>
  </si>
  <si>
    <t xml:space="preserve">Laboratoires de biologie </t>
  </si>
  <si>
    <t>Maison de santé</t>
  </si>
  <si>
    <t>Centres de santé</t>
  </si>
  <si>
    <t>Cabinets d'infirmiers</t>
  </si>
  <si>
    <t>Cabinets de masseurs-kinés</t>
  </si>
  <si>
    <t xml:space="preserve">Cabinets de médecins </t>
  </si>
  <si>
    <t>Cabinets de chirurgiens dentites</t>
  </si>
  <si>
    <t xml:space="preserve">Cabinets de pédicure-podologues </t>
  </si>
  <si>
    <t>Cabinet de sage femme</t>
  </si>
  <si>
    <t>On fait l'hypothèse que la surface moyenne des cabinets est de 70m2</t>
  </si>
  <si>
    <t xml:space="preserve">Cela nous permet donc d'en déduire la surface minimale de l'ensemble des cabinets considérés. </t>
  </si>
  <si>
    <t>surface minimale (m2)</t>
  </si>
  <si>
    <t>Cabinets de chirurgiens dentistes</t>
  </si>
  <si>
    <t>Pour le moment on fait l'hopothèses que la surface moyenne d'une offine, d'un labo, d'une maison de santé ou d'un centre de santé est de 100 m2 (sûrement encore sous-estimé)</t>
  </si>
  <si>
    <t>Nombre</t>
  </si>
  <si>
    <t>Surface (m2)</t>
  </si>
  <si>
    <t xml:space="preserve">Officine </t>
  </si>
  <si>
    <t xml:space="preserve">Laboratoire de biologique </t>
  </si>
  <si>
    <t>Centre de santé</t>
  </si>
  <si>
    <t>total</t>
  </si>
  <si>
    <t>On estime la surface des cabinets manquant en estimant le nombre de ces cabinets à partir du nombre de professionnels libéraux ou mixte</t>
  </si>
  <si>
    <t>On suppose que chaque professionel libéral possède un cabinet.</t>
  </si>
  <si>
    <t>Vérification hypothèse 1 libéral = 1 cabinet</t>
  </si>
  <si>
    <t xml:space="preserve">Profession </t>
  </si>
  <si>
    <t>Nombre de professionnels "Libéraux ou mixtes"</t>
  </si>
  <si>
    <t xml:space="preserve">Nombre de cabinets </t>
  </si>
  <si>
    <t>Pour les spécilités dont nous disposons du nombre de structure, nous pouvons comparer ce nombre au nombre de libéraux exerçant cette spécialité.</t>
  </si>
  <si>
    <t xml:space="preserve">Orthophoniste </t>
  </si>
  <si>
    <t>On regarde ici les professions "spécialisées", à savoir chirurgien-dentiste et pédicure-podologue</t>
  </si>
  <si>
    <t xml:space="preserve">Orthoptiste </t>
  </si>
  <si>
    <t>Spécialité</t>
  </si>
  <si>
    <t>Nombre de structure</t>
  </si>
  <si>
    <t>Nombre de libéraux</t>
  </si>
  <si>
    <t>Nombre de professionnels par cabinet</t>
  </si>
  <si>
    <t>Psychomotricien</t>
  </si>
  <si>
    <t>Chirurgiens-dentistes</t>
  </si>
  <si>
    <t xml:space="preserve">Ergothérapeute </t>
  </si>
  <si>
    <t>Pédicure podologue</t>
  </si>
  <si>
    <t xml:space="preserve">Audioprothésiste </t>
  </si>
  <si>
    <t>L'hypothèse d'un médecin libéral par cabinet paraît donc pertinente.</t>
  </si>
  <si>
    <t>Opticien-lunétier</t>
  </si>
  <si>
    <t>Vérification cohérence avec poste 1:</t>
  </si>
  <si>
    <t>Méthode : On utilise ici l'étude (5) afin d'utiliser le ratio surfaces chuaffées/surfaces totales = 70%</t>
  </si>
  <si>
    <t xml:space="preserve">Total des surfaces de la médecine de ville </t>
  </si>
  <si>
    <t>Combustible</t>
  </si>
  <si>
    <t>Part du tertiaire utilisant ce combustible (poste 1)</t>
  </si>
  <si>
    <t>Surface calculée chauffée utilisant ce combustible</t>
  </si>
  <si>
    <t>Consommation (GWh PCI) de la division 86 par source pour le chauffage (poste 1)</t>
  </si>
  <si>
    <t>Consommation par surface chauffée déduite pour le chauffage (kWh PCI/m2)</t>
  </si>
  <si>
    <t>Consommation par surface (kWh/m2) du tertiaire (poste 1)</t>
  </si>
  <si>
    <t xml:space="preserve">Total surface des établissements de santé </t>
  </si>
  <si>
    <t>Autres combustibles (GPL + énergies renouvelables + chaleur)</t>
  </si>
  <si>
    <t>Electricité</t>
  </si>
  <si>
    <t>754,986 pour le chauffage, 
3423 tous les usages</t>
  </si>
  <si>
    <t>49,78 pour le chauffage
225,69 tous les usages</t>
  </si>
  <si>
    <t>221 (tous les usages)</t>
  </si>
  <si>
    <t>Bilan: On trouve des résultats très cohérents. On constate de plus un report du fioul sur le gaz dans le secteur de la santé plus important que dans le reste du tertiaire.</t>
  </si>
  <si>
    <t>Partie I.3: Estimation de la surface totale des établissements pour personnes agées</t>
  </si>
  <si>
    <t xml:space="preserve">Dans cette partie nous nous intéressons aux établissements d'hébergement des personnes âgées. Il ne manquera plus qu'à ajouter les établissements d'acceuil pour enfants et adultes handicapés pour couvrir notre périmètre
</t>
  </si>
  <si>
    <t>On utilise les données de la DRESS pour estimer la surface des EHPA en France. Puis les données de CEREN pour le type de chauffage par surface.</t>
  </si>
  <si>
    <t>Surfaces moyennes des bâtiments des établissements d'hébergement pour personnes âgées, par catégorie d'établissements - Situation au 31/12/2015.</t>
  </si>
  <si>
    <t>Catégorie d'établissements</t>
  </si>
  <si>
    <t>Surface totale moyenne (en m2)</t>
  </si>
  <si>
    <t>Nombre de structures</t>
  </si>
  <si>
    <t>EHPAD privés non lucratifs</t>
  </si>
  <si>
    <t>EHPAD privés lucratifs</t>
  </si>
  <si>
    <t>EHPA non EHPAD</t>
  </si>
  <si>
    <t xml:space="preserve">Logements-foyers  </t>
  </si>
  <si>
    <t>Unités de soins de longue durée</t>
  </si>
  <si>
    <t>ENSEMBLE</t>
  </si>
  <si>
    <t>Pour ne pas faire de double compte, il faut retirer dans le nombre de lits des EHPA le nombre de ces lits qui ont déjà été inclus dans les établissements publics de santé. En effet, certains des EHPAH publics font partie des CH</t>
  </si>
  <si>
    <t>Pourcentage des EHPAD publics hospitaliers parmis les EHPAD publics</t>
  </si>
  <si>
    <t xml:space="preserve">Il faut maintenant retirer ces ehpad public de notre compte pour ne pas les compter une deuxième fois </t>
  </si>
  <si>
    <t xml:space="preserve">Les EHPAD que l'on considère sont donc </t>
  </si>
  <si>
    <t>Logements-foyers</t>
  </si>
  <si>
    <t xml:space="preserve">Les surfaces totales sont </t>
  </si>
  <si>
    <t>Surface m2</t>
  </si>
  <si>
    <t>Partie I.4: Estimation de la surface totale des établissements pour personnes handicapées</t>
  </si>
  <si>
    <t>Dans cette partie nous nous intéressons aux établissements de services et d'accueil pour adultes et enfants handicapés. Nous n'avons pas trouvé de la documentation concernant les surfaces de ces établissements. Nous allons donc partir de la surface moyenne par patients dans les EHPAD pour en déduire la surface total recherchée en passant par le nombre de personnes accueillies dans les structures</t>
  </si>
  <si>
    <r>
      <rPr>
        <b/>
        <sz val="11"/>
        <color rgb="FF7030A0"/>
        <rFont val="Calibri"/>
        <scheme val="minor"/>
      </rPr>
      <t xml:space="preserve">Hyp 5 </t>
    </r>
    <r>
      <rPr>
        <b/>
        <sz val="11"/>
        <color theme="1"/>
        <rFont val="Calibri"/>
        <scheme val="minor"/>
      </rPr>
      <t>:</t>
    </r>
    <r>
      <rPr>
        <sz val="11"/>
        <color theme="1"/>
        <rFont val="Calibri"/>
        <scheme val="minor"/>
      </rPr>
      <t xml:space="preserve"> On suppose que la densité des EHPA est la même que la densité des établissements d'acceuil pour adultes et enfants handicapés </t>
    </r>
  </si>
  <si>
    <t>Surface totale moyenne</t>
  </si>
  <si>
    <t>Surface totale  moyenne  
par place</t>
  </si>
  <si>
    <t>Surface des espaces collectifs moyenne 
par place</t>
  </si>
  <si>
    <t>Surface des espaces privatifs moyenne par place</t>
  </si>
  <si>
    <t>Tableau 1 - Nombre de structures, de places et de personnel en équivalent temps plein (ETP) par type de structure</t>
  </si>
  <si>
    <t>Type de structure</t>
  </si>
  <si>
    <t>Évolution entre 2014 et 2018</t>
  </si>
  <si>
    <t>Nombre de places moyen par structure</t>
  </si>
  <si>
    <t>Personnel en équivalent temps plein (ETP)</t>
  </si>
  <si>
    <t>ETP par place</t>
  </si>
  <si>
    <t>Ensemble des structures</t>
  </si>
  <si>
    <r>
      <t xml:space="preserve">       Instituts thérapeutiques, éducatifs et pédagogiques (Itep)</t>
    </r>
    <r>
      <rPr>
        <b/>
        <vertAlign val="superscript"/>
        <sz val="8"/>
        <rFont val="Arial"/>
      </rPr>
      <t>1</t>
    </r>
  </si>
  <si>
    <r>
      <t xml:space="preserve">       Établissements pour jeunes déficients sensoriels</t>
    </r>
    <r>
      <rPr>
        <b/>
        <vertAlign val="superscript"/>
        <sz val="8"/>
        <rFont val="Arial"/>
      </rPr>
      <t>2</t>
    </r>
  </si>
  <si>
    <r>
      <t xml:space="preserve">       </t>
    </r>
    <r>
      <rPr>
        <b/>
        <sz val="8"/>
        <rFont val="Calibri"/>
      </rPr>
      <t>É</t>
    </r>
    <r>
      <rPr>
        <b/>
        <sz val="8"/>
        <rFont val="Arial"/>
      </rPr>
      <t>tablissements expérimentaux</t>
    </r>
  </si>
  <si>
    <t>-</t>
  </si>
  <si>
    <r>
      <t xml:space="preserve">       Centres de formation et d'orientation professionnelle</t>
    </r>
    <r>
      <rPr>
        <b/>
        <vertAlign val="superscript"/>
        <sz val="8"/>
        <rFont val="Arial"/>
      </rPr>
      <t>4</t>
    </r>
  </si>
  <si>
    <r>
      <t xml:space="preserve">       Foyers</t>
    </r>
    <r>
      <rPr>
        <b/>
        <vertAlign val="superscript"/>
        <sz val="8"/>
        <rFont val="Arial"/>
      </rPr>
      <t>5</t>
    </r>
  </si>
  <si>
    <t>&lt; 100</t>
  </si>
  <si>
    <r>
      <t xml:space="preserve">1. Depuis 2018, la mise en place du dispositif Ditep a pu avoir un effet sur les nombres de places en Sessad et en Itep comptabilisés ici </t>
    </r>
    <r>
      <rPr>
        <i/>
        <sz val="8"/>
        <rFont val="Arial"/>
      </rPr>
      <t>(encadré 1).</t>
    </r>
  </si>
  <si>
    <t>2. Instituts pour déficients visuels, établissements pour déficients auditifs, instituts d'éducation sensorielle pour enfants sourds/aveugles.</t>
  </si>
  <si>
    <t>3. Services d'éducation spéciale et de soins à domicile (Sessad).</t>
  </si>
  <si>
    <t>4. Centres de pré-orientation pour adultes handicapés (CPO), centres de rééducation professionnelle (CRP), unités d’évaluation, de réentraînement et d’orientation sociale et professionnelle (UEROS).</t>
  </si>
  <si>
    <t>5. Foyers occupationnels et foyers de vie, foyers d'hébergement, foyers d'accueil polyvalent, maisons d'accueil spécialisées (MAS), foyers d'accueil médicalisés (FAM), établissements d’accueil médicalisés en tout ou partie pour personnes handicapées (EAM), établissements d’accueil non médicalisés pour personnes handicapées (EANM).</t>
  </si>
  <si>
    <t>6. Services d'accompagnement à la vie sociale (SAVS), services d'accompagnement médico-social pour adultes handicapés (Samsah).</t>
  </si>
  <si>
    <t>7. Nouvelle catégorie de structure, n’était pas pas présente dans l’enquête en 2014.</t>
  </si>
  <si>
    <t xml:space="preserve">Nombre de m2 pour les établissements d'acceuil et de services aux enfants handicapés: </t>
  </si>
  <si>
    <t xml:space="preserve">Nombre de m2 pour les établissements d'acceuil et de services aux adultes handicapés: </t>
  </si>
  <si>
    <t xml:space="preserve">Total pour les établissements d'acceuil et de services pour personnes handicapés: </t>
  </si>
  <si>
    <t xml:space="preserve">Total des surfaces </t>
  </si>
  <si>
    <t xml:space="preserve">Partie II: 1ère synthèse des résultats </t>
  </si>
  <si>
    <t>On utilise les données de l'ADEME et du tableau maitre de ABC pour en déduire les émissions associées à la cosntruction des surfaces estimées</t>
  </si>
  <si>
    <r>
      <rPr>
        <b/>
        <sz val="11"/>
        <color rgb="FF7030A0"/>
        <rFont val="Calibri (Corps)"/>
      </rPr>
      <t>Hyp 9</t>
    </r>
    <r>
      <rPr>
        <b/>
        <sz val="11"/>
        <color rgb="FF00B050"/>
        <rFont val="Calibri"/>
        <scheme val="minor"/>
      </rPr>
      <t xml:space="preserve"> :</t>
    </r>
    <r>
      <rPr>
        <sz val="11"/>
        <rFont val="Calibri"/>
        <scheme val="minor"/>
      </rPr>
      <t xml:space="preserve"> La durée d'amortissement est de 30 ans </t>
    </r>
  </si>
  <si>
    <t>surface totale</t>
  </si>
  <si>
    <t>émissions (kgCO2)</t>
  </si>
  <si>
    <t xml:space="preserve">émissions (MtCO2) </t>
  </si>
  <si>
    <t>Vérification cohérence:</t>
  </si>
  <si>
    <t>Etablissements de santé</t>
  </si>
  <si>
    <t>Dans (8), on trouve que le secteur de la santé occupe 115 million de m2 de surfaces chauffées (sachant que cette étude inclus certains établissements sociaux non-pris en compte ici, et exclut les pharmacies.</t>
  </si>
  <si>
    <t xml:space="preserve">Médecine de ville </t>
  </si>
  <si>
    <t>Si on considère que 70% des surfaces sont chauffées (comme indiqué par l'étude (5)), on trouve ici (en excluant également les officines):</t>
  </si>
  <si>
    <t>Nombre de surfaces chauffées (sans les officines, en millions de m2):</t>
  </si>
  <si>
    <t>(7)</t>
  </si>
  <si>
    <t>Notre chiffre est donc en cohérence avec l'étude (8)</t>
  </si>
  <si>
    <t>Partie III: Obtention des surfaces construites il y a moins de 30 ans</t>
  </si>
  <si>
    <t xml:space="preserve">On utilise les données du CEREN pour en déduire un taux d'évolution des surfaces sur 30 ans </t>
  </si>
  <si>
    <r>
      <rPr>
        <b/>
        <sz val="11"/>
        <color rgb="FF7030A0"/>
        <rFont val="Calibri"/>
        <scheme val="minor"/>
      </rPr>
      <t>Hyp 10</t>
    </r>
    <r>
      <rPr>
        <sz val="11"/>
        <color theme="1"/>
        <rFont val="Calibri"/>
        <scheme val="minor"/>
      </rPr>
      <t>: On part du principe que les surfaces construites entre 1990 et 2019 sont égales à la différence de surfaces entre 2019 et 1990. Cela part du principe qu'aucune surface n'a été détruite ou délaissée ; le chiffre sera donc ici sous-estimé.</t>
    </r>
  </si>
  <si>
    <r>
      <rPr>
        <b/>
        <sz val="11"/>
        <color rgb="FF7030A0"/>
        <rFont val="Calibri (Corps)"/>
      </rPr>
      <t xml:space="preserve">Hyp 11 : </t>
    </r>
    <r>
      <rPr>
        <sz val="11"/>
        <rFont val="Calibri (Corps)"/>
      </rPr>
      <t xml:space="preserve">le taux d'évolution estimé ici concerne toutes les entités du secteur de la santé et du médico-social. Ainsi on prendra le même taux pour la médecine de ville, le médico social (hors Ehpad)  et les établissements de santé </t>
    </r>
  </si>
  <si>
    <r>
      <rPr>
        <b/>
        <sz val="11"/>
        <color rgb="FF7030A0"/>
        <rFont val="Calibri (Corps)"/>
      </rPr>
      <t>Hyp 12</t>
    </r>
    <r>
      <rPr>
        <b/>
        <sz val="11"/>
        <color rgb="FF00B050"/>
        <rFont val="Calibri"/>
        <scheme val="minor"/>
      </rPr>
      <t xml:space="preserve"> :</t>
    </r>
    <r>
      <rPr>
        <sz val="11"/>
        <rFont val="Calibri"/>
        <scheme val="minor"/>
      </rPr>
      <t xml:space="preserve"> Le taux d'évolution des surfaces totales est le même que celui des surfaces chauffées </t>
    </r>
  </si>
  <si>
    <t>Branche</t>
  </si>
  <si>
    <t>taux d'évolution annuel moyen</t>
  </si>
  <si>
    <t>taux d'évolution moyen (pour 5 ans)</t>
  </si>
  <si>
    <t>Pour les EHPA, on dispose de données plus précises</t>
  </si>
  <si>
    <t>Ancienneté du bâti : date de construction, par établissement</t>
  </si>
  <si>
    <t>Nombre d'établissements dont au moins un bâtiment a été construit…</t>
  </si>
  <si>
    <t>% des établissements</t>
  </si>
  <si>
    <t>avant 1800</t>
  </si>
  <si>
    <t>entre 1800 et 1899</t>
  </si>
  <si>
    <t>entre 1900 et 1949</t>
  </si>
  <si>
    <t>entre 1950 et 1969</t>
  </si>
  <si>
    <t>entre 1970 et 1979</t>
  </si>
  <si>
    <t>entre 1980 et 1989</t>
  </si>
  <si>
    <t>entre 1990 et 1999</t>
  </si>
  <si>
    <t>entre 2000 et 2009</t>
  </si>
  <si>
    <t>2010 et après</t>
  </si>
  <si>
    <t>Total des répondants</t>
  </si>
  <si>
    <t>Non renseigné</t>
  </si>
  <si>
    <t xml:space="preserve">Le pourcentage d'établissement construits ces 30 dernières années est de </t>
  </si>
  <si>
    <t xml:space="preserve">On suppose donc que </t>
  </si>
  <si>
    <t xml:space="preserve">% </t>
  </si>
  <si>
    <t xml:space="preserve">des surfaces des EHPAD ont été construites il y a moins de 30 ans </t>
  </si>
  <si>
    <t>Valeurs moyennes d'analyses de cycles de vie de bâtiments, (13)</t>
  </si>
  <si>
    <t>Partie IV: Synthèse des résultats sur la construction</t>
  </si>
  <si>
    <t xml:space="preserve">surface totale construite depuis 30 ans </t>
  </si>
  <si>
    <t xml:space="preserve">Partie V: Estimation des surfaces rénovées par type d'établissement </t>
  </si>
  <si>
    <r>
      <rPr>
        <b/>
        <sz val="11"/>
        <color theme="8" tint="-0.249977111117893"/>
        <rFont val="Calibri"/>
        <scheme val="minor"/>
      </rPr>
      <t xml:space="preserve">Methodo: </t>
    </r>
    <r>
      <rPr>
        <sz val="11"/>
        <rFont val="Calibri"/>
        <scheme val="minor"/>
      </rPr>
      <t>On prendra ici un taux d'évolution constant des surfaces construites constant au cours du temps. De plus on prendra ici le même taux d'évolution pour les EHPA que pour les autres établissements de santé.</t>
    </r>
  </si>
  <si>
    <t xml:space="preserve">Commençons par estimer l'évolution des surfaces depuis 30 ans </t>
  </si>
  <si>
    <t>Comme indiqué plus haut, le taux d'évolution des surfaces annuel (hors EHPAD) est de :</t>
  </si>
  <si>
    <t>surface totale en 2020 (m2)</t>
  </si>
  <si>
    <t>Estimation du taux de rénovation des établissements de santé</t>
  </si>
  <si>
    <t>Le rapport (11) de RTE donne un taux de rénovation des surfaces du secteur tertaire était de 1,5% en 2019, et est estimé à 3,0% en 2030.</t>
  </si>
  <si>
    <t>Si l'on considère une évolution exponentielle de ce taux (de la forme taux = a*exp(b*année) ), on peut en déduire les valeurs de a et b à partir de ces valeurs de RTE.</t>
  </si>
  <si>
    <t xml:space="preserve">On trouve ainsi: </t>
  </si>
  <si>
    <t>et donc:</t>
  </si>
  <si>
    <t>b=</t>
  </si>
  <si>
    <t>Surface moyenne Etablissement de santé 1990-2020 (m2)</t>
  </si>
  <si>
    <t>a=</t>
  </si>
  <si>
    <t>Taux moyen de rénovation 1990-2020</t>
  </si>
  <si>
    <t>Calcul de la quantité de surfaces rénovées des établissements de santé</t>
  </si>
  <si>
    <t>surface totale rénovée depuis 30 ans (m2)</t>
  </si>
  <si>
    <t xml:space="preserve">Partie VII: Synthèse pour la rénovation </t>
  </si>
  <si>
    <t>On utilisera le chiffre de (12) pour le facteur d'émission d'une rénovation (190kgCO2/m2)</t>
  </si>
  <si>
    <t xml:space="preserve">Partie VI: Synthèse pour la rénovation + construction </t>
  </si>
  <si>
    <t>Immobilisations / Sous-poste Matériel informatique SIH</t>
  </si>
  <si>
    <t>Immobilisation du matériel informatique SIH</t>
  </si>
  <si>
    <t>Il s’agit de récupérer par type de matériel informatique, les quantités détenues et les durées de renouvellement du matériel à partir du suivi des unités informatiques  (en nombre d’unité)</t>
  </si>
  <si>
    <r>
      <rPr>
        <b/>
        <sz val="11"/>
        <color rgb="FF7030A0"/>
        <rFont val="Calibri (Corps)"/>
      </rPr>
      <t xml:space="preserve">Hyp1 </t>
    </r>
    <r>
      <rPr>
        <sz val="11"/>
        <color theme="1"/>
        <rFont val="Calibri"/>
        <scheme val="minor"/>
      </rPr>
      <t xml:space="preserve">: Il est possible de déduire l'empreinte carbone des immobilisations en passant par les proportions de chaque sous-poste dans les BC récupérés . Nous allons utiliser les mêmes proportion pour la médecine de ville que pour les établissements de santé. Il s'agit là d'une grosse hypothèse. 
</t>
    </r>
    <r>
      <rPr>
        <b/>
        <sz val="11"/>
        <color rgb="FF7030A0"/>
        <rFont val="Calibri (Corps)"/>
      </rPr>
      <t>Hyp 2</t>
    </r>
    <r>
      <rPr>
        <b/>
        <sz val="11"/>
        <color rgb="FF7030A0"/>
        <rFont val="Calibri"/>
        <scheme val="minor"/>
      </rPr>
      <t>:</t>
    </r>
    <r>
      <rPr>
        <sz val="11"/>
        <color theme="1"/>
        <rFont val="Calibri"/>
        <scheme val="minor"/>
      </rPr>
      <t xml:space="preserve"> Pour les établissements de santé, l'immobilisation des bâtiments représente 31% et celle de l'immobilisation de l'informatique 63%
</t>
    </r>
    <r>
      <rPr>
        <b/>
        <sz val="11"/>
        <color rgb="FF7030A0"/>
        <rFont val="Calibri (Corps)"/>
      </rPr>
      <t xml:space="preserve">Hyp3: </t>
    </r>
    <r>
      <rPr>
        <sz val="11"/>
        <color theme="1"/>
        <rFont val="Calibri"/>
        <scheme val="minor"/>
      </rPr>
      <t xml:space="preserve">Pour la médecine de ville et le médico-social, l'immobilisation des bâtiments représente 55% et celle de l'informatique 25%
</t>
    </r>
    <r>
      <rPr>
        <b/>
        <sz val="11"/>
        <color rgb="FF7030A0"/>
        <rFont val="Calibri"/>
        <scheme val="minor"/>
      </rPr>
      <t>Hyp 4 :</t>
    </r>
    <r>
      <rPr>
        <sz val="11"/>
        <color theme="1"/>
        <rFont val="Calibri"/>
        <scheme val="minor"/>
      </rPr>
      <t xml:space="preserve"> Les dépenses informatiques par agent est similaire dans l'administration de la santé, dans l'administration publique et dans la complémentaire santé</t>
    </r>
  </si>
  <si>
    <t>(1)Bc récupérés, dont les rapports ont été déposés sur Nextcloud 
(2) Rapport d'informations du Sénat, http://www.senat.fr/rap/r16-076/r16-0761.pdf
(3) Décarbonons l'administration publique, https://theshiftproject.org/article/decarboner-ladministration-publique-rapport-octobre-2021/
(4) Base carbone - produits informatiques, électroniques et optiques</t>
  </si>
  <si>
    <t>Dans cette première version de calcul, nous allons uniquement nous intérésser aux établissements de santé et à la médecine de ville. L'idée est de se dire que ce poste est très compliqué à estimer (étant donné qu'il faut commencer par dresser un inventaire de tous les biens immobilisés, qu'il faut ensuite utiliser les bon FE pour chaque bien pour en déduite l'empreinte carbone totale du poste. Cela prendrait donc bcp de temps (et les données ne sont pas disponibles). Or, quand on regarde les BC des différents CH, on constate que ce poste est négligeable devant les immobilisations des bâtiments par exemple.  Pour ces postes, nous allons réfléchir en ordre de grandeur. Nous sommes assez confiant concernant l'estimation de l'empreinte carbone des immobilisations. L'idée va donc être de faire des hypothèses concernant la part de l'immobilisation du système informatique dans l'empreinte totale des immobilisations. Avec un produit en croix par rapport aux émissions de l'immobilisation des bâtiments, on pourra en déduire les émissions pour ces sous-postes. 
Pour l'administration publique et la complémentaire santé, on utilise les dépenses des différents ministères en matériel informatique</t>
  </si>
  <si>
    <t xml:space="preserve">Les vrais pourcentages de cette partie des immobilisaition pour le médico-sociale et les établissements de santé. </t>
  </si>
  <si>
    <t xml:space="preserve">Cette méthode n'est pas très précise (car elle part de proportion au doigt mouillé et d'un calcul avec une certaine incertitude (celui de l'immob des bâtiments)). Aussi, elle n'est pas suffisament désagrégé pour comprendre d'où provient la majorité des immob du système informatique. </t>
  </si>
  <si>
    <t xml:space="preserve">Toutes </t>
  </si>
  <si>
    <t xml:space="preserve">Ce résultat prend compte des rénovations des bâtiments </t>
  </si>
  <si>
    <t xml:space="preserve">Partie I: Estimation de l'empreinte associée à l'immobilisation de l'informatique  pour les établissements de santé et la médecine de ville </t>
  </si>
  <si>
    <t>Emissions des bâtiments des établissements de santé (MTCO2)</t>
  </si>
  <si>
    <t>Part des bâtiments dans les émissions des immob</t>
  </si>
  <si>
    <t>Emissions du SI des établissements de santé  (MTCO2e)</t>
  </si>
  <si>
    <t>Part du SI  dans les émissions des immob</t>
  </si>
  <si>
    <t xml:space="preserve">Concernant les établissements de santé, les proportions viennent du tableau suivant qui nous a été communiqué </t>
  </si>
  <si>
    <t>Partie II: Estimation de l'empreinte associée à l'immobilisation de l'informatique  pour la médecine de ville</t>
  </si>
  <si>
    <t>Emissions des bâtiments  de la médecine de ville (MTCO2)</t>
  </si>
  <si>
    <t>Emissions du SI  de la médecine de ville (MTCO2e)</t>
  </si>
  <si>
    <t xml:space="preserve">Partie III: Estimation de l'empreinte associée à l'immobilisation de l'informatique  pour le médico social </t>
  </si>
  <si>
    <t>Emissions des bâtiments  du médico social  (MTCO2)</t>
  </si>
  <si>
    <t>Emissions du SI  du médico social (MTCO2e)</t>
  </si>
  <si>
    <t>Estimons les dépenses informatiques par personnel dans l'administration  publique</t>
  </si>
  <si>
    <t>Dépenses en matériel informatique</t>
  </si>
  <si>
    <t>k€</t>
  </si>
  <si>
    <r>
      <rPr>
        <b/>
        <sz val="10"/>
        <color rgb="FF7030A0"/>
        <rFont val="Calibri Light"/>
      </rPr>
      <t>Hyp 4 :</t>
    </r>
    <r>
      <rPr>
        <sz val="10"/>
        <rFont val="Calibri Light"/>
      </rPr>
      <t xml:space="preserve"> Les dépenses informatiques par agent est similaire dans l'administration de la santé, dans l'administration publique et dans la complémentaire santé</t>
    </r>
  </si>
  <si>
    <t>Dépenses informatiques</t>
  </si>
  <si>
    <t>kCO2e/k€</t>
  </si>
  <si>
    <t xml:space="preserve">Partie IV: Synthèse </t>
  </si>
  <si>
    <t xml:space="preserve">Structure </t>
  </si>
  <si>
    <t>Émissions dures à l'immobilisation du SI  (MtCO2)</t>
  </si>
  <si>
    <t xml:space="preserve">Médico-social </t>
  </si>
  <si>
    <t xml:space="preserve">Immobilisations / Mobilier+machines+véhicules </t>
  </si>
  <si>
    <t xml:space="preserve">Immobilisation des machines, du mobilier et des véhicules </t>
  </si>
  <si>
    <t>Il s’agit de récupérer par type de machine, le type de matériau, le poids et la durée d’amortissement ou de renouvellement des machines à partir du suivi annuel des quantités de fluide rechargées  (en tonnes</t>
  </si>
  <si>
    <r>
      <rPr>
        <b/>
        <sz val="11"/>
        <color rgb="FF7030A0"/>
        <rFont val="Calibri (Corps)"/>
      </rPr>
      <t xml:space="preserve">Hyp1 </t>
    </r>
    <r>
      <rPr>
        <sz val="11"/>
        <color theme="1"/>
        <rFont val="Calibri"/>
        <scheme val="minor"/>
      </rPr>
      <t xml:space="preserve">: Il est possible de déduire l'empreinte carbone des immobilisations en passant par les proportions de chaque sous-poste dans les BC récupérés . Nous allons utiliser les mêmes proportion pour la médecine de ville que pour les établissements de santé. Il s'agit là d'une grosse hypothèse. 
</t>
    </r>
    <r>
      <rPr>
        <b/>
        <sz val="11"/>
        <color rgb="FF7030A0"/>
        <rFont val="Calibri (Corps)"/>
      </rPr>
      <t>Hyp 2</t>
    </r>
    <r>
      <rPr>
        <b/>
        <sz val="11"/>
        <color rgb="FF7030A0"/>
        <rFont val="Calibri"/>
        <scheme val="minor"/>
      </rPr>
      <t>:</t>
    </r>
    <r>
      <rPr>
        <sz val="11"/>
        <color theme="1"/>
        <rFont val="Calibri (Corps)"/>
      </rPr>
      <t xml:space="preserve"> Pour la médecine de ville et le médico-social,  l'immobilisation du mobilier+machines+véhicules représente 10% des émissions des immobilisations et celle des bâtiments 55%</t>
    </r>
    <r>
      <rPr>
        <sz val="11"/>
        <color theme="1"/>
        <rFont val="Calibri"/>
        <scheme val="minor"/>
      </rPr>
      <t xml:space="preserve">
</t>
    </r>
    <r>
      <rPr>
        <b/>
        <sz val="11"/>
        <color rgb="FF7030A0"/>
        <rFont val="Calibri (Corps)"/>
      </rPr>
      <t>Hyp3</t>
    </r>
    <r>
      <rPr>
        <sz val="11"/>
        <color theme="1"/>
        <rFont val="Calibri"/>
        <scheme val="minor"/>
      </rPr>
      <t>: Pour les établissements de santé,  l'immobilisation du mobilier+machines+véhicules représente 7% des émissions des immobilisations et celle des bâtiments 31%</t>
    </r>
  </si>
  <si>
    <t>(1)Bc récupérés</t>
  </si>
  <si>
    <t xml:space="preserve">Dans cette première version de calcul, nous allons uniquement nous intérésser aux établissements de santé et à la médecine de ville. L'idée est de se dire que ce poste est très compliqué à estimer (étant donné qu'il faut commencer par dresser un inventaire de tous les biens immobilisés, qu'il faut ensuite utiliser les bon FE pour chaque bien pour en déduite l'empreinte carbone totale du poste. Cela prendrait donc bcp de temps (et les données ne sont pas disponibles). Or, quand on regarde les BC des différents CH, on constate que ce poste est négligeable devant les immobilisations des bâtiments par exemple.  Pour ces postes, nous allons réfléchir en ordre de grandeur. Nous sommes assez confiant concernant l'estimation de l'empreinte carbone des immobilisations. L'idée va donc être de faire des hypothèses concernant la part de l'immobilisation du mobilier, des machines et des véhicules dans l'empreinte totale des immobilisations. Avec un produit en croix par rapport aux émissions de l'immobilisation des bâtiments, on pourra en déduire les émissions pour ces sous-postes. </t>
  </si>
  <si>
    <t xml:space="preserve">Cette méthode n'est pas très précise (car elle part de proportion au doigt mouillé et d'un calcul avec une certaine incertitude (celui de l'immob des bâtiments)). Aussi, elle n'est pas suffisament désagrégé pour comprendre d'où provient la majorité des immob des machines, des véhicules et du mobilier (est ce que ça vient des ambulances ? des IRM ?...) </t>
  </si>
  <si>
    <t xml:space="preserve">Ce résultat prend en compte les rénovations </t>
  </si>
  <si>
    <t>Partie I: Estimation de l'empreinte associée à l'immobilisation du mobilier+machines+véhicules pour les établissements de santé</t>
  </si>
  <si>
    <t>Emissions des bâtiments des établissements de santé (MtcO2)</t>
  </si>
  <si>
    <t>Emissions des M+M+V des établissements de santé  (MtCO2e)</t>
  </si>
  <si>
    <t>Part des M+M+V dans les émissions des immob</t>
  </si>
  <si>
    <t xml:space="preserve">Partie II: Estimation de l'empreinte associée à l'immobilisation du mobilier+machines+véhicules pour la médecine de ville </t>
  </si>
  <si>
    <t>Emissions des bâtiments de la médecine de ville (MtCO2)</t>
  </si>
  <si>
    <t>Emissions des M+M+V de la médecine de ville (MtCO2e)</t>
  </si>
  <si>
    <t xml:space="preserve">Partie III: Estimation de l'empreinte associée à l'immobilisation du mobilier+machines+véhicules pour le médico social </t>
  </si>
  <si>
    <t>Emissions des bâtiments du médico-social (MTCO2)</t>
  </si>
  <si>
    <t>Emissions des M+M+V du médico-social  (MtCO2e)</t>
  </si>
  <si>
    <t xml:space="preserve">Partie III: Synthèse </t>
  </si>
  <si>
    <t>Véhicules motorisés contrôlés par l’établissement (hors véhicules personnels)</t>
  </si>
  <si>
    <t>Il s’agit de récupérer par type de carburant, les données annuelles de carburants consommés par les véhicules de l’établissement</t>
  </si>
  <si>
    <t>v1.2</t>
  </si>
  <si>
    <r>
      <rPr>
        <b/>
        <sz val="11"/>
        <color rgb="FF7030A0"/>
        <rFont val="Calibri"/>
        <scheme val="minor"/>
      </rPr>
      <t xml:space="preserve">Hyp 1 </t>
    </r>
    <r>
      <rPr>
        <sz val="11"/>
        <color theme="1"/>
        <rFont val="Calibri"/>
        <scheme val="minor"/>
      </rPr>
      <t xml:space="preserve">: La distance entre les lieu d'intervention d'urgence et le service d'urgences le plus proche est de 10km, la distance entre le service d'urgence et la base du véhicule est de 5km (compensant le fait que certains véhicules sont basés au même endroit que les services d'urgences).
</t>
    </r>
    <r>
      <rPr>
        <b/>
        <sz val="11"/>
        <color rgb="FF7030A0"/>
        <rFont val="Calibri"/>
        <scheme val="minor"/>
      </rPr>
      <t xml:space="preserve">Hyp 2 </t>
    </r>
    <r>
      <rPr>
        <sz val="11"/>
        <color theme="1"/>
        <rFont val="Calibri"/>
        <scheme val="minor"/>
      </rPr>
      <t xml:space="preserve">: On considère que les véhicules d'intervention d'urgences sont des PTAC de 3,5T
</t>
    </r>
    <r>
      <rPr>
        <b/>
        <sz val="11"/>
        <color rgb="FF7030A0"/>
        <rFont val="Calibri"/>
        <scheme val="minor"/>
      </rPr>
      <t xml:space="preserve">Hyp 3 </t>
    </r>
    <r>
      <rPr>
        <sz val="11"/>
        <color theme="1"/>
        <rFont val="Calibri"/>
        <scheme val="minor"/>
      </rPr>
      <t>: on supose que la distance moyenne par trajet des SMUR est similaire à la distance pour les ambulances privées</t>
    </r>
  </si>
  <si>
    <r>
      <t xml:space="preserve">(1) Interventions du SDIS, https://mobile.interieur.gouv.fr/content/download/124275/995739/file/StatsSDIS20BD(1).pdf
(2) Interventions du SMUR, https://drees.solidarites-sante.gouv.fr/sites/default/files/er1136.pdf
(3) Arrivées aux urgences en PACA, https://ies-sud.fr/wp-content/uploads/2019/03/ATLAS_2012_ORUPACA.pdf
(4) Evaluation de l’application du référentiel d’organisation du secours à personne et de l’aide médicale urgente, https://www.igas.gouv.fr/IMG/pdf/organisation_secours_a_personne.pdf
(5) Chronologie interventions, http://www.sdis85.com/media/chronologie_intervention__001634400_0707_03092010
(6) Bilan Carbone – </t>
    </r>
    <r>
      <rPr>
        <b/>
        <sz val="11"/>
        <color theme="1"/>
        <rFont val="Calibri"/>
        <scheme val="minor"/>
      </rPr>
      <t>Anonyme</t>
    </r>
    <r>
      <rPr>
        <sz val="11"/>
        <color theme="1"/>
        <rFont val="Calibri"/>
        <scheme val="minor"/>
      </rPr>
      <t xml:space="preserve">
(7) Rapport sur les transports sanitaires, https://www.igas.gouv.fr/IMG/pdf/RD2016_transports_sanitaires.pdf
(8) Mission d’information sur les transports sanitaires, https://www.assemblee-nationale.fr/dyn/15/rapports/cion-soc/l15b5044_rapport-information.pdf
(9) Les hélicoptères de service public, https://www.igas.gouv.fr/IMG/pdf/RD2016_helicopteres.pdf
(10) Les hélicoptères de la sécurité civile, https://www.ovalp.com/fr/comprendre/ec145-securite-civile#:~:text=Consommation%20moyenne%20280%20litres%20%C3%A0%20l%27heure.
(11) Quel carburant consomme un hélicoptère, https://www.synonyme-du-mot.com/les-articles/quel-carburant-consomme-un-helicoptere
(12) Kérosène, https://fr.wikipedia.org/wiki/K%C3%A9ros%C3%A8ne</t>
    </r>
  </si>
  <si>
    <t>On obtient un nombre d'interventions par type de transport, puis on estime la distance moyenne de chaque intervention.</t>
  </si>
  <si>
    <t>Distance précise parcourue par type de transport</t>
  </si>
  <si>
    <t>Meilleure estimation de la distance parcourue par les différents services d'urgence</t>
  </si>
  <si>
    <t>Tout (sauf émissions négligeables: SMUR maritime, …)</t>
  </si>
  <si>
    <t>Emissions associés aux services d'urgence</t>
  </si>
  <si>
    <t>Emission associés au transport interhospitalier et domiciles/établissements</t>
  </si>
  <si>
    <t>Service d'urgence</t>
  </si>
  <si>
    <t>Sapeurs-pompiers</t>
  </si>
  <si>
    <t>SMUR</t>
  </si>
  <si>
    <t>Ambulances privées</t>
  </si>
  <si>
    <t>Forces de l'ordre</t>
  </si>
  <si>
    <t>Hélicoptères</t>
  </si>
  <si>
    <t>Total urgences</t>
  </si>
  <si>
    <t>taxis conventionnés</t>
  </si>
  <si>
    <t>VSL</t>
  </si>
  <si>
    <t>Total interventions secondaires</t>
  </si>
  <si>
    <t>Emissions de CO2 (MtCO2e)</t>
  </si>
  <si>
    <t>Emissions associés aux services d'urgence (hors hélicoptères)</t>
  </si>
  <si>
    <t>Emission associés au transport interhospitalier et domiciles/établissements (hors hélicoptères)</t>
  </si>
  <si>
    <t>Partie I - Urgences (véhicules terrestres)</t>
  </si>
  <si>
    <t>Dans un premier temps, on dénombre le interventions des différentes structures impliquées dans les urgences</t>
  </si>
  <si>
    <t>Nombre d'interventions des sapeurs pompiers (SDIS + BSPP + BMPM)</t>
  </si>
  <si>
    <t>Type d'intervention</t>
  </si>
  <si>
    <t>Nombre d'intervention</t>
  </si>
  <si>
    <t>Part de victime en urgence absolue ou relative</t>
  </si>
  <si>
    <t>Part de décès ou de victimes "impliquées"</t>
  </si>
  <si>
    <t>Secours à victime</t>
  </si>
  <si>
    <t>Accidents de la circulation</t>
  </si>
  <si>
    <t>Nombre de sorties terrestres du SMUR</t>
  </si>
  <si>
    <t>Nombre d'arrivée à l'hôpital pour les ambulances privées ou par les forces de l'ordre</t>
  </si>
  <si>
    <t>On estime ces données à partir des données recueillie pour les Midi-Pyrénées, le PACA, et pour une enquête de la DRESS sur une journée</t>
  </si>
  <si>
    <t>Propres moyens</t>
  </si>
  <si>
    <t>Ambulances</t>
  </si>
  <si>
    <t>Part des arrivées aux urgences, Midi-Pyrénées (2012)</t>
  </si>
  <si>
    <t>Part des arrivées aux urgences, PACA (2012)</t>
  </si>
  <si>
    <t>Part des arrivées aux urgences, DRESS, 11 juin 2013</t>
  </si>
  <si>
    <r>
      <t xml:space="preserve">A partir de ces résultats, il est donc cohérent de faire l'hypothèse </t>
    </r>
    <r>
      <rPr>
        <b/>
        <sz val="11"/>
        <rFont val="Calibri"/>
        <scheme val="minor"/>
      </rPr>
      <t>nombre d'arrivée aux services d'urgences par les ambulances = Nombre d'arrivée par les Sapeurs-pompiers</t>
    </r>
  </si>
  <si>
    <t>Pour le nombre d'arrivée par les forces de l'ordre, on réalise une moyenne entre les Midi-Pyrénées et les PACA, et on obtient:</t>
  </si>
  <si>
    <t xml:space="preserve">Nombre d'arrivée par les forces de l'ordre = </t>
  </si>
  <si>
    <t>fois le nombre d'arrivée par le SMUR</t>
  </si>
  <si>
    <t>Dans un second temps, on en déduit un nombre de kilomètres parcourus pour les intevrentions d'urgences terrestres</t>
  </si>
  <si>
    <t>Pour cela, on part du principe que chaque service d'urgence est à 6 minutes du lieu d'intervention (5)</t>
  </si>
  <si>
    <t>Si l'on considère que la vitesse des véhicule d'urgence est d'environ 60 km/h, les services d'urgences parcourent 6km jusqu'au lieu d'intervention</t>
  </si>
  <si>
    <t>Les véhicules transportent alors les victimes jusqu'au service d'urgence le plus proche</t>
  </si>
  <si>
    <r>
      <rPr>
        <b/>
        <sz val="11"/>
        <color rgb="FF7030A0"/>
        <rFont val="Calibri"/>
        <scheme val="minor"/>
      </rPr>
      <t>Hyp 1 :</t>
    </r>
    <r>
      <rPr>
        <sz val="11"/>
        <color theme="1"/>
        <rFont val="Calibri"/>
        <scheme val="minor"/>
      </rPr>
      <t xml:space="preserve"> La distance entre les lieu d'intervention d'urgence et le service d'urgences le plus proche est de 10km, la distance entre le service d'urgence et la base du véhicule est de 5km (compensant le fait que certains véhicules sont basés au même endroit que les services d'urgences).</t>
    </r>
  </si>
  <si>
    <t>Nombre de kilomètres entre l'intervention et le service de traitement des urgences</t>
  </si>
  <si>
    <t>Nombre de kilomètres entre le service de traitement des urgences et la base du véhicule</t>
  </si>
  <si>
    <t>Nombre de kilomètres entre le lieu d'intervention et la base du véhicule:</t>
  </si>
  <si>
    <t>Sapeurs-pompiers, victimes décédées ou ne nécessitant pas le transport à l'hôpital</t>
  </si>
  <si>
    <t>Sapeurs-pompiers, victimes nécessitant le transport à l'hôpital</t>
  </si>
  <si>
    <t>Nombre d'interventions</t>
  </si>
  <si>
    <t>Nombre de kilomètres engendrés</t>
  </si>
  <si>
    <t>Dans un troisième temps, on convertit le nombre de kilomètres en émissions de CO2</t>
  </si>
  <si>
    <r>
      <rPr>
        <b/>
        <sz val="11"/>
        <color rgb="FF7030A0"/>
        <rFont val="Calibri"/>
        <scheme val="minor"/>
      </rPr>
      <t>Hyp 2 :</t>
    </r>
    <r>
      <rPr>
        <sz val="11"/>
        <rFont val="Calibri"/>
        <scheme val="minor"/>
      </rPr>
      <t xml:space="preserve"> On considère que les véhicules d'intervention d'urgences sont des PTAC de 3,5T</t>
    </r>
  </si>
  <si>
    <t>FE de la Base Carbone</t>
  </si>
  <si>
    <t>Valeur</t>
  </si>
  <si>
    <t>PTAC 3,5t</t>
  </si>
  <si>
    <t>kgCO2e/km</t>
  </si>
  <si>
    <t>BC Dieppe (6)</t>
  </si>
  <si>
    <t>Sapeurs-pompiers,</t>
  </si>
  <si>
    <t>Partie II - Transport sanitaire</t>
  </si>
  <si>
    <t>Dans un premier temps, on dénombre les trajets interhospitaliers et entre les établissements de santé et le domicile des patients par vsl, taxis conventionnés, SMUR ou ambulances privées</t>
  </si>
  <si>
    <r>
      <rPr>
        <b/>
        <sz val="11"/>
        <color rgb="FF7030A0"/>
        <rFont val="Calibri"/>
        <scheme val="minor"/>
      </rPr>
      <t xml:space="preserve">Hyp 3 </t>
    </r>
    <r>
      <rPr>
        <sz val="11"/>
        <color theme="1"/>
        <rFont val="Calibri"/>
        <scheme val="minor"/>
      </rPr>
      <t>: on supose que la distance moyenne par trajet des SMUR est similaire à la distance pour les ambulances privées</t>
    </r>
  </si>
  <si>
    <t>Nombre de trajets</t>
  </si>
  <si>
    <t>Distance parcourue par trajet</t>
  </si>
  <si>
    <t>Distance totale</t>
  </si>
  <si>
    <t>SMUR terrestre</t>
  </si>
  <si>
    <t>km</t>
  </si>
  <si>
    <t>Taxis conventionnés</t>
  </si>
  <si>
    <t>Véhicule sanitaires légers</t>
  </si>
  <si>
    <t>On peut ensuite calculer les émissions de CO2 associées</t>
  </si>
  <si>
    <r>
      <rPr>
        <b/>
        <sz val="11"/>
        <color rgb="FF7030A0"/>
        <rFont val="Calibri"/>
        <scheme val="minor"/>
      </rPr>
      <t xml:space="preserve">Hyp 2 </t>
    </r>
    <r>
      <rPr>
        <sz val="11"/>
        <color theme="1"/>
        <rFont val="Calibri"/>
        <scheme val="minor"/>
      </rPr>
      <t>: On fait l'hypothèse que les SMUR terrestres et les ambulances sont des PTAC de 3,5T</t>
    </r>
  </si>
  <si>
    <t>Les taxis conventionnés et les véhicules sanitaires légers seront associés au facteur d'émission des voitures de motorisaiton moyenne</t>
  </si>
  <si>
    <t>Voiture - Motorisation moyenne - 2018, France continentale</t>
  </si>
  <si>
    <t>Base Carbone</t>
  </si>
  <si>
    <t>Le chiffre correspond au facteur d'émission du carburant utilisé par les voiture, les émissions amonts étant potentiellement comptées dans la partie immobilisation</t>
  </si>
  <si>
    <t>SMUR terrertre</t>
  </si>
  <si>
    <t>Partie III - Emissions des déplacements aériens (hélicoptères)</t>
  </si>
  <si>
    <t>On comptabilise ici les émissions des hélicoptères du SMUR et de la protection civile</t>
  </si>
  <si>
    <t>Hyp: D'après la source (9) , on estime que 90% de l'activité des HéliSMUR sont des interventions dites "secondaires" (transferts inter-hospitaliers), le reste étant des interventions d'urgence</t>
  </si>
  <si>
    <t>Hélicoptères publics</t>
  </si>
  <si>
    <t>HéliSMUR</t>
  </si>
  <si>
    <t>Sécurité Civile</t>
  </si>
  <si>
    <t>Nombre d'heures de vol</t>
  </si>
  <si>
    <t>Part des intevrention d'urgence</t>
  </si>
  <si>
    <t>Part des interventions "secondaires"</t>
  </si>
  <si>
    <t>Total nombre d'heures urgences:</t>
  </si>
  <si>
    <t>Total nombre d'heures interventions "secondaires":</t>
  </si>
  <si>
    <t>Consommation moyenne par heure</t>
  </si>
  <si>
    <t>L/h</t>
  </si>
  <si>
    <t>Type de Carburant</t>
  </si>
  <si>
    <t>kérosène</t>
  </si>
  <si>
    <t>émissions par kilogramme</t>
  </si>
  <si>
    <t>KgCO2/Kg</t>
  </si>
  <si>
    <t>Base carnone, Kérosène - jet A1 ou A, France continentale</t>
  </si>
  <si>
    <t>Densité à 15°</t>
  </si>
  <si>
    <t>kg m−3</t>
  </si>
  <si>
    <t>Total émissions hélicoptères urgences:</t>
  </si>
  <si>
    <t>Total émissions hélicoptères interventions "secondaires":</t>
  </si>
  <si>
    <t>Total hélicoptères</t>
  </si>
  <si>
    <t>Partie IV - Emissions des véhicules de l'administration publique</t>
  </si>
  <si>
    <t>Total Urgences (interventions terrestres et aériennes):</t>
  </si>
  <si>
    <t>Total Trajets interhospitaliers et domiciles/établissements:</t>
  </si>
  <si>
    <t>Total poste 2</t>
  </si>
  <si>
    <r>
      <t xml:space="preserve">Il s’agit de récupérer les distances parcourues par type de transport à partir du PDM ou d’une enquête sur 2 semaines représentatives
(en km)
</t>
    </r>
    <r>
      <rPr>
        <i/>
        <sz val="11"/>
        <color theme="1"/>
        <rFont val="Calibri"/>
        <scheme val="minor"/>
      </rPr>
      <t>(Codes postaux et mode de déplacement selon les moyennes d’agglomérations ou régionales)</t>
    </r>
  </si>
  <si>
    <r>
      <rPr>
        <b/>
        <sz val="11"/>
        <color rgb="FF7030A0"/>
        <rFont val="Calibri"/>
        <scheme val="minor"/>
      </rPr>
      <t>Hyp 1:</t>
    </r>
    <r>
      <rPr>
        <sz val="11"/>
        <color theme="1"/>
        <rFont val="Calibri"/>
        <scheme val="minor"/>
      </rPr>
      <t xml:space="preserve"> Tous les déplacements des infirmiers sont réalisés en voiture
</t>
    </r>
    <r>
      <rPr>
        <b/>
        <sz val="11"/>
        <color rgb="FF7030A0"/>
        <rFont val="Calibri"/>
        <scheme val="minor"/>
      </rPr>
      <t>Hyp 2</t>
    </r>
    <r>
      <rPr>
        <sz val="11"/>
        <color theme="1"/>
        <rFont val="Calibri"/>
        <scheme val="minor"/>
      </rPr>
      <t xml:space="preserve">: on fait l'hypothèse que la distance moyenne parcourue par des visite à domicile est de 10km (comprenant les aller-retours au cabinet, ou l'enchainement entre deux patients)
</t>
    </r>
    <r>
      <rPr>
        <b/>
        <sz val="11"/>
        <color rgb="FF7030A0"/>
        <rFont val="Calibri"/>
        <scheme val="minor"/>
      </rPr>
      <t>Hyp 3:</t>
    </r>
    <r>
      <rPr>
        <sz val="11"/>
        <color theme="1"/>
        <rFont val="Calibri"/>
        <scheme val="minor"/>
      </rPr>
      <t xml:space="preserve"> La distance moyenne parcourue pour un aller pour la HAD est de 20km. Une journée de HAD entraine un déplacement pour se rendre chez le patient.  Une journée de HAD entraine donc un déplacement de 40km</t>
    </r>
  </si>
  <si>
    <t>(1) Infirmier (e) libéral (e) en Haute-Normandie : réalité d’un exercice, https://www.urps-infirmiers-normandie.fr/page/URPS_PDF.aspx?OID=301&amp;ID=313
(2) ActuSoins, https://www.actusoins.com/294974/20-patients-jour-jusqua-68-heures-de-travail-semaine-enquete-revele-conditions-de-travail-infirmieres-liberales-region-paca.html
(3) Périmètre secteur santé v1.11.xlsx, données issues de la DREES, entre 2016 et 2018
(4) Base Carbone, Ademe, https://www.bilans-ges.ademe.fr/
(5) https://drees.solidarites-sante.gouv.fr/sites/default/files/2022-12/ER1249EMB.pdf
(6) https://assurance-maladie.ameli.fr/sites/default/files/2019_activite-des-medecins-liberaux-par-departement_serie-annuelle.xls
(7) Les établissements d'hospitalisaiton à domicile, https://drees.solidarites-sante.gouv.fr/sites/default/files/2021-07/Fiche%2016%20-%20Les%20%C3%A9tablissements%20d%E2%80%99hospitalisation%20%C3%A0%20domicile.pdf</t>
  </si>
  <si>
    <t xml:space="preserve">Pour ce poste, nous allons estimer les émissions associées aux déplacements professionnels des infirmiers, des médecins libéraux ainsi qu'aux déplacements en HAD. 
Pour les infirmiers, nous allons partir d'hypothèses sur le nombre de kilomètres moyens parcourus  chaque jour par infirmiers libéraux. En multipliant ce nombre par le nombre de jours travaillés et le nombre de professionnels, nous allons en déduire la distance totale parcourue pour ces déplacements. Nous en déduirons ensuite les émissions à partir du facteur d'émission de l'ADEME
Pour la HAD, nous allons partir du nombre total de journées de HAD réalisées. Nous supposerons ensuite que chacune de ces journées implique un aller-retour de la part des professionnels de la HAD. Puis en faisant l'hypothèse que pour chacun de ces déplacements la distance parcourue est de 20km aller, nous en déduirons la distance totale et donc les émissions. </t>
  </si>
  <si>
    <t>Données plus précises sur le nombre de kilomètres moyens parcourus par les infirmiers et les médecins livéraux. Des informations sur le fonctionnement de la HAD, données sur les frais de colloques/séminaires</t>
  </si>
  <si>
    <t>Tout. Il faudrait aussi ajouter les déplacements longues distances en avion pour des colloques/conférences/cours</t>
  </si>
  <si>
    <t xml:space="preserve">Manques </t>
  </si>
  <si>
    <t>Partie I: Estimation de l'empreinte carbone associée aux déplacements des infirmiers libéraux</t>
  </si>
  <si>
    <t>On prend le nombre d'infirmiers libéraux et on muliplie ce nombre par une distance anuelle moyenne parcourue</t>
  </si>
  <si>
    <t>On utilise la distance moyenne parcourue par les infirmiers de Haute Normandie : 25500 km/an/infirmiers</t>
  </si>
  <si>
    <t xml:space="preserve">D'après (2), 50% des déplacements se font à 2, 25% à 1 et 25% à 3 professionnels. </t>
  </si>
  <si>
    <t>Médecins et autres professions de santé</t>
  </si>
  <si>
    <t>Libéraux exclusifs</t>
  </si>
  <si>
    <t xml:space="preserve"> Mixtes</t>
  </si>
  <si>
    <t>Libéraux ou mixtes</t>
  </si>
  <si>
    <t>Salariés hospitaliers</t>
  </si>
  <si>
    <t>Autres salariés</t>
  </si>
  <si>
    <t>nombre d'infirmiers équivalent (pour un infirmier par trajet)</t>
  </si>
  <si>
    <t xml:space="preserve">Nombre de kilomètres par an </t>
  </si>
  <si>
    <t>Distance parcourue chaque année (km)</t>
  </si>
  <si>
    <r>
      <rPr>
        <b/>
        <sz val="11"/>
        <color rgb="FF7030A0"/>
        <rFont val="Calibri"/>
        <scheme val="minor"/>
      </rPr>
      <t>Hyp 1</t>
    </r>
    <r>
      <rPr>
        <sz val="11"/>
        <color theme="1"/>
        <rFont val="Calibri"/>
        <scheme val="minor"/>
      </rPr>
      <t>: Tous les déplacements des infirmiers sont réalisés en voiture</t>
    </r>
  </si>
  <si>
    <t>Base Carbone (4)</t>
  </si>
  <si>
    <t xml:space="preserve">émissions totales </t>
  </si>
  <si>
    <t>Partie II: Estimation de l'empreinte carbone associée aux déplacements des médecins libéraux</t>
  </si>
  <si>
    <t>On prend le nombre visites effectuées par des médecins livéraux, et on le multiplie par une estimation de la distance moyenne entre un patient et le médecin</t>
  </si>
  <si>
    <t>Distance entre les mairies des communes des patients et des médecins</t>
  </si>
  <si>
    <t>Même commune</t>
  </si>
  <si>
    <t>0-5km</t>
  </si>
  <si>
    <t>5-10km</t>
  </si>
  <si>
    <t>10-30km</t>
  </si>
  <si>
    <t>Plus de 30km</t>
  </si>
  <si>
    <t>Part pour les visites à domicile</t>
  </si>
  <si>
    <r>
      <rPr>
        <b/>
        <sz val="11"/>
        <color rgb="FF7030A0"/>
        <rFont val="Calibri"/>
        <scheme val="minor"/>
      </rPr>
      <t xml:space="preserve">Hyp 2 </t>
    </r>
    <r>
      <rPr>
        <sz val="11"/>
        <rFont val="Calibri"/>
        <scheme val="minor"/>
      </rPr>
      <t>: à partir du tableau précédent, on fait l'hypothèse que la distance moyenne parcourue par des visite à domicile est de 10km (comprenant les aller-retours au cabinet, ou l'enchainement entre deux patients)</t>
    </r>
  </si>
  <si>
    <t>Nombre de visites réalisées par des médecins libéraux par an</t>
  </si>
  <si>
    <t>Distance moyenne d'un patient</t>
  </si>
  <si>
    <t>Partie III: Estimation de l'empreinte carbone associée aux déplacements des HAD</t>
  </si>
  <si>
    <t>On prend le nombre d'HAD réalisé, on le multiplie par la distance moyenne parcourue par journée.</t>
  </si>
  <si>
    <r>
      <rPr>
        <b/>
        <sz val="11"/>
        <color rgb="FF7030A0"/>
        <rFont val="Calibri"/>
        <scheme val="minor"/>
      </rPr>
      <t xml:space="preserve">Hyp 3 : </t>
    </r>
    <r>
      <rPr>
        <sz val="11"/>
        <color theme="1"/>
        <rFont val="Calibri"/>
        <scheme val="minor"/>
      </rPr>
      <t>La distance moyenne parcourue pour un aller pour la HAD est de 20km. Une journée de HAD entraine un déplacement pour se rendre chez le patient.  Une journée de HAD entraine donc un déplacement de 40km</t>
    </r>
  </si>
  <si>
    <t>Nombre de journées de HAD réalisées en 2019 (En millions)</t>
  </si>
  <si>
    <t xml:space="preserve">Distance moyenne parcourue par jour de HAD </t>
  </si>
  <si>
    <t xml:space="preserve">Emissions totales </t>
  </si>
  <si>
    <t>- Déplacements de patients/ consultants pour accéder et quitter l’établissement
- Déplacements de visiteurs</t>
  </si>
  <si>
    <r>
      <t xml:space="preserve">- Il s’agit de récupérer les distances effectuées par type de transport à partir du suivi du nombre de patients/ consultants, des distances et type de transport ou d’une enquête sur 2 semaines représentatives (Voir détail ci-après)
(en km)
</t>
    </r>
    <r>
      <rPr>
        <i/>
        <sz val="11"/>
        <color theme="1"/>
        <rFont val="Calibri"/>
        <scheme val="minor"/>
      </rPr>
      <t>(Nombre de patients, distances moyennes de transport)</t>
    </r>
    <r>
      <rPr>
        <sz val="11"/>
        <color theme="1"/>
        <rFont val="Calibri"/>
        <scheme val="minor"/>
      </rPr>
      <t xml:space="preserve">
- Il s’agit de récupérer les distances effectuées par type de transport à partir du suivi du nombre de visiteurs, des distances et type de transport ou d’une enquête sur 2 semaines représentatives (Voir détail ci-après)
(en km)
</t>
    </r>
    <r>
      <rPr>
        <i/>
        <sz val="11"/>
        <color theme="1"/>
        <rFont val="Calibri"/>
        <scheme val="minor"/>
      </rPr>
      <t>(Nombre moyen de visiteurs par patient (enquête ou bibliographie), distances moyennes de transport et mode de déplacement selon les moyennes d’agglomérations ou régionales)</t>
    </r>
  </si>
  <si>
    <t>Version sous-poste Patients</t>
  </si>
  <si>
    <t>Version sous-poste Visiteurs</t>
  </si>
  <si>
    <t>v1.4</t>
  </si>
  <si>
    <t>Transport des clients et visiteurs / Sous-poste Patients</t>
  </si>
  <si>
    <t>Déplacements de patients/ consultants pour accéder et quitter l’établissement</t>
  </si>
  <si>
    <r>
      <t xml:space="preserve">Il s’agit de récupérer les distances effectuées par type de transport à partir du suivi du nombre de patients/ consultants, des distances et type de transport ou d’une enquête sur 2 semaines représentatives (Voir détail ci-après)
(en km)
</t>
    </r>
    <r>
      <rPr>
        <i/>
        <sz val="11"/>
        <color theme="1"/>
        <rFont val="Calibri"/>
        <scheme val="minor"/>
      </rPr>
      <t>(Nombre de patients, distances moyennes de transport)</t>
    </r>
    <r>
      <rPr>
        <sz val="11"/>
        <color theme="1"/>
        <rFont val="Calibri"/>
        <scheme val="minor"/>
      </rPr>
      <t/>
    </r>
  </si>
  <si>
    <r>
      <rPr>
        <b/>
        <sz val="11"/>
        <color rgb="FF7030A0"/>
        <rFont val="Calibri"/>
        <scheme val="minor"/>
      </rPr>
      <t>Hyp1 :</t>
    </r>
    <r>
      <rPr>
        <sz val="11"/>
        <color theme="1"/>
        <rFont val="Calibri"/>
        <scheme val="minor"/>
      </rPr>
      <t xml:space="preserve"> On suppose qu'il y a un aller-retour patient pour les journées d'hospitalisation partielle et pour les séjours d'hospitalisation complète
</t>
    </r>
    <r>
      <rPr>
        <b/>
        <sz val="11"/>
        <color rgb="FF7030A0"/>
        <rFont val="Calibri"/>
        <scheme val="minor"/>
      </rPr>
      <t xml:space="preserve">Hyp2 </t>
    </r>
    <r>
      <rPr>
        <sz val="11"/>
        <color theme="1"/>
        <rFont val="Calibri"/>
        <scheme val="minor"/>
      </rPr>
      <t xml:space="preserve">: On suppose que les séjours longue-durée n'occasionnent qu'un aller patient.
</t>
    </r>
    <r>
      <rPr>
        <b/>
        <sz val="11"/>
        <color rgb="FF7030A0"/>
        <rFont val="Calibri"/>
        <scheme val="minor"/>
      </rPr>
      <t xml:space="preserve">Hyp3 </t>
    </r>
    <r>
      <rPr>
        <sz val="11"/>
        <color theme="1"/>
        <rFont val="Calibri"/>
        <scheme val="minor"/>
      </rPr>
      <t xml:space="preserve">: On suppose que les séjours soins longue-durée durent en moyenne un an et demi.
</t>
    </r>
    <r>
      <rPr>
        <b/>
        <sz val="11"/>
        <color rgb="FF7030A0"/>
        <rFont val="Calibri"/>
        <scheme val="minor"/>
      </rPr>
      <t>Hyp4 :</t>
    </r>
    <r>
      <rPr>
        <sz val="11"/>
        <color theme="1"/>
        <rFont val="Calibri"/>
        <scheme val="minor"/>
      </rPr>
      <t xml:space="preserve"> On suppose une distance moyenne pour le trajet à l'hôpital de 20km (chiffre basé sur des exemples de BC d'établissements hospitaliers)
</t>
    </r>
    <r>
      <rPr>
        <b/>
        <sz val="11"/>
        <color rgb="FF7030A0"/>
        <rFont val="Calibri"/>
        <scheme val="minor"/>
      </rPr>
      <t xml:space="preserve">Hyp5 </t>
    </r>
    <r>
      <rPr>
        <sz val="11"/>
        <color theme="1"/>
        <rFont val="Calibri"/>
        <scheme val="minor"/>
      </rPr>
      <t xml:space="preserve">: On néglige ici les trajets des patients vers les EHPA. On considère uniquement les trajets des patients
</t>
    </r>
    <r>
      <rPr>
        <b/>
        <sz val="11"/>
        <color rgb="FF7030A0"/>
        <rFont val="Calibri"/>
        <scheme val="minor"/>
      </rPr>
      <t>Hyp6 :</t>
    </r>
    <r>
      <rPr>
        <sz val="11"/>
        <color theme="1"/>
        <rFont val="Calibri"/>
        <scheme val="minor"/>
      </rPr>
      <t xml:space="preserve"> Pour les établissements pour personnes handicapées, les accueils en internat entrainent seulement des visites, les accueils de jour entrainent seulement un aller-retour par jour et par patients, et les accuiels "autres" ne sont pas pris en compte
</t>
    </r>
    <r>
      <rPr>
        <b/>
        <sz val="11"/>
        <color rgb="FF7030A0"/>
        <rFont val="Calibri"/>
        <scheme val="minor"/>
      </rPr>
      <t xml:space="preserve">Hyp7 </t>
    </r>
    <r>
      <rPr>
        <sz val="11"/>
        <color theme="1"/>
        <rFont val="Calibri"/>
        <scheme val="minor"/>
      </rPr>
      <t xml:space="preserve">: On suppose une distance moyenne pour le trajet aux établissements pour personnes handicapées de 20km
</t>
    </r>
    <r>
      <rPr>
        <b/>
        <sz val="11"/>
        <color rgb="FF7030A0"/>
        <rFont val="Calibri"/>
        <scheme val="minor"/>
      </rPr>
      <t>Hyp8 :</t>
    </r>
    <r>
      <rPr>
        <sz val="11"/>
        <color theme="1"/>
        <rFont val="Calibri"/>
        <scheme val="minor"/>
      </rPr>
      <t xml:space="preserve"> On suppose une distance moyenne de 10km pour les trajets aux cabinets de médecins, de 3,8km aux pharmacies et de 5km pour les laboratoires d'analyses et les opticien-lunetier</t>
    </r>
  </si>
  <si>
    <t>(1) L'activité en hospitalisation, https://drees.solidarites-sante.gouv.fr/sites/default/files/2021-07/Fiche%2003%20-%20L%E2%80%99activit%C3%A9%20en%20hospitalisation%20compl%C3%A8te%20et%20partielle.pdf
(2) Le long séjour : les unités de soins de longue durée (USLD), maisons-de-retraite.fr, http://www.maisons-de-retraite.fr/Bien-choisir-sa-maison-de-retraite/Les-differents-types-d-etablissement/Les-services-hospitaliers/Le-long-sejour-les-unites-de-soins-de-longue-duree-USLD
(3) Fiche mobilité quotidienne V1 du PTEF, TSP, 2020, https://theshiftproject.org/wp-content/uploads/2021/04/TSP-PTEF-V1-FL-Mobilite-Q.pdf
(4) Les établissements et services pour personnes handicapées, DREES, 2018, https://drees.solidarites-sante.gouv.fr/sites/default/files/2021-01/Fiche%2023%20-%20Les%20%C3%A9tablissements%20et%20services%20pour%20personnes%20handicap%C3%A9es.pdf
(5) Voiture - Motorisation moyenne - 2018, France continentale, https://bilans-ges.ademe.fr/fr/basecarbone/donnees-consulter/liste-element?recherche=voiture
(6) https://www.ordre.pharmacien.fr/content/download/38401/file/2566938_CP_CNOP_Demographie%20pharmaceutique%20au%201er%20janvier%202021.pdf?version=1
(7) http://www.ecosante.fr/
(8) Activité des médecins libéraux, https://view.officeapps.live.com/op/view.aspx?src=https%3A%2F%2Fassurance-maladie.ameli.fr%2Fsites%2Fdefault%2Ffiles%2F2019_activite-des-medecins-liberaux-par-departement_serie-annuelle.xls&amp;wdOrigin=BROWSELINK
(9) Chiffres de la PMI, https://drees.solidarites-sante.gouv.fr/sites/default/files/2022-03/er1227_0.pdf
(10) Centres de santé, https://view.officeapps.live.com/op/view.aspx?src=https%3A%2F%2Fwww.fncs.org%2Fsites%2Fdefault%2Ffiles%2Fpdf%2Fecds_tdb_2020_NAT.xlsx&amp;wdOrigin=BROWSELINK
(11) Démographie des professionnels de santé, https://drees.shinyapps.io/demographie-ps/
(12) Les SSTI, https://www.presanse.fr/wp-content/uploads/2019/11/IM_novembre_2019.pdf
(13) L'activité des chirurgiens dentistes, https://view.officeapps.live.com/op/view.aspx?src=https%3A%2F%2Fassurance-maladie.ameli.fr%2Fsites%2Fdefault%2Ffiles%2F2019_activite-prescriptions-des-chirurgiens-dentistes-liberaux-ape-par-region_serie-annuelle.xls&amp;wdOrigin=BROWSELINK
(14) L'activité des sages-femmes, https://view.officeapps.live.com/op/view.aspx?src=https%3A%2F%2Fassurance-maladie.ameli.fr%2Fsites%2Fdefault%2Ffiles%2F2019_activite-des-sages-femmes-liberales-par-region_serie-annuelle.xls&amp;wdOrigin=BROWSELINK
(15) L'activité des auxilliaires médicaux, https://view.officeapps.live.com/op/view.aspx?src=https%3A%2F%2Fassurance-maladie.ameli.fr%2Fsites%2Fdefault%2Ffiles%2F2019_activite-des-auxiliaires-medicaux-liberaux-par-region_serie-annuelle.xls&amp;wdOrigin=BROWSELINK
(16) Panorama statistique de l'Education nationale, https://www.education.gouv.fr/media/118135/download
(17) https://www.lemonde.fr/vous/article/2011/12/03/un-premier-pas-vers-la-fin-des-ordonnances-papier_1613092_3238.html
(18) https://biogroup.fr/presentation-biogroup/
(19) https://www.gfk.com/fr/insights/optique-un-marche-de-66mds-eur-en-france</t>
  </si>
  <si>
    <t>On sépare le calcul par type d'établissements :
- Pour les hôpitaux on calcule un kilométrage global à partir du nombre total de journées/séjours et d'une hypothèse de distance moyenne parcourue pour une journée/séjour. On utilise ensuite le facteur d'émission venant du secteur MobQuoti du PTEF.
- Pour les consultations des libéraux on fait du cas par cas. Dans l'ensemble, on tente de compter le nombre de professionnels médecins/autres professions de santé, qu'on multiplie avec un nombre de consultations par médecin afin d'avoir le nombre total de consultations, on multiplie par une distance moyenne parcourure pour une consultation pour avoir le kilométrage total. 
- Pour les EPHA on considère que les émissions patients sont négligeables et qu'il n'y a qu'un sujet visiteurs
- Pour les établissements pour personnes handicapées, on distingue l'accueil de jour, pour lequel il y a dans une journée un aller-retour pour amener la personne et un pour la récupérer (on divise en deux ces émissions entre patients et accompagnateurs), et l'internat pour lequel, comme pour les EPHA, on ne va considérer que les émissions des visiteurs (n'ayant pas d'infos sur les déplacements patients)
Il faut ajouter à cela qu'on prépare le terrain pour le poste Visiteurs en calculant des émissions accompagnateurs et des durées de séjours, et que les émissions ambulances et VSL partent dans le poste 2.</t>
  </si>
  <si>
    <t>Du plus précis pour les transports, plus spécifique santé : pour les distances moyennes, les parts modales/FE.
Données sur les distances moyennes
Des données plus spécifiques sur le nombre de clients des pharmacies concernés par notre périmètre (donc hors cosmétique)</t>
  </si>
  <si>
    <t xml:space="preserve">De nombreuses hypothèses, notamment sur les distances moyennes des trajets, sont non vérifiées.
</t>
  </si>
  <si>
    <t>Tout le secteur de la santé</t>
  </si>
  <si>
    <t>Partie I - Estimation des trajets pour les établissements hospitaliers</t>
  </si>
  <si>
    <t>On cherche à estimer le nombre d'allers-retours effectués par des patients entre leur domicile et les établissements hospitaliers</t>
  </si>
  <si>
    <t>Pour cela, on regarde les chiffres concernant les nombres de journées/séjours selon certaines caractérisations (types d'établissements, types de soins…).</t>
  </si>
  <si>
    <r>
      <t xml:space="preserve">De même, on utilisera la durée des séjours pour estimer le nombre de trajets visiteurs. </t>
    </r>
    <r>
      <rPr>
        <b/>
        <sz val="11"/>
        <color theme="1"/>
        <rFont val="Calibri"/>
        <scheme val="minor"/>
      </rPr>
      <t>---VISITEURS---</t>
    </r>
  </si>
  <si>
    <r>
      <rPr>
        <b/>
        <sz val="11"/>
        <color rgb="FF7030A0"/>
        <rFont val="Calibri"/>
        <scheme val="minor"/>
      </rPr>
      <t xml:space="preserve">Hyp1 : </t>
    </r>
    <r>
      <rPr>
        <sz val="11"/>
        <color theme="1"/>
        <rFont val="Calibri"/>
        <scheme val="minor"/>
      </rPr>
      <t>On suppose qu'il y a un aller-retour patient pour les journées d'hospitalisation partielle et pour les séjours d'hospitalisation complète</t>
    </r>
  </si>
  <si>
    <r>
      <t xml:space="preserve">Pour les séjours en soins de longue durée, on trouve des durées moyennes pour ensuite estimer le nombre de visiteurs. </t>
    </r>
    <r>
      <rPr>
        <b/>
        <sz val="11"/>
        <color theme="1"/>
        <rFont val="Calibri"/>
        <scheme val="minor"/>
      </rPr>
      <t>---VISITEURS---</t>
    </r>
  </si>
  <si>
    <r>
      <rPr>
        <b/>
        <sz val="11"/>
        <color rgb="FF7030A0"/>
        <rFont val="Calibri"/>
        <scheme val="minor"/>
      </rPr>
      <t xml:space="preserve">Hyp2 : </t>
    </r>
    <r>
      <rPr>
        <sz val="11"/>
        <color theme="1"/>
        <rFont val="Calibri"/>
        <scheme val="minor"/>
      </rPr>
      <t>On suppose que les séjours longue-durée n'occasionnent qu'un aller patient.</t>
    </r>
  </si>
  <si>
    <t>Nombre de séjours et de journées selon le statut de l'établissement en 2019</t>
  </si>
  <si>
    <t>Établissements publics</t>
  </si>
  <si>
    <t>Établissements privés à but non lucratif</t>
  </si>
  <si>
    <t>Établissements privés à but lucratif</t>
  </si>
  <si>
    <t>Ensemble des établissements</t>
  </si>
  <si>
    <t>Journées en hospitalisation partielle</t>
  </si>
  <si>
    <t>Soins de court séjour (MCO)</t>
  </si>
  <si>
    <t>Psychiatrie*</t>
  </si>
  <si>
    <t>Soins de suite et de réadaptation</t>
  </si>
  <si>
    <t>Séjours en hospitalisation complète**</t>
  </si>
  <si>
    <t>Psychiatrie</t>
  </si>
  <si>
    <t>Soins de suite et de réadaptation***</t>
  </si>
  <si>
    <t>Journées en hospitalisation complète**</t>
  </si>
  <si>
    <t>Journées en soins de longue durée</t>
  </si>
  <si>
    <t>* Le nombre de journées est exprimé en équivalent-journée où une demi-journée compte pour moitié.</t>
  </si>
  <si>
    <t>** Hors soins de longue durée.</t>
  </si>
  <si>
    <t>*** Y compris les maisons d'enfants à caractère sanitaire (MECS) temporaires.</t>
  </si>
  <si>
    <t>Durées des types de séjours en soins de longue durée</t>
  </si>
  <si>
    <r>
      <rPr>
        <b/>
        <sz val="11"/>
        <color rgb="FF7030A0"/>
        <rFont val="Calibri"/>
        <scheme val="minor"/>
      </rPr>
      <t xml:space="preserve">Hyp3 : </t>
    </r>
    <r>
      <rPr>
        <sz val="11"/>
        <color theme="1"/>
        <rFont val="Calibri"/>
        <scheme val="minor"/>
      </rPr>
      <t>On suppose que les séjours soins longue-durée durent en moyenne un an et demi.</t>
    </r>
  </si>
  <si>
    <t>Durée d'un séjour longue-durée :</t>
  </si>
  <si>
    <t>jours</t>
  </si>
  <si>
    <t>Récapitulatif sur les nombres de journées/séjours en hôpitaux.</t>
  </si>
  <si>
    <r>
      <t xml:space="preserve">Note : on fait la distinction MCO,SSR / psychiatrie car cela servira dans le poste 16.visiteurs </t>
    </r>
    <r>
      <rPr>
        <b/>
        <sz val="11"/>
        <rFont val="Calibri"/>
        <scheme val="minor"/>
      </rPr>
      <t>---VISITEURS---</t>
    </r>
  </si>
  <si>
    <t>Statistiques sur les journées et séjours d'hospitalisation</t>
  </si>
  <si>
    <t>Public</t>
  </si>
  <si>
    <t>Privé non lucratif</t>
  </si>
  <si>
    <t>Privé lucratif</t>
  </si>
  <si>
    <t>Journées hosp. complète MCO et SSR</t>
  </si>
  <si>
    <t>journées</t>
  </si>
  <si>
    <t>---VISITEURS---</t>
  </si>
  <si>
    <t>Journées hosp.complète psychiatrie</t>
  </si>
  <si>
    <t>Journées soins de longue durée</t>
  </si>
  <si>
    <t>Séjours hosp. complète MCO et SSR</t>
  </si>
  <si>
    <t>séjours</t>
  </si>
  <si>
    <t>Séjours hosp. complète psychiatrie</t>
  </si>
  <si>
    <t>Séjours soins de longue durée</t>
  </si>
  <si>
    <r>
      <t xml:space="preserve">Total des allers-retours patients (on compte pour 1/2 seulement les SLD car il n'y a que l'aller d'après l'hypothèse </t>
    </r>
    <r>
      <rPr>
        <b/>
        <sz val="11"/>
        <color rgb="FF7030A0"/>
        <rFont val="Calibri"/>
        <scheme val="minor"/>
      </rPr>
      <t>Hyp2</t>
    </r>
    <r>
      <rPr>
        <b/>
        <sz val="11"/>
        <rFont val="Calibri"/>
        <scheme val="minor"/>
      </rPr>
      <t>)</t>
    </r>
  </si>
  <si>
    <t>Allers-retours</t>
  </si>
  <si>
    <t>Calcul du kilométrage total associé à ces journées/séjours.</t>
  </si>
  <si>
    <t>Chaqueséjour entraîne un aller-retour patient</t>
  </si>
  <si>
    <t>On va convetir le kilométrage total parcouru en émissions grâce au FE du secteur Mobquoti, cependant :</t>
  </si>
  <si>
    <r>
      <t xml:space="preserve">on retranche au préalable à ce total les distances totales parcourues en ambulances, VSL et taxis, qui auront leur FE propre. </t>
    </r>
    <r>
      <rPr>
        <b/>
        <sz val="11"/>
        <rFont val="Calibri"/>
        <scheme val="minor"/>
      </rPr>
      <t>---POSTE 2---</t>
    </r>
  </si>
  <si>
    <r>
      <rPr>
        <b/>
        <sz val="11"/>
        <color rgb="FF7030A0"/>
        <rFont val="Calibri"/>
        <scheme val="minor"/>
      </rPr>
      <t xml:space="preserve">Hyp4 : </t>
    </r>
    <r>
      <rPr>
        <sz val="11"/>
        <color theme="1"/>
        <rFont val="Calibri"/>
        <scheme val="minor"/>
      </rPr>
      <t>On suppose une distance moyenne pour le trajet à l'hôpital de 20km (chiffre basé sur des exemples de BC d'établissements hospitaliers)</t>
    </r>
  </si>
  <si>
    <t>Distance d'un trajet à l'hôpital (aller uniquement)</t>
  </si>
  <si>
    <t>Distance totale parcourue par les patients (aller et retour)</t>
  </si>
  <si>
    <t>Gkm</t>
  </si>
  <si>
    <t>On retranche les trajets effectués dans le cadre des transports d'urgence calculés dans le Poste 2</t>
  </si>
  <si>
    <t>Kilométrage des trajets hôpitaux patients par mode de transport (Gkm)</t>
  </si>
  <si>
    <t>Patient</t>
  </si>
  <si>
    <t>Tout mode</t>
  </si>
  <si>
    <t>Transports d'urgences (SDIS, SMUR, …)</t>
  </si>
  <si>
    <t>Hors modes spécifiques santé</t>
  </si>
  <si>
    <t xml:space="preserve">On utilise le facteur d'émission de la mobilité quotidienne calculé pour le PTEF </t>
  </si>
  <si>
    <t>FE déplacement mobilité quotidienne</t>
  </si>
  <si>
    <t>Secteur MobQuoti PTEF (3)</t>
  </si>
  <si>
    <t>Emissions des trajets hôpitaux patients (poste 16 et poste 2)</t>
  </si>
  <si>
    <t>Modes de transport non spécifiques santé</t>
  </si>
  <si>
    <t>On répartit ces émissions au prorata des journées/séjours dans le public, privé lucratif, privé non lucratif.</t>
  </si>
  <si>
    <r>
      <t xml:space="preserve">On n'inclut pas les ambulances et VSL qui vont dans le poste 2. </t>
    </r>
    <r>
      <rPr>
        <b/>
        <sz val="11"/>
        <color theme="1"/>
        <rFont val="Calibri"/>
        <scheme val="minor"/>
      </rPr>
      <t>---POSTE 2---</t>
    </r>
  </si>
  <si>
    <t xml:space="preserve">Répartition par types d'hôpitaux des trajets hôpitaux patients </t>
  </si>
  <si>
    <t>Partie II - Estimation des déplacements des patients du médico-social</t>
  </si>
  <si>
    <r>
      <t xml:space="preserve">Patients des </t>
    </r>
    <r>
      <rPr>
        <b/>
        <sz val="11"/>
        <rFont val="Calibri"/>
        <scheme val="minor"/>
      </rPr>
      <t>EPHA</t>
    </r>
  </si>
  <si>
    <r>
      <rPr>
        <b/>
        <sz val="11"/>
        <color rgb="FF7030A0"/>
        <rFont val="Calibri"/>
        <scheme val="minor"/>
      </rPr>
      <t>Hyp5 :</t>
    </r>
    <r>
      <rPr>
        <sz val="11"/>
        <rFont val="Calibri"/>
        <scheme val="minor"/>
      </rPr>
      <t xml:space="preserve"> On néglige ici les trajets des patients vers les EHPA. On considère uniquement les trajets des patients</t>
    </r>
  </si>
  <si>
    <t xml:space="preserve">Patients des établissements pour personnes handicapées </t>
  </si>
  <si>
    <t>Dans les établissements pour personnes handicapées, environ la moitié des personnes accueillies le sont sur le temps long ("internat"), tandis que l'autre moitié l'est à la journée ("accueil de jour")</t>
  </si>
  <si>
    <t>Une minorité (un peu moins de 10%) connait une situation un peu plus complexe ("autres" = "hébergement éclaté, accueil familial, accueil temporaire, prestation sur le lieu de vie, etc.")</t>
  </si>
  <si>
    <t>On suppose que :</t>
  </si>
  <si>
    <r>
      <rPr>
        <b/>
        <sz val="11"/>
        <color rgb="FF7030A0"/>
        <rFont val="Calibri"/>
        <scheme val="minor"/>
      </rPr>
      <t>Hyp6 :</t>
    </r>
    <r>
      <rPr>
        <sz val="11"/>
        <rFont val="Calibri"/>
        <scheme val="minor"/>
      </rPr>
      <t xml:space="preserve"> Les accueils de jour entrainent des déplacements de un aller-retour par jour et par patients, et pas de visiteurs</t>
    </r>
  </si>
  <si>
    <r>
      <rPr>
        <b/>
        <sz val="11"/>
        <color rgb="FF7030A0"/>
        <rFont val="Calibri"/>
        <scheme val="minor"/>
      </rPr>
      <t>Hyp6 :</t>
    </r>
    <r>
      <rPr>
        <sz val="11"/>
        <rFont val="Calibri"/>
        <scheme val="minor"/>
      </rPr>
      <t xml:space="preserve"> Les accueils en internat entrainent seulement des visites (Les déplacements patients ne sont pas pris en compte). Ils seront traités dans l'onglet "16.visiteurs"</t>
    </r>
  </si>
  <si>
    <r>
      <rPr>
        <b/>
        <sz val="11"/>
        <color rgb="FF7030A0"/>
        <rFont val="Calibri"/>
        <scheme val="minor"/>
      </rPr>
      <t xml:space="preserve">Hyp6 : </t>
    </r>
    <r>
      <rPr>
        <sz val="11"/>
        <rFont val="Calibri"/>
        <scheme val="minor"/>
      </rPr>
      <t>Les accueils "Autres", ne sont pas pris en compte</t>
    </r>
  </si>
  <si>
    <t>Pour les accueils de  jour, on prend la même hypothèse de trajet moyen que pour une consultation en libéral</t>
  </si>
  <si>
    <r>
      <rPr>
        <b/>
        <sz val="11"/>
        <color rgb="FF7030A0"/>
        <rFont val="Calibri"/>
        <scheme val="minor"/>
      </rPr>
      <t>Hyp7 :</t>
    </r>
    <r>
      <rPr>
        <sz val="11"/>
        <rFont val="Calibri"/>
        <scheme val="minor"/>
      </rPr>
      <t xml:space="preserve"> On suppose une distance moyenne pour le trajet aux établissements pour personnes handicapées de 20km</t>
    </r>
  </si>
  <si>
    <t xml:space="preserve">Répartition des personnes accueillies en établissements pour personnes handicapées </t>
  </si>
  <si>
    <t>Accueil de jour</t>
  </si>
  <si>
    <t>Internat</t>
  </si>
  <si>
    <t>Autres</t>
  </si>
  <si>
    <t>Enfants accueillis</t>
  </si>
  <si>
    <t>Adultes accueillis</t>
  </si>
  <si>
    <t>Personnes accueillies</t>
  </si>
  <si>
    <t>Kilométrage dû aux accueils de jour</t>
  </si>
  <si>
    <t>Trajet moyen accueil de jour (aller et retour)</t>
  </si>
  <si>
    <t>Trajets patients</t>
  </si>
  <si>
    <t>Gkm/an</t>
  </si>
  <si>
    <t>Emissions transport patients et accompagnateurs pour accueils de jour en établissements pour personnes handicapées (MtCO2e)</t>
  </si>
  <si>
    <t>Patients</t>
  </si>
  <si>
    <t>Voiture</t>
  </si>
  <si>
    <t>Partie III - Estimation des déplacements des patients pour la médecine de ville</t>
  </si>
  <si>
    <t>Pour chaque professionnel de santé (y compris médecins libéraux, pharmaciens, techiciens de laboratoires, opticiens, …), on formule des hypothèses spécifiques pour obtenir les distances des patients associés.</t>
  </si>
  <si>
    <t>On cherchera notamment pour la plupart des cas à trouver le nombre de consultations, puis on y associera une distance parcourues pour chaque consultation</t>
  </si>
  <si>
    <t>Pour les distances parcourues, on utilisera les hypothèses suivantes :</t>
  </si>
  <si>
    <r>
      <rPr>
        <b/>
        <sz val="11"/>
        <color rgb="FF7030A0"/>
        <rFont val="Calibri"/>
        <scheme val="minor"/>
      </rPr>
      <t xml:space="preserve">Hyp8 </t>
    </r>
    <r>
      <rPr>
        <sz val="11"/>
        <rFont val="Calibri"/>
        <scheme val="minor"/>
      </rPr>
      <t>: On suppose une distance moyenne de 10km pour les trajets aux cabinets de médecins, de 3,8km aux pharmacies et de 5km pour les laboratoires d'analyses et les opticien-lunetier</t>
    </r>
  </si>
  <si>
    <t>Les hypothèses sont résumées par le tableau suivant :</t>
  </si>
  <si>
    <t>Distance entre le domicile du patient et le professionnel (km)</t>
  </si>
  <si>
    <t>Remarque</t>
  </si>
  <si>
    <t>Médecin généraliste ou spécialiste</t>
  </si>
  <si>
    <t>La distance est probablement sous-estimée pour les médecins spécialistes</t>
  </si>
  <si>
    <t>Pharmacie</t>
  </si>
  <si>
    <t>Il s'agit de la distance moyenne de la pharmacie la plus proche (6)</t>
  </si>
  <si>
    <t>Laboratoire d'analyse</t>
  </si>
  <si>
    <t>Opticien-lunetier</t>
  </si>
  <si>
    <t>On utilisera également les chiffres suivants:</t>
  </si>
  <si>
    <t>valeur</t>
  </si>
  <si>
    <t>Nombre de consultations moyen annuel par médecin omnipracticien (2009)</t>
  </si>
  <si>
    <t>Nombre de consultations moyen annuel par médecin spécialiste (2009)</t>
  </si>
  <si>
    <t>Nombre de consultations moyen annuel par médecin libéral  (2013)</t>
  </si>
  <si>
    <t>Facteur d'émission mobilité quotidienne (kgCO2e/km)</t>
  </si>
  <si>
    <t>Note : On ne compte pas de déplacements de patients pour les médecins scolaires, militaires, les médecins pompiers, du SAMU, la médecine pénitentiaire, les médecins en MDPH ou EHPAD, les spécialistes en anatomie et cytologie pathologiques, en biologie médicale, en gériatrie, en santé publique et médecine sociale, les psychomotriciens, les ergothérapeuthe, les manipulateurs ERM et les infirmiers</t>
  </si>
  <si>
    <t>Chiffres utilisés</t>
  </si>
  <si>
    <t>Chiffre spécifique</t>
  </si>
  <si>
    <t>Distance engendrée (Gkm)</t>
  </si>
  <si>
    <t>Emissions engendrées (MtCO2e)</t>
  </si>
  <si>
    <t>Médecins généralistes et spécialistes</t>
  </si>
  <si>
    <t>Médecins généralistes, MEP et spécialistes libéraux</t>
  </si>
  <si>
    <t>Nombre de consultations ; distance médecin généraliste ou spécialiste</t>
  </si>
  <si>
    <t>Nombre de consultations</t>
  </si>
  <si>
    <t>Médecins généralistes et spécialistes salariés non hospitaliers</t>
  </si>
  <si>
    <t>Médecin de protection maternelle et infantile (PMI)</t>
  </si>
  <si>
    <t>Médecin conseil de la sécurité sociale (on attend Clara)</t>
  </si>
  <si>
    <t>Nombre de professionnels, nombre de consultations moyen annuel; distance médecin généraliste ou spécialiste</t>
  </si>
  <si>
    <t>Nombre de professionnels</t>
  </si>
  <si>
    <t>Médecin généraliste en centre de santé</t>
  </si>
  <si>
    <t>Nombre de professionnels, nombre de consultations moyen annuel ; distance médecin généraliste ou spécialiste</t>
  </si>
  <si>
    <t>Spécialistes en anesthésie-réanimation</t>
  </si>
  <si>
    <t>Spécialistes en cardiologie et maladies vasculaires</t>
  </si>
  <si>
    <t>Spécialistes en chirurgie générale</t>
  </si>
  <si>
    <t>Spécialistes en chirurgie maxillo-faciale et stomatologie</t>
  </si>
  <si>
    <t>Spécialistes en chirurgie orthopédique et traumatologie</t>
  </si>
  <si>
    <t>Spécialistes en chirurgie infantile</t>
  </si>
  <si>
    <t>Spécialistes en chirurgie plastique reconstructrice et esthétique</t>
  </si>
  <si>
    <t>Spécialistes en chirurgie thoracique et cardio-vasculaire</t>
  </si>
  <si>
    <t>Spécialistes en chirurgie urologique</t>
  </si>
  <si>
    <t>Spécialistes en chirurgie vasculaire</t>
  </si>
  <si>
    <t>Spécialistes en chirurgie viscérale et digestive</t>
  </si>
  <si>
    <t>Spécialistes en  dermatologie et vénéréologie</t>
  </si>
  <si>
    <t>Spécialistes en endocrinologie et métabolisme</t>
  </si>
  <si>
    <t>Spécialistes en génétique médicale</t>
  </si>
  <si>
    <t>Spécialistes en gynécologie médicale</t>
  </si>
  <si>
    <t>Spécialistes en Gynécologie-obstétrique</t>
  </si>
  <si>
    <t>Spécialistes en hématologie</t>
  </si>
  <si>
    <t>Spécialistes en gastro-entérologie et hépatologie</t>
  </si>
  <si>
    <t>Spécialistes en médecine du travail</t>
  </si>
  <si>
    <t>Nombre de professionnels en service de santé au travail interentreprises, nombre de consultations moyen annuel ; distance médecin généraliste ou spécialiste</t>
  </si>
  <si>
    <t>Nombre de professionnels en service de santé au travail interentreprises</t>
  </si>
  <si>
    <t>à parti de (11) et (12)</t>
  </si>
  <si>
    <t>D'après (12):</t>
  </si>
  <si>
    <t>% des médecins du travail travaillent en SSTI</t>
  </si>
  <si>
    <t>Spécialistes en médecine interne</t>
  </si>
  <si>
    <t>Spécialistes en médecine nucléaire</t>
  </si>
  <si>
    <t>Spécialistes en médecine physique et réadaptation</t>
  </si>
  <si>
    <t>Spécialistes en néphrologie</t>
  </si>
  <si>
    <t>Spécialistes en neurochirurgie</t>
  </si>
  <si>
    <t>Spécialistes en neurologie</t>
  </si>
  <si>
    <t>Spécialistes ORL et chirurgie cervico-faciale</t>
  </si>
  <si>
    <t>Spécialistes en oncologie option médicale</t>
  </si>
  <si>
    <t>Spécialistes en ophtalmologie</t>
  </si>
  <si>
    <t>Spécialistes en pédiatrie</t>
  </si>
  <si>
    <t>Spécialistes en pneumologie</t>
  </si>
  <si>
    <t>Spécialistes en psychiatrie</t>
  </si>
  <si>
    <t>Spécialistes en radiodiagnostic et imagerie médicale</t>
  </si>
  <si>
    <t>Spécialistes en radiothérapie</t>
  </si>
  <si>
    <t>Spécialistes en réanimation médicale</t>
  </si>
  <si>
    <t>Spécialistes en rhumatologie</t>
  </si>
  <si>
    <t xml:space="preserve">Total médecins salariés non hospitaliers </t>
  </si>
  <si>
    <t>Autres professionnels de santé</t>
  </si>
  <si>
    <t>Chirurgien-dentiste</t>
  </si>
  <si>
    <t>Nombre de consultations/visites ; distance médecin généraliste ou spécialiste</t>
  </si>
  <si>
    <t>Nombre de consultations ou visites</t>
  </si>
  <si>
    <t>(13)</t>
  </si>
  <si>
    <t>Sage-femme</t>
  </si>
  <si>
    <t>(14)</t>
  </si>
  <si>
    <t>Masseur-kinésithérapeute</t>
  </si>
  <si>
    <t>Nombre d'actes ; distance médecin généraliste ou spécialiste</t>
  </si>
  <si>
    <t>Nombre d'actes</t>
  </si>
  <si>
    <t>(15)</t>
  </si>
  <si>
    <t>Orthophoniste</t>
  </si>
  <si>
    <t>Orthoptiste</t>
  </si>
  <si>
    <t>Pédicure-podologue</t>
  </si>
  <si>
    <t>Nombres de professionnels libéraux ou mixtes ; distance médecin généraliste ou spécialiste ; nombre de consultations par médecins libéral</t>
  </si>
  <si>
    <t>Nombres de professionnels libéraux ou mixtes</t>
  </si>
  <si>
    <t>Ergothérapeute</t>
  </si>
  <si>
    <t>Audioprothésiste</t>
  </si>
  <si>
    <t>Nombres de professionnels (hors salariés hospitaliers) ; distance médecin généraliste ou spécialiste ; nombre de consultations par médecins libéral</t>
  </si>
  <si>
    <t>Nombres de professionnels (hors salariés hospitaliers)</t>
  </si>
  <si>
    <t>Diététicien</t>
  </si>
  <si>
    <t>Orthoprothésiste</t>
  </si>
  <si>
    <t>Podo-orthésiste</t>
  </si>
  <si>
    <t>Orthopédiste-orthésiste</t>
  </si>
  <si>
    <t>Oculariste</t>
  </si>
  <si>
    <t>Epithésiste</t>
  </si>
  <si>
    <t>Psychologues</t>
  </si>
  <si>
    <t>Nombres de professionnels (hors salariés hospitaliers et psychologues scolaires)</t>
  </si>
  <si>
    <t>à partir de (11) et (16)</t>
  </si>
  <si>
    <t>Pharmacien</t>
  </si>
  <si>
    <t>Nombre de prescriptions par an ; distance pharmacies</t>
  </si>
  <si>
    <t>Nombre de prescriptions</t>
  </si>
  <si>
    <t>(17)</t>
  </si>
  <si>
    <t>Techniciens de laboratoires</t>
  </si>
  <si>
    <t>Nombre de clients quotidiens des laboratoires d'analyses ; distance laboratoires d'analyses</t>
  </si>
  <si>
    <t>Nombre de clients quotidiens</t>
  </si>
  <si>
    <t>à partir de (18)</t>
  </si>
  <si>
    <t>Nombre de clients (Hyp : deux par lunettes vendues) ; distance opticien-lunetier</t>
  </si>
  <si>
    <t>Nombre de lunettes vendues</t>
  </si>
  <si>
    <t>(19)</t>
  </si>
  <si>
    <t>Total autres professions de santé</t>
  </si>
  <si>
    <t xml:space="preserve">IV - Bilan </t>
  </si>
  <si>
    <t>Distance parcourue (Gkm)</t>
  </si>
  <si>
    <t>Etablissements hospitaliers</t>
  </si>
  <si>
    <t>- Dont patients</t>
  </si>
  <si>
    <t>- Dont visiteurs</t>
  </si>
  <si>
    <t>Médecine de ville</t>
  </si>
  <si>
    <t>- Dont médecins libéraux</t>
  </si>
  <si>
    <t>- Dont Médecins salariés non-hospitaliers</t>
  </si>
  <si>
    <t>- Dont masseurs-kinésithérapeutes</t>
  </si>
  <si>
    <t>- Dont psychologues</t>
  </si>
  <si>
    <t>- Dont pharmacies</t>
  </si>
  <si>
    <t>- Dont laboratoires d'analyses</t>
  </si>
  <si>
    <t>- Dont opticiens</t>
  </si>
  <si>
    <t>Médico-social</t>
  </si>
  <si>
    <t>- Dont patient des ES Handicap</t>
  </si>
  <si>
    <t>- Dont visiteurs ES Handicap</t>
  </si>
  <si>
    <t>- Dont visiteurs EHPA</t>
  </si>
  <si>
    <t>Total patients</t>
  </si>
  <si>
    <t>Total visiteurs</t>
  </si>
  <si>
    <t>On peut comparer ce résultat avec les travaux du rapport "Mobilité quotidienne":</t>
  </si>
  <si>
    <t>Ce rapport identifie 5% des 550Gkm de déplacement annuel pour "les soins et démarches administratives", soit 27,5 Gkm.</t>
  </si>
  <si>
    <t>Bilan des émissions des patients</t>
  </si>
  <si>
    <t>Patients hôpitaux</t>
  </si>
  <si>
    <t>Patients consultations libéraux</t>
  </si>
  <si>
    <t xml:space="preserve">Accueil de jour en établissements pour personnes handicapées </t>
  </si>
  <si>
    <t>Transport des clients et visiteurs / Sous-poste Visiteurs</t>
  </si>
  <si>
    <t>Déplacements de visiteurs</t>
  </si>
  <si>
    <r>
      <t xml:space="preserve">Il s’agit de récupérer les distances effectuées par type de transport à partir du suivi du nombre de visiteurs, des distances et type de transport ou d’une enquête sur 2 semaines représentatives (Voir détail ci-après)
(en km)
</t>
    </r>
    <r>
      <rPr>
        <i/>
        <sz val="11"/>
        <color theme="1"/>
        <rFont val="Calibri"/>
        <scheme val="minor"/>
      </rPr>
      <t>(Nombre moyen de visiteurs par patient (enquête ou bibliographie), distances moyennes de transport et mode de déplacement selon les moyennes d’agglomérations ou régionales)</t>
    </r>
  </si>
  <si>
    <r>
      <rPr>
        <b/>
        <sz val="11"/>
        <color rgb="FF7030A0"/>
        <rFont val="Calibri"/>
        <scheme val="minor"/>
      </rPr>
      <t>Hyp 1 :</t>
    </r>
    <r>
      <rPr>
        <sz val="11"/>
        <color theme="1"/>
        <rFont val="Calibri"/>
        <scheme val="minor"/>
      </rPr>
      <t xml:space="preserve"> On reprend les données du BC de Dieppe pour le nombre de visites par patient
</t>
    </r>
    <r>
      <rPr>
        <b/>
        <sz val="11"/>
        <color rgb="FF7030A0"/>
        <rFont val="Calibri"/>
        <scheme val="minor"/>
      </rPr>
      <t>Hyp2 :</t>
    </r>
    <r>
      <rPr>
        <sz val="11"/>
        <color theme="1"/>
        <rFont val="Calibri"/>
        <scheme val="minor"/>
      </rPr>
      <t xml:space="preserve"> On suppose une distance moyenne des trajets des visiteurs est de 20km pour les établissements hospitaliers, pour personnes âgées et handicapées</t>
    </r>
  </si>
  <si>
    <r>
      <t xml:space="preserve">(1) </t>
    </r>
    <r>
      <rPr>
        <i/>
        <sz val="11"/>
        <color theme="1"/>
        <rFont val="Calibri"/>
        <scheme val="minor"/>
      </rPr>
      <t xml:space="preserve">Bilan Carbone – </t>
    </r>
    <r>
      <rPr>
        <b/>
        <i/>
        <sz val="11"/>
        <color theme="1"/>
        <rFont val="Calibri"/>
        <scheme val="minor"/>
      </rPr>
      <t>Anonyme</t>
    </r>
    <r>
      <rPr>
        <i/>
        <sz val="11"/>
        <color theme="1"/>
        <rFont val="Calibri"/>
        <scheme val="minor"/>
      </rPr>
      <t xml:space="preserve">
</t>
    </r>
    <r>
      <rPr>
        <sz val="11"/>
        <color theme="1"/>
        <rFont val="Calibri"/>
        <scheme val="minor"/>
      </rPr>
      <t xml:space="preserve">(2) </t>
    </r>
    <r>
      <rPr>
        <i/>
        <sz val="11"/>
        <color theme="1"/>
        <rFont val="Calibri"/>
        <scheme val="minor"/>
      </rPr>
      <t>Fiche mobilité quotidienne V1 du PTEF</t>
    </r>
    <r>
      <rPr>
        <sz val="11"/>
        <color theme="1"/>
        <rFont val="Calibri"/>
        <scheme val="minor"/>
      </rPr>
      <t xml:space="preserve">, TSP, 2020, https://theshiftproject.org/wp-content/uploads/2021/04/TSP-PTEF-V1-FL-Mobilite-Q.pdf
(3) </t>
    </r>
    <r>
      <rPr>
        <i/>
        <sz val="11"/>
        <color theme="1"/>
        <rFont val="Calibri"/>
        <scheme val="minor"/>
      </rPr>
      <t>L'enquête auprès des établissements d'hébergement pour personnes âgées (EHPA) / EHPA2015 : Caractéristiques des résidents.xlsx</t>
    </r>
    <r>
      <rPr>
        <sz val="11"/>
        <color theme="1"/>
        <rFont val="Calibri"/>
        <scheme val="minor"/>
      </rPr>
      <t xml:space="preserve">, DREES, 2015, https://data.drees.solidarites-sante.gouv.fr/explore/dataset/587_l-enquete-aupres-des-etablissements-d-hebergement-pour-personnes-agees-ehpa/information/
(4) </t>
    </r>
    <r>
      <rPr>
        <i/>
        <sz val="11"/>
        <color theme="1"/>
        <rFont val="Calibri"/>
        <scheme val="minor"/>
      </rPr>
      <t>L'enquête auprès des établissements et services pour enfants et adultes handicapés (ES "handicap") /  ES-Handicap 2014 - adultes accueillis.xlsx</t>
    </r>
    <r>
      <rPr>
        <sz val="11"/>
        <color theme="1"/>
        <rFont val="Calibri"/>
        <scheme val="minor"/>
      </rPr>
      <t xml:space="preserve">, DREES, 2014, https://data.drees.solidarites-sante.gouv.fr/explore/dataset/434_l-enquete-aupres-des-etablissements-et-services-pour-enfants-et-adultes-hand/information/ </t>
    </r>
  </si>
  <si>
    <t>On reprend les journées hospitalisation patients dans le calculs Patients, on attribue un nombre de visiteurs par journée.patient.
Pour les EPHA et les établissements pour personnes handicapées, on considère un certain nombre de visites par jour en fonction du nombre de patients, suite à des appels effectués avec des EPHA.</t>
  </si>
  <si>
    <t>Des données plus précises et spécifiques santé, notamment pour les distances moyennes de trajet.</t>
  </si>
  <si>
    <t>Certaines hypothèses restent à vérifier. 
De plus, on considère ici qu'une visite = 1 visiteur, or les visites peuvent se faire à plusieurs ; ceci n'est pour l'instant pas pris en compte</t>
  </si>
  <si>
    <t>Ce n'est pas assez spécifique santé en termes de données et il y a trop d'hypothèses non vérifiées.</t>
  </si>
  <si>
    <t>Partie I - Estimation du nombre de visiteurs des établissements hospitaliers</t>
  </si>
  <si>
    <t>On utilise la source (1) pour obtenir le nombre de visiteurs par jour et par patients, et on multiplie ces chiffres par le nombre de patients trouvé dans 16.patients</t>
  </si>
  <si>
    <r>
      <t>Etape de calcul :</t>
    </r>
    <r>
      <rPr>
        <sz val="11"/>
        <rFont val="Calibri"/>
        <scheme val="minor"/>
      </rPr>
      <t xml:space="preserve"> Estimation du nombre de visiteurs par jour et par patient</t>
    </r>
  </si>
  <si>
    <t>On utilise les données de la source (1) :</t>
  </si>
  <si>
    <t>"Afin d’estimer les déplacements des visiteurs, plusieurs hypothèses ont été émises. Tout d’abord, le nombre de visiteurs a été estimé à partir des données inscrites dans la réglementation lié à la sécurité incendie :
• 1 visiteur par lit et par jour pour les services Médecine, Chirurgie, Obstétrique et Soins de Suite de Réadaptation
• 1 visiteur pour 2 lits par jour pour le service Psychiatrie
• 1 visiteur pour 3 lits par jour pour l'Unité de Soins Longue Durée et l’Etablissement d'Hébergement pour Personnes Agées Dépendantes"</t>
  </si>
  <si>
    <r>
      <rPr>
        <b/>
        <sz val="11"/>
        <color rgb="FF7030A0"/>
        <rFont val="Calibri"/>
        <scheme val="minor"/>
      </rPr>
      <t xml:space="preserve">Hyp1 : </t>
    </r>
    <r>
      <rPr>
        <sz val="11"/>
        <color theme="1"/>
        <rFont val="Calibri"/>
        <scheme val="minor"/>
      </rPr>
      <t>On va utiliser les nombres de visites par journée donnés par (1) pour calculer les nombres de visites.</t>
    </r>
  </si>
  <si>
    <r>
      <t>Lim2 :</t>
    </r>
    <r>
      <rPr>
        <sz val="11"/>
        <rFont val="Calibri"/>
        <scheme val="minor"/>
      </rPr>
      <t xml:space="preserve"> Il faut vérifier cette réglementation, et voir si ça colle à la réalité ou si on surestime.</t>
    </r>
  </si>
  <si>
    <t>Nombres de visites par journée</t>
  </si>
  <si>
    <t>Visiteurs/ jour</t>
  </si>
  <si>
    <t>MCO et SSR</t>
  </si>
  <si>
    <t>Soins longue durée</t>
  </si>
  <si>
    <r>
      <t>Etape de calcul :</t>
    </r>
    <r>
      <rPr>
        <sz val="11"/>
        <rFont val="Calibri"/>
        <scheme val="minor"/>
      </rPr>
      <t xml:space="preserve"> Estimation du nombre de visiteurs total</t>
    </r>
  </si>
  <si>
    <t>On reprends alors les chiffres des journées d'hospitalisation calculés précédemment:</t>
  </si>
  <si>
    <t>Nombre de journées d'hospitalisation par classe de soins et par type d'établissement</t>
  </si>
  <si>
    <t>Et donc :</t>
  </si>
  <si>
    <t>Nombre de visites par classe de soins et par type d'établissement</t>
  </si>
  <si>
    <t>Calcul des kilométrages associés aux visites</t>
  </si>
  <si>
    <r>
      <rPr>
        <b/>
        <sz val="11"/>
        <color rgb="FF7030A0"/>
        <rFont val="Calibri"/>
        <scheme val="minor"/>
      </rPr>
      <t xml:space="preserve">Hyp2 : </t>
    </r>
    <r>
      <rPr>
        <sz val="11"/>
        <color theme="1"/>
        <rFont val="Calibri"/>
        <scheme val="minor"/>
      </rPr>
      <t>On suppose une distance moyenne des trajets des visiteurs est de 20km</t>
    </r>
  </si>
  <si>
    <t>Distance d'un trajet à l'hôpital d'un visiteur (aller uniquement)</t>
  </si>
  <si>
    <t>Donc :</t>
  </si>
  <si>
    <t>Kilométrage visites par type d'établissement</t>
  </si>
  <si>
    <t>On traduit en émissions comme on fait avec les patients.</t>
  </si>
  <si>
    <t>Facteur d'émissions</t>
  </si>
  <si>
    <t>Secteur MobQuoti PTEF (2)</t>
  </si>
  <si>
    <t>Emissions transport visiteurs par classes d'établissements de santé</t>
  </si>
  <si>
    <t>Partie II - Estimation du nombre de visiteurs des établissements pour personnes âgées</t>
  </si>
  <si>
    <t>Il n'existe pas de statistiques générales sur le nombre et la fréquence des visites en EPHA : Nous avons donc appelé des EPHA pour se faire une idée du nombre de visites par jour moyen</t>
  </si>
  <si>
    <t>Nous en avons appelé une vingtaine au hasard, dans cinq régions : en région parisienne, au Sud d'Orléans, en région lyonnaise, autour d'Agen, entre Vannes et Saint-Nazaire</t>
  </si>
  <si>
    <t>Nous demandionst d'estimer en moyenne le nombre de visites par jour que reçoit leur établissement, et à combien s'élève le nombre de patients. Nous prenions alors le ratio : par exemple, s'il y a 50 patients et 5 visites par jour, cela fait un ratio de 10%</t>
  </si>
  <si>
    <r>
      <t xml:space="preserve">Nous avons obtenu 12 réponses : la moyenne des ratios pondérée par le nombre de patients nous donne donc </t>
    </r>
    <r>
      <rPr>
        <b/>
        <sz val="11"/>
        <color theme="1"/>
        <rFont val="Calibri"/>
        <scheme val="minor"/>
      </rPr>
      <t>21,5 visiteurs par jour pour 100 patients</t>
    </r>
  </si>
  <si>
    <t>Selon notre échantillon d'EPHA, on considérera donc par jour, environ 20 visites pour 100 patients en moyenne</t>
  </si>
  <si>
    <t>On considère qu'une visite = un visiteur ; en pratique, il peut y avoir plusieurs visiteurs par visite, mais on n'a pas ce niveau de détails, le calcul est donc conservateur</t>
  </si>
  <si>
    <t>On prend le nombre total de patients en EPHA, qu'on multiplie par notre taux moyen de 20%, afin d'avoir le nombre total journalier de visites en EPHA</t>
  </si>
  <si>
    <t>Enfin, on prend la même hypothèse de trajet moyen que pour les visites en hôpital, ainsi que les mêmes parts modales</t>
  </si>
  <si>
    <t>Kilométrage des visites en EPHA</t>
  </si>
  <si>
    <t>Nombre moyen de visites journalières par patient</t>
  </si>
  <si>
    <t xml:space="preserve">Nombre de patients en EPHA (3) </t>
  </si>
  <si>
    <t>patients</t>
  </si>
  <si>
    <t>Nombre total de visites</t>
  </si>
  <si>
    <t>visites/jour</t>
  </si>
  <si>
    <t>visites/an</t>
  </si>
  <si>
    <t>Distance moyenne d'un trajet (aller et retour)</t>
  </si>
  <si>
    <t>Emissions transport visiteurs en EPHA</t>
  </si>
  <si>
    <t>Partie III - Estimation du nombre de visiteurs des établissements pour personnes handicapées</t>
  </si>
  <si>
    <t>Nous n'avons pas de données à ce jour sur les visites dans ces établissements</t>
  </si>
  <si>
    <t>Nous faisons donc l'hypothèse qu'il y en a autant qu'en EPHA pour les personnes accueillies en "internat" (le calcul est similaire à celui des EPHA)</t>
  </si>
  <si>
    <t>Pour les "accueils de jour", le calcul pour les accompagnateurs et déjà fait dans l'onglet "16.patients" à partir des données de (4)</t>
  </si>
  <si>
    <t>Kilométrage des visites en établissements pour personnes handicapées</t>
  </si>
  <si>
    <t>Personnes accueillies en internat</t>
  </si>
  <si>
    <t>places</t>
  </si>
  <si>
    <t>Emissions transport visiteurs en établissements pour personnes handicapées (MtCO2e)</t>
  </si>
  <si>
    <t>Partie IV - Bilan</t>
  </si>
  <si>
    <t>Valeur (MtCO2e)</t>
  </si>
  <si>
    <t>Visiteurs hôpitaux</t>
  </si>
  <si>
    <t>Visiteurs EPHA</t>
  </si>
  <si>
    <t>Visiteurs établissements pour personnes handicapées</t>
  </si>
  <si>
    <t>Des déplacements domicile-travail sont effectués par les salariés en transports non doux.</t>
  </si>
  <si>
    <t>v1.3</t>
  </si>
  <si>
    <r>
      <rPr>
        <b/>
        <sz val="11"/>
        <color rgb="FF7030A0"/>
        <rFont val="Calibri"/>
        <scheme val="minor"/>
      </rPr>
      <t>Hyp 1:</t>
    </r>
    <r>
      <rPr>
        <sz val="11"/>
        <color theme="1"/>
        <rFont val="Calibri"/>
        <scheme val="minor"/>
      </rPr>
      <t xml:space="preserve"> Les déplacements domicile-travail des professionnels de santé supposés identiques à ceux de la population moyenne
</t>
    </r>
    <r>
      <rPr>
        <b/>
        <sz val="11"/>
        <color rgb="FF7030A0"/>
        <rFont val="Calibri"/>
        <scheme val="minor"/>
      </rPr>
      <t xml:space="preserve">Hyp2 </t>
    </r>
    <r>
      <rPr>
        <sz val="11"/>
        <color theme="1"/>
        <rFont val="Calibri"/>
        <scheme val="minor"/>
      </rPr>
      <t xml:space="preserve">: Les Médecins et autres professions de santé "Mixtes" sont répartis moitié-moitié dans les hôpitaux ou en cabinets privés.
</t>
    </r>
    <r>
      <rPr>
        <b/>
        <sz val="11"/>
        <color rgb="FF7030A0"/>
        <rFont val="Calibri"/>
        <scheme val="minor"/>
      </rPr>
      <t xml:space="preserve">Hyp3 </t>
    </r>
    <r>
      <rPr>
        <sz val="11"/>
        <color theme="1"/>
        <rFont val="Calibri"/>
        <scheme val="minor"/>
      </rPr>
      <t xml:space="preserve">: Les Médecins et autres professions de santé "Libéraux ou mixtes" sont répartis moitié-moitié en libéraux ou en mixtes.
</t>
    </r>
    <r>
      <rPr>
        <b/>
        <sz val="11"/>
        <color rgb="FF7030A0"/>
        <rFont val="Calibri"/>
        <scheme val="minor"/>
      </rPr>
      <t xml:space="preserve">Hyp4 </t>
    </r>
    <r>
      <rPr>
        <sz val="11"/>
        <color theme="1"/>
        <rFont val="Calibri"/>
        <scheme val="minor"/>
      </rPr>
      <t>:Une partie des "Autres salariés" vient du médico-social, et le reste de la médecine de ville. Ceux du médico-social sont comptés à partir des tableaux médico-social, et le reste avec la différence entre le total "Autres salariés" et ceux du médico-social.</t>
    </r>
  </si>
  <si>
    <r>
      <t xml:space="preserve">(1) </t>
    </r>
    <r>
      <rPr>
        <i/>
        <sz val="11"/>
        <color theme="1"/>
        <rFont val="Calibri"/>
        <scheme val="minor"/>
      </rPr>
      <t>Périmètre secteur santé v1.11.xlsx</t>
    </r>
    <r>
      <rPr>
        <sz val="11"/>
        <color theme="1"/>
        <rFont val="Calibri"/>
        <scheme val="minor"/>
      </rPr>
      <t xml:space="preserve">, données issues de la DREES, entre 2016 et 2018
(2) </t>
    </r>
    <r>
      <rPr>
        <i/>
        <sz val="11"/>
        <color theme="1"/>
        <rFont val="Calibri"/>
        <scheme val="minor"/>
      </rPr>
      <t>Effectif secteur de la santé v1.0.xlsx</t>
    </r>
    <r>
      <rPr>
        <sz val="11"/>
        <color theme="1"/>
        <rFont val="Calibri"/>
        <scheme val="minor"/>
      </rPr>
      <t xml:space="preserve">, données rassemblées de diverses sources listées dans le document sur le personnel médical et non médical
(3) </t>
    </r>
    <r>
      <rPr>
        <i/>
        <sz val="11"/>
        <color theme="1"/>
        <rFont val="Calibri"/>
        <scheme val="minor"/>
      </rPr>
      <t>Fiche mobilité quotidienne V1 du PTEF</t>
    </r>
    <r>
      <rPr>
        <sz val="11"/>
        <color theme="1"/>
        <rFont val="Calibri"/>
        <scheme val="minor"/>
      </rPr>
      <t xml:space="preserve">, TSP, 2020, https://theshiftproject.org/wp-content/uploads/2021/04/TSP-PTEF-V1-FL-Mobilite-Q.pdf
(4) </t>
    </r>
    <r>
      <rPr>
        <i/>
        <sz val="11"/>
        <color theme="1"/>
        <rFont val="Calibri"/>
        <scheme val="minor"/>
      </rPr>
      <t>Nombre d’emplois et population active en France métropolitaine, en millions</t>
    </r>
    <r>
      <rPr>
        <sz val="11"/>
        <color theme="1"/>
        <rFont val="Calibri"/>
        <scheme val="minor"/>
      </rPr>
      <t xml:space="preserve">, Alternatives économiques, 01/10/16, https://www.alternatives-economiques.fr/nombre-demplois-population-active-france-metropolitaine-millions-0110201650598.html
(5) </t>
    </r>
    <r>
      <rPr>
        <i/>
        <sz val="11"/>
        <color theme="1"/>
        <rFont val="Calibri"/>
        <scheme val="minor"/>
      </rPr>
      <t>Base Carbone</t>
    </r>
    <r>
      <rPr>
        <sz val="11"/>
        <color theme="1"/>
        <rFont val="Calibri"/>
        <scheme val="minor"/>
      </rPr>
      <t xml:space="preserve">, Ademe, https://www.bilans-ges.ademe.fr/
(6) Données du secteur Mobilité quotidienne du PTEF
(7) </t>
    </r>
    <r>
      <rPr>
        <i/>
        <sz val="11"/>
        <color theme="1"/>
        <rFont val="Calibri"/>
        <scheme val="minor"/>
      </rPr>
      <t>France, portrait socialÉdition 2019 / Chômage</t>
    </r>
    <r>
      <rPr>
        <sz val="11"/>
        <color theme="1"/>
        <rFont val="Calibri"/>
        <scheme val="minor"/>
      </rPr>
      <t>, Insee, 2019, https://www.insee.fr/fr/statistiques/4238387?sommaire=4238781</t>
    </r>
  </si>
  <si>
    <t>On multiplie le nombre de personnes actives du secteur de la santé par un kilométrage annuel (qu'on reconstitue à partir de moyennes nationales) et l'on répartit ça selon divers moyens de transport (ici aussi selon des moyennes nationales), d'où découlent ensuite des émissions par mode.</t>
  </si>
  <si>
    <t>Données plus précises sur les déplacements : spécifiques à la santé plutôt que moyennes toutes professions confondues.</t>
  </si>
  <si>
    <t>Après discussion avec Nico : il faudrait prendre en compte un taux de remplissage potentiellement, à l'EI et à l'EF (quoiqu'en fait non avec notre méthode ?)
Il serait bon d'avoir des données transport plus spécifiques au secteur. On procède avec des moyennes générales de la Mob quoti. Voir si dans des BC existants on ne peut pas avoir des pistes.
Par ailleurs, il est possible de distinguer plus en détails les émissions par entité-type, il suffit pour cela de distinguer les nombres de personnes actives dans chaque entité-type.
D’ailleurs, où doit on compter normalement l’amont de l’énergie pour les transports (cela vaut pour les autres onglets transports) ?</t>
  </si>
  <si>
    <t>On compte le nombre de professionnels du secteur, en distinguant si possible par entité.</t>
  </si>
  <si>
    <r>
      <rPr>
        <b/>
        <sz val="11"/>
        <color rgb="FF7030A0"/>
        <rFont val="Calibri"/>
        <scheme val="minor"/>
      </rPr>
      <t xml:space="preserve">Hyp1 : </t>
    </r>
    <r>
      <rPr>
        <sz val="11"/>
        <color theme="1"/>
        <rFont val="Calibri"/>
        <scheme val="minor"/>
      </rPr>
      <t>On suppose que leurs "habitudes" de déplacements domicile-travail sont les mêmes que pour la moyenne des Français (en distance et en parts modales).</t>
    </r>
  </si>
  <si>
    <t>On multiplie le nombre de personnes par la distance moyenne parcourue pour les déplacements domicile-travail</t>
  </si>
  <si>
    <t>Pour traduire en émissions, on utilise un FE calculé par le secteur Mobilité quotidienne du PTEF qui exprime (en kgCO2e/pkm) les émissions engendrées en moyenne par un pkm de mobilité quotidienne (les parts modales sont donc "toute mobilité quotidienne" et non "spécifique domicile-travail", faute de mieux)</t>
  </si>
  <si>
    <t>On répertorie les effectifs pris en compte. On utilise les sources (1) et (2).</t>
  </si>
  <si>
    <t>Médecins spécialistes</t>
  </si>
  <si>
    <t>Généralistes</t>
  </si>
  <si>
    <t>Autres professions de santé</t>
  </si>
  <si>
    <t>2017 ou 2018</t>
  </si>
  <si>
    <t>Personnel non médical des établissements de santé</t>
  </si>
  <si>
    <t xml:space="preserve">Personnels administratifs </t>
  </si>
  <si>
    <t xml:space="preserve">Personnels éducatifs sociaux </t>
  </si>
  <si>
    <t xml:space="preserve">Personnels médico-techniques </t>
  </si>
  <si>
    <t xml:space="preserve">Personnels techniques </t>
  </si>
  <si>
    <t>Personnel non médical des cabinets médicaux</t>
  </si>
  <si>
    <t>Personnel des EPHA</t>
  </si>
  <si>
    <t>Personnel de direction</t>
  </si>
  <si>
    <t>Personnel des services généraux</t>
  </si>
  <si>
    <t>Personnel d'encadrement</t>
  </si>
  <si>
    <t>Personnel éducatif, pédagogique, social et d'animation</t>
  </si>
  <si>
    <t>Personnel médical</t>
  </si>
  <si>
    <t>Psychologues, personnel paramédical ou soignant</t>
  </si>
  <si>
    <t>dont aides-soignants</t>
  </si>
  <si>
    <t>Agents de service hospitalier (public) ou agent de service (privé)</t>
  </si>
  <si>
    <t>Pour les lignes dans la source (4) où le chiffre n'est pas bien précisé, telles que "&lt;100", j'arrondis au chiffre indiqué, donc dans cet exemple j'arrondis à 100.</t>
  </si>
  <si>
    <t>Personnel des établissements pour adultes handicapés</t>
  </si>
  <si>
    <t>Personnel de direction, de gestion et d'administration</t>
  </si>
  <si>
    <t>Personnel d'encadrement sanitaire et social</t>
  </si>
  <si>
    <t>Personnel éducatif, pédagogique et social</t>
  </si>
  <si>
    <t>Psychologues et personnel paramédical</t>
  </si>
  <si>
    <t>Candidat-élève sélectionné aux emplois éducatifs</t>
  </si>
  <si>
    <t>Personnel des établissements pour enfants handicapés</t>
  </si>
  <si>
    <t>On distribue les personnels par entité type.</t>
  </si>
  <si>
    <r>
      <rPr>
        <b/>
        <sz val="11"/>
        <color rgb="FF7030A0"/>
        <rFont val="Calibri"/>
        <scheme val="minor"/>
      </rPr>
      <t xml:space="preserve">Hyp2 : </t>
    </r>
    <r>
      <rPr>
        <sz val="11"/>
        <color theme="1"/>
        <rFont val="Calibri"/>
        <scheme val="minor"/>
      </rPr>
      <t>Les Médecins et autres professions de santé "Mixtes" sont répartis moitié-moitié dans les hôpitaux ou en cabinets privés.</t>
    </r>
  </si>
  <si>
    <r>
      <rPr>
        <b/>
        <sz val="11"/>
        <color rgb="FF7030A0"/>
        <rFont val="Calibri"/>
        <scheme val="minor"/>
      </rPr>
      <t xml:space="preserve">Hyp3 : </t>
    </r>
    <r>
      <rPr>
        <sz val="11"/>
        <color theme="1"/>
        <rFont val="Calibri"/>
        <scheme val="minor"/>
      </rPr>
      <t>Les Médecins et autres professions de santé "Libéraux ou mixtes" sont répartis moitié-moitié en libéraux ou en mixtes.</t>
    </r>
  </si>
  <si>
    <r>
      <rPr>
        <b/>
        <sz val="11"/>
        <color rgb="FF7030A0"/>
        <rFont val="Calibri"/>
        <scheme val="minor"/>
      </rPr>
      <t>Hyp4 :U</t>
    </r>
    <r>
      <rPr>
        <sz val="11"/>
        <color theme="1"/>
        <rFont val="Calibri"/>
        <scheme val="minor"/>
      </rPr>
      <t>ne partie des "Autres salariés" vient du médico-social, et le reste de la médecine de ville. Ceux du médico-social sont comptés à partir des tableaux médico-social, et le reste avec la différence entre le total "Autres salariés" et ceux du médico-social.</t>
    </r>
  </si>
  <si>
    <t>On ajoute donc à la médecine de vile la catégorie "autres professions de santé", qui compte notamment la pharmaciens, les infirmiers, les masseurs-kinésithérapeuthes, les psychologues, …</t>
  </si>
  <si>
    <t xml:space="preserve">On retranche néanmoins le personnel médical (hors aides-soigants) déjà compté pour le médico-social </t>
  </si>
  <si>
    <t>Répartition par entité</t>
  </si>
  <si>
    <t>Personnel</t>
  </si>
  <si>
    <t>Hôpitaux</t>
  </si>
  <si>
    <t>EPHA</t>
  </si>
  <si>
    <t>Etablissements pour adultes handicapés</t>
  </si>
  <si>
    <t>Etablissements pour enfants handicapés</t>
  </si>
  <si>
    <t>On calcule la distance domicile-travail parcourue sur un an par une personne active.</t>
  </si>
  <si>
    <t>La source (3), nous donne que 22% des passagers.kilomètres effectués de la mobilité quotidienne a pour motif le trajet domicile travail</t>
  </si>
  <si>
    <t>Motif</t>
  </si>
  <si>
    <t>Part des passagers.kilomètres effectués</t>
  </si>
  <si>
    <t>Aller au travail</t>
  </si>
  <si>
    <t>Toute la mobilité quotidienne</t>
  </si>
  <si>
    <t>Gpkm/an</t>
  </si>
  <si>
    <t>Part de la mobilité quotidienne qui est du trajet domicile-travail</t>
  </si>
  <si>
    <t>Mobilité quotidienne domicile-travail</t>
  </si>
  <si>
    <t>Population active France métropolitaine</t>
  </si>
  <si>
    <t>millions</t>
  </si>
  <si>
    <t>Taux de chômage (approximatif)</t>
  </si>
  <si>
    <t>Population à prendre en compte dans les déplacements domicile-travail France métropolitaine</t>
  </si>
  <si>
    <t>Mob quotidienne domicile-travail moyenne pour une personne active sur un an</t>
  </si>
  <si>
    <t>km/pers/an</t>
  </si>
  <si>
    <r>
      <t>Lim :</t>
    </r>
    <r>
      <rPr>
        <sz val="11"/>
        <rFont val="Calibri"/>
        <scheme val="minor"/>
      </rPr>
      <t xml:space="preserve"> En réalité, toute la population active ne travaille pas, donc il ne faudrait prendre en compte que celle qui travaille dans la partie domicile-travail de la mob quoti.</t>
    </r>
  </si>
  <si>
    <t>On calcule les km parcourus au total par entité</t>
  </si>
  <si>
    <t>Gpkm</t>
  </si>
  <si>
    <t>On calcule les émissions totales, en répartissant par entité du secteur de la santé.</t>
  </si>
  <si>
    <t>2020</t>
  </si>
  <si>
    <t>kgCO2e/pkm</t>
  </si>
  <si>
    <t>2050</t>
  </si>
  <si>
    <t>Emissions domicile-travail totales 2020</t>
  </si>
  <si>
    <t>Émissions directes fugitives</t>
  </si>
  <si>
    <t>Fuites de fluides frigorigènes, utilisation de gaz anes-
thésiques, utilisation de gaz d’analyse, etc.</t>
  </si>
  <si>
    <r>
      <rPr>
        <b/>
        <sz val="11"/>
        <color rgb="FF7030A0"/>
        <rFont val="Calibri"/>
        <scheme val="minor"/>
      </rPr>
      <t xml:space="preserve">Hyp 1 </t>
    </r>
    <r>
      <rPr>
        <sz val="11"/>
        <color theme="1"/>
        <rFont val="Calibri"/>
        <scheme val="minor"/>
      </rPr>
      <t xml:space="preserve">: On suppose que les données récupérées concernent tous les établissements de santé privés et publics. Donc que tous les établissements ont bien indiqué la quantité des gaz médicaux achetés et que les données utilisées sont complètes pour cette partie du périmètre 
</t>
    </r>
    <r>
      <rPr>
        <b/>
        <sz val="11"/>
        <color rgb="FF7030A0"/>
        <rFont val="Calibri"/>
        <scheme val="minor"/>
      </rPr>
      <t>Hyp 2 :</t>
    </r>
    <r>
      <rPr>
        <sz val="11"/>
        <color theme="1"/>
        <rFont val="Calibri"/>
        <scheme val="minor"/>
      </rPr>
      <t xml:space="preserve"> Nous n'avons pas la composition quantitative et qualitative des bouteilles de 2l, 20l et 50l. Nous pouvons les déduire à partir d'un produit en croix avec les compositions des bouteilles de respective 5l, 15l et 47l. 
</t>
    </r>
    <r>
      <rPr>
        <b/>
        <sz val="11"/>
        <color rgb="FF7030A0"/>
        <rFont val="Calibri"/>
        <scheme val="minor"/>
      </rPr>
      <t>Hyp 3</t>
    </r>
    <r>
      <rPr>
        <sz val="11"/>
        <color theme="1"/>
        <rFont val="Calibri"/>
        <scheme val="minor"/>
      </rPr>
      <t xml:space="preserve">: Pour simplifier les calculs, on va supposer que 50% du volume des MEOPA correspond à du protxyde d'azote 
Hyp 4: La consommation de gaz médicaux par établissement est similaire dans les établissements hospitaliers ayant fourni des données exploitables à l'equête de l'ATIH, et dans les autres centres hospitaliers
</t>
    </r>
    <r>
      <rPr>
        <b/>
        <sz val="11"/>
        <color rgb="FF7030A0"/>
        <rFont val="Calibri"/>
        <scheme val="minor"/>
      </rPr>
      <t>Hyp 5</t>
    </r>
    <r>
      <rPr>
        <sz val="11"/>
        <color theme="1"/>
        <rFont val="Calibri"/>
        <scheme val="minor"/>
      </rPr>
      <t xml:space="preserve">: Nous considérerons que les émissions sont uniquement dues aux fuites de HFC. Cette hypothèse est confirmée par l'étude source (9) figure I-2.
</t>
    </r>
    <r>
      <rPr>
        <b/>
        <sz val="11"/>
        <color rgb="FF7030A0"/>
        <rFont val="Calibri"/>
        <scheme val="minor"/>
      </rPr>
      <t xml:space="preserve">Hyp 6 </t>
    </r>
    <r>
      <rPr>
        <sz val="11"/>
        <color theme="1"/>
        <rFont val="Calibri"/>
        <scheme val="minor"/>
      </rPr>
      <t xml:space="preserve">: On considère que les émissions surfaciques de HFC sont identiques dans la santé et dans le tertiaire.
</t>
    </r>
    <r>
      <rPr>
        <b/>
        <sz val="11"/>
        <color rgb="FF7030A0"/>
        <rFont val="Calibri"/>
        <scheme val="minor"/>
      </rPr>
      <t xml:space="preserve">Hyp 7 </t>
    </r>
    <r>
      <rPr>
        <sz val="11"/>
        <color theme="1"/>
        <rFont val="Calibri"/>
        <scheme val="minor"/>
      </rPr>
      <t xml:space="preserve">: 70% des surfaces du tertaire sont chauffées. Cette hypothèse est confirmée par la source (11), table 1
</t>
    </r>
    <r>
      <rPr>
        <b/>
        <sz val="11"/>
        <color rgb="FF7030A0"/>
        <rFont val="Calibri"/>
        <scheme val="minor"/>
      </rPr>
      <t xml:space="preserve">Hyp 8 </t>
    </r>
    <r>
      <rPr>
        <sz val="11"/>
        <color theme="1"/>
        <rFont val="Calibri"/>
        <scheme val="minor"/>
      </rPr>
      <t>: Le ratio des surfaces chauffées et des surfaces climatisées est identique dans la santé et dans le tertiaire. Cette hypothèse est confirmée par l'étude (12), figure 47.</t>
    </r>
  </si>
  <si>
    <t>(1) ATIH, https://www.atih.sante.fr/sites/default/files/public/content/3982/analyseenquetemedicament2019_vf.pdf
(2) Masse volumique du desflurane, https://fr.wikipedia.org/wiki/Desflurane
(3) Masse volumique du sevoflurane, https://fr.wikipedia.org/wiki/S%C3%A9voflurane
(4) Masse volumique du Isoflurane, https://fr.wikipedia.org/wiki/Isoflurane
(5) Données sur le protoxyde d'azote, http://agence-prd.ansm.sante.fr/php/ecodex/rcp/R0302882.htm
(6) Données sur le protoxyde d'azote 50%/ Oxygène 50%, http://agence-prd.ansm.sante.fr/php/ecodex/rcp/R0199134.htm
(7) PRG du Desflurane, Isoflurane, Sevoflurane "https://journals.lww.com/anesthesia-analgesia/Fulltext/2012/05000/Assessing_the_Impact_on_Global_Climate_from.24.aspx
https://pubs.acs.org/doi/pdf/10.1021/jp2077598"
(8) PRG du Protoxyde d'Azote, https://www.bilans-ges.ademe.fr/documentation/UPLOAD_DOC_FR/index.htm?prg.htm
(9) Répartition des fuites de fluides frigorigènes, https://www.ces.minesparis.psl.eu/Donnees/data12/1218-Inventaires-2015-final2.pdf
(10) Emissions de HFC par le tertiaire, https://www.citepa.org/fr/secten/#download
(11) Part des surfaces chauffées, https://archive-ouverte.unige.ch/unige:98199/ATTACHMENT01
(12) Surface totale du tertiaire
(13) Réduire l’impact environnemental des inhalateurs dispensés en ville et à l’hôpital, respirez c’est possible ! Du diagnostic à l’action durable, https://www.sciencedirect.com/science/article/abs/pii/S2772953222006505</t>
  </si>
  <si>
    <t>Pour évaluer les émissions liées aux gaz médicaux, et pour ce caclul en particulier, nous avons uniquement estimé l'empreinte carbone associée à l'utilisation des gaz médicaux par les établissements de santé. Pour cela nous sommes partis des achats de Desflurane, Sevoflurane, Isoflurane et Protoxyde d'Azote par les établissements de santé. Nous avons converti le nombre de flacons achetés en masse de gaz achetés. Puis en utilisant les PRG de chacun des gaz nous en avons dédui l'empreinte carbone associée. En parallèle de cela, nous menons la même étude en partant cette fois ci des volumes et en déduisant les masses à partir des masses volumiques. L'objectif de cette deuxième étude est de s'assurer de la cohérence de nos résultats. 
¨Pour évaluer les émissions liées aux fuites de gaz frigorigènes, nous adoptons une approche top-down: à partir des émissions de HFC du secteur tertaire, et en supposons que les fuites de HFC sont identiques pour toutes le surfaces, nous estimons les fuites de HFC de la santé (à l'aide de la surface de la santé et de la surface totale du tertiaire).</t>
  </si>
  <si>
    <t>La quantité des établissements concernés par l'étude de l'ATIH. La consommation des Gaz médicaux pour les établissements médicaux sociaux et la médecine de ville (cabinets de dentitste par exemple). Il manque également la consommation des gaz d'analyse.</t>
  </si>
  <si>
    <t>Complèter ce modèle en complètant le périmè tre, et en intégrant les gaz d'analyse</t>
  </si>
  <si>
    <t xml:space="preserve">Les établissements de santé publics et privés. Il manque la médecine de ville et le médico-sociale. En outre il manque les gaz d'analyse. Et pour les gaz médicaux il manque le monoxyde d'azote et le CO2. </t>
  </si>
  <si>
    <t>Penser à intégrer les déchets des laboratoires de biologie médiale. D'après un mail qui nous a été envoyé, cela représenterait une grande quantité de déchets.</t>
  </si>
  <si>
    <t>Emissions dues aux gaz médicaux</t>
  </si>
  <si>
    <t>Emissions dues aux inhalateurs</t>
  </si>
  <si>
    <t>Emissions dues aux fuites de fluides frigorifiques</t>
  </si>
  <si>
    <t>Emissions directes fugitives totales</t>
  </si>
  <si>
    <t>Masse totale délivrée (kg)</t>
  </si>
  <si>
    <t>PRG</t>
  </si>
  <si>
    <t>DESFLURANE</t>
  </si>
  <si>
    <t xml:space="preserve">ISOFLURANE </t>
  </si>
  <si>
    <t xml:space="preserve">Protoxyde d'azote </t>
  </si>
  <si>
    <t>MEOPA</t>
  </si>
  <si>
    <t>SEVOFLURANE</t>
  </si>
  <si>
    <t>Partie I: Estimation de l'empreinte carbone associée à l'utilisation des gaz médicaux par les établissements de santé publics et privé</t>
  </si>
  <si>
    <t xml:space="preserve">Pour ce poste et pour ce caclul en particulier, nous avons uniquement estimé l'empreinte carbone associée à l'utilisation des gaz médicaux par les établissements de santé. Pour cela nous sommes partis des achats de Desflurane, Sevoflurane, Isoflurane et Protoxyde d'Azote par ces établissements. Nous avons converti le nombre de flacons achetés en masse de gaz achetés. Puis en utilisant les PRG de chacun des gaz nous en avons dédui l'empreinte carbone associée. En parallèle de cela, nous menons la même étude en partant cette fois ci des volumes et en déduisant les masses à partir des masses volumiques. L'objectif de cette deuxième étude est de s'assurer de la cohérence de nos résultats. </t>
  </si>
  <si>
    <r>
      <rPr>
        <b/>
        <sz val="11"/>
        <color rgb="FF7030A0"/>
        <rFont val="Calibri (Corps)"/>
      </rPr>
      <t>Hyp 1 :</t>
    </r>
    <r>
      <rPr>
        <sz val="11"/>
        <color theme="1"/>
        <rFont val="Calibri"/>
        <scheme val="minor"/>
      </rPr>
      <t xml:space="preserve"> On suppose que les données récupérées concernent tous les établissements de santé privés et publics. Donc que tous les établissements ont bien indiqué la quantité des gaz médicaux achetés et que les données utilisées sont complètes pour cette partie du périmètre </t>
    </r>
  </si>
  <si>
    <t xml:space="preserve">: Pour simplifier les calculs, on va supposer que 50% du volume des MEOPA correspond à du protxyde d'azote </t>
  </si>
  <si>
    <r>
      <rPr>
        <b/>
        <sz val="11"/>
        <color rgb="FF7030A0"/>
        <rFont val="Calibri (Corps)"/>
      </rPr>
      <t xml:space="preserve">Hyp 3: </t>
    </r>
    <r>
      <rPr>
        <sz val="11"/>
        <color theme="1"/>
        <rFont val="Calibri"/>
        <scheme val="minor"/>
      </rPr>
      <t xml:space="preserve">: Pour simplifier les calculs, on va supposer que 50% du volume des MEOPA correspond à du protxyde d'azote </t>
    </r>
  </si>
  <si>
    <t>On commence par récapituler les données de l'ATIH qui nous intéressent (1)</t>
  </si>
  <si>
    <t>Code7 (CIP ou UCD)</t>
  </si>
  <si>
    <t>Libelle</t>
  </si>
  <si>
    <t>Pression en bar</t>
  </si>
  <si>
    <t>Volume en L</t>
  </si>
  <si>
    <t>DCI</t>
  </si>
  <si>
    <t>Libelle ATC2</t>
  </si>
  <si>
    <t>Somme_qtedeliv</t>
  </si>
  <si>
    <t>AERRANE LIQUIDE INHAL FL 100ML</t>
  </si>
  <si>
    <t>ANESTHESIQUES</t>
  </si>
  <si>
    <t>AERRANE LIQUIDE INHAL FL 250ML</t>
  </si>
  <si>
    <t>FORENE LIQUIDE INHALATION FL 100ML</t>
  </si>
  <si>
    <t>FORENE LIQUIDE INHALATION FL 250ML</t>
  </si>
  <si>
    <t>ISOFLURANE BELAMONT LIQUIDE INHAL</t>
  </si>
  <si>
    <t>SEVOFLURANE BAX LIQUIDE INHAL 6FP</t>
  </si>
  <si>
    <t>SEVOFLURANE BAX LIQUIDE INHAL FP</t>
  </si>
  <si>
    <t>SEVORANE LIQUIDE INHAL FP +SYST</t>
  </si>
  <si>
    <t>SEVORANE LIQUIDE INHAL FP NSFP</t>
  </si>
  <si>
    <t>SUPRANE INHAL VAP</t>
  </si>
  <si>
    <t>SUPRANE LIQUIDE INHAL</t>
  </si>
  <si>
    <t>PROTOXYDE AZOTE ALS GAZ 15L</t>
  </si>
  <si>
    <t>Protoxyde d'azote gaz</t>
  </si>
  <si>
    <t>PROTOXYDE AZOTE ALS GAZ 47L C1</t>
  </si>
  <si>
    <t>PROTOXYDE AZOTE ALS GAZ 5L</t>
  </si>
  <si>
    <t>PROTOXYDE AZOTE APM GAZ 20L</t>
  </si>
  <si>
    <t>PROTOXYDE AZOTE APM GAZ 50L</t>
  </si>
  <si>
    <t>PROTOXYDE AZOTE APM GAZ 50L + TP</t>
  </si>
  <si>
    <t>PROTOXYDE AZOTE APM GAZ 5L</t>
  </si>
  <si>
    <t>PROTOXYDE AZOTE LDH GAZ 47L</t>
  </si>
  <si>
    <t>PROTOXYDE AZOTE LDH GAZ 47L C8</t>
  </si>
  <si>
    <t>PROTOXYDE AZOTE LDH GAZ 50L</t>
  </si>
  <si>
    <t>PROTOXYDE AZOTE LDH GAZ 5L</t>
  </si>
  <si>
    <t>PROTOXYDE AZOTE SOL FRANCE GAZ 15L</t>
  </si>
  <si>
    <t>PROTOXYDE AZOTE SOL FRANCE GAZ 50L</t>
  </si>
  <si>
    <t>PROTOXYDE AZOTE SOL FRANCE GAZ 5L</t>
  </si>
  <si>
    <t>ANTASOL 135 GAZ 15L + MANO</t>
  </si>
  <si>
    <t>Protoxyde d'azote 50 % + Oxygène 50 % gaz</t>
  </si>
  <si>
    <t>ANTASOL 135 GAZ 15L + MANO ET DEBIT</t>
  </si>
  <si>
    <t>ANTASOL 135 GAZ 5L</t>
  </si>
  <si>
    <t>ANTASOL 135 GAZ 5L + MANO</t>
  </si>
  <si>
    <t>ANTASOL 135 GAZ 5L + MANO ET DEBIT</t>
  </si>
  <si>
    <t>ENTONOX 135BAR GAZ 15L</t>
  </si>
  <si>
    <t>ENTONOX 135BAR GAZ 15L + MANO</t>
  </si>
  <si>
    <t>ENTONOX 135BAR GAZ 5L</t>
  </si>
  <si>
    <t>ENTONOX 135BAR GAZ 5L + MANO</t>
  </si>
  <si>
    <t>OXYNOX 135 GAZ 15L + MANO DEBIT</t>
  </si>
  <si>
    <t>OXYNOX 135 GAZ 5L</t>
  </si>
  <si>
    <t>OXYNOX 135 GAZ 5L + MANO DEBIT</t>
  </si>
  <si>
    <t>ENTONOX 170BAR GAZ 15L + MANO</t>
  </si>
  <si>
    <t>ENTONOX 170BAR GAZ 2L + MANO</t>
  </si>
  <si>
    <t>ENTONOX 170BAR GAZ 5L + MANO</t>
  </si>
  <si>
    <t>KALINOX 50%/50% GAZ 15L + MANO</t>
  </si>
  <si>
    <t>KALINOX 50%/50% GAZ 20L</t>
  </si>
  <si>
    <t>KALINOX 50%/50% GAZ 2L + MANO NSFP</t>
  </si>
  <si>
    <t>KALINOX 50%/50% GAZ 5L</t>
  </si>
  <si>
    <t>KALINOX 50%/50% GAZ 5L + MANO</t>
  </si>
  <si>
    <t>KALINOX 50%/50% GAZ 5L + MANO NSFP</t>
  </si>
  <si>
    <t>ANTASOL 180 GAZ 5L + MANO ET DEBIT</t>
  </si>
  <si>
    <t>ACTYNOX 50%/50% GAZ 15L + MANO</t>
  </si>
  <si>
    <t>ACTYNOX 50%/50% GAZ 5L + MANO</t>
  </si>
  <si>
    <t xml:space="preserve">D'après les sources (5) et (6) et les différentes données sur les masses volumiques </t>
  </si>
  <si>
    <t>Masse volumique (kg/m3 à température et pression ambiante)</t>
  </si>
  <si>
    <t>Desflurane</t>
  </si>
  <si>
    <t>Isoflurane</t>
  </si>
  <si>
    <t>Sevoflurane</t>
  </si>
  <si>
    <t>1,52 (g/ml)</t>
  </si>
  <si>
    <t>Protoxyde d'azote</t>
  </si>
  <si>
    <t xml:space="preserve">pour le protoxyde d'azote </t>
  </si>
  <si>
    <t xml:space="preserve">Une bouteille de protoxyde d'azote de </t>
  </si>
  <si>
    <t>l</t>
  </si>
  <si>
    <t>contient</t>
  </si>
  <si>
    <t>m3</t>
  </si>
  <si>
    <t xml:space="preserve"> d'azote à 1 bar et 15 degrès </t>
  </si>
  <si>
    <t xml:space="preserve">ce qui correspond à </t>
  </si>
  <si>
    <t>kg</t>
  </si>
  <si>
    <t>(produit en croix)</t>
  </si>
  <si>
    <t>Hyp 2</t>
  </si>
  <si>
    <t>Pour le MEOPA (50%N20, 50%02)</t>
  </si>
  <si>
    <t xml:space="preserve">Une bouteille de MEOPA 170 bar de </t>
  </si>
  <si>
    <t xml:space="preserve">Une bouteille de MEOPA 135 bar de </t>
  </si>
  <si>
    <t xml:space="preserve">Une bouteille de MEOPA 180 bar de </t>
  </si>
  <si>
    <t xml:space="preserve">Une bouteille de MEOPA 185 bar de </t>
  </si>
  <si>
    <t xml:space="preserve">L'ensemble de ces tableaux nous permettent d'avancer dans les calculs. Dans un premier temps pour le Desflurane, le Sevoflurane et l'Isoflurane </t>
  </si>
  <si>
    <t>Étiquettes de lignes</t>
  </si>
  <si>
    <t>Somme de Volume délivré L</t>
  </si>
  <si>
    <t>Total:</t>
  </si>
  <si>
    <t xml:space="preserve">Avec les résultats présentés, on peut aussi avancer concernant les meopa et le protoxyde d'azote seul. </t>
  </si>
  <si>
    <t>Volume en m3 et à température et pression ambainte</t>
  </si>
  <si>
    <t xml:space="preserve">Masse en kg </t>
  </si>
  <si>
    <t xml:space="preserve">Volume total délivré (m3) </t>
  </si>
  <si>
    <t xml:space="preserve">Masse totale délivrée (kg) </t>
  </si>
  <si>
    <t xml:space="preserve">Masse totale délivrée en passant par les volumes et la masse volumique </t>
  </si>
  <si>
    <t>Émissions associées en passant par la masse (kgCO2e)</t>
  </si>
  <si>
    <t>Émissions associées en passant par les volumes (kgC02eà)</t>
  </si>
  <si>
    <t xml:space="preserve">Etape de calcul </t>
  </si>
  <si>
    <t xml:space="preserve">On peut dorénavant complèter notre calcul en y ajoutant les émissions associées à l'utilisation de protoxyde d'azote </t>
  </si>
  <si>
    <t>KgCO2e</t>
  </si>
  <si>
    <t>Etape de calcul et sytnhèse</t>
  </si>
  <si>
    <t>Enfin, les données de l'ATIH (1) ne recouvrent que 1791 établissements sur 2931 entrant dans le périmètre cible</t>
  </si>
  <si>
    <t xml:space="preserve">On fait donc l'hypothèse que la consommation de gaz </t>
  </si>
  <si>
    <r>
      <rPr>
        <b/>
        <sz val="11"/>
        <color rgb="FF7030A0"/>
        <rFont val="Calibri"/>
        <scheme val="minor"/>
      </rPr>
      <t>Hyp 4:</t>
    </r>
    <r>
      <rPr>
        <sz val="11"/>
        <color theme="1"/>
        <rFont val="Calibri"/>
        <scheme val="minor"/>
      </rPr>
      <t xml:space="preserve"> La consommation de gaz médicaux par établissement est similaire dans les établissements hospitaliers ayant fourni des données exploitables à l'equête de l'ATIH, et dans les autres centres hospitaliers</t>
    </r>
  </si>
  <si>
    <t xml:space="preserve">On obtient donc les émissions globales liées aux gaz médicaux: </t>
  </si>
  <si>
    <t>Partie II - Empreinte carbone des inhalateurs</t>
  </si>
  <si>
    <t>D'après la source (13), le salbutamol (principale composante des inhalateurs) est responsable des émisisons de plus de 310 millions de kg de CO2 équivaments</t>
  </si>
  <si>
    <t>Empreinte carbone du salbutamol:</t>
  </si>
  <si>
    <t>Partie III: Estimation de l'empreinte carbone associée aux fuites de fluides frigorigènes</t>
  </si>
  <si>
    <r>
      <t xml:space="preserve">Hyp 5: </t>
    </r>
    <r>
      <rPr>
        <sz val="11"/>
        <rFont val="Calibri"/>
        <scheme val="minor"/>
      </rPr>
      <t>Nous considérerons que les émissions sont uniquement dues aux fuites de HFC. Cette hypothèse est confirmée par l'étude source (9) figure I-2.</t>
    </r>
  </si>
  <si>
    <r>
      <rPr>
        <b/>
        <sz val="11"/>
        <color rgb="FF7030A0"/>
        <rFont val="Calibri"/>
        <scheme val="minor"/>
      </rPr>
      <t xml:space="preserve">Hyp 6 : </t>
    </r>
    <r>
      <rPr>
        <sz val="11"/>
        <color theme="1"/>
        <rFont val="Calibri"/>
        <scheme val="minor"/>
      </rPr>
      <t>On considère que les émissions surfaciques de HFC sont identiques dans la santé et dans le tertiaire.</t>
    </r>
  </si>
  <si>
    <r>
      <t xml:space="preserve">Hyp 7 : </t>
    </r>
    <r>
      <rPr>
        <sz val="11"/>
        <rFont val="Calibri"/>
        <scheme val="minor"/>
      </rPr>
      <t>70% des surfaces du tertaire sont chauffées. Cette hypothèse est confirmée par la source (11), table 1</t>
    </r>
  </si>
  <si>
    <r>
      <t>Hyp 8 :</t>
    </r>
    <r>
      <rPr>
        <sz val="11"/>
        <rFont val="Calibri"/>
        <scheme val="minor"/>
      </rPr>
      <t xml:space="preserve"> Le ratio des surfaces chauffées et des surfaces climatisées est identique dans la santé et dans le tertiaire. Cette hypothèse est confirmée par l'étude (12), figure 47.</t>
    </r>
  </si>
  <si>
    <t>Nous adoptons ici une approche top-down: à partir des émissions de HFC du secteur tertaire, et en supposons que les fuites de HFC sont identiques pour toutes le surfaces, nous estimons les fuites de HFC de la santé (à l'aide de la surface de la santé et de la surface totale du tertiaire).</t>
  </si>
  <si>
    <t> Type d'établissement</t>
  </si>
  <si>
    <t>Surface chauffée totale des bâtiments (m2)</t>
  </si>
  <si>
    <t>Emissions de CO2 due aux fuites de HFC (2019)</t>
  </si>
  <si>
    <t>secteur tertiaire</t>
  </si>
  <si>
    <t>secteur de la Santé</t>
  </si>
  <si>
    <t>déchets</t>
  </si>
  <si>
    <t>&lt;</t>
  </si>
  <si>
    <t>Il s’agit de collecter par type de déchets, les données de quantité de déchets et de traitement en fin de vie associé à partir du suivi des déchetsv(en tonnes)</t>
  </si>
  <si>
    <r>
      <rPr>
        <b/>
        <sz val="11"/>
        <color rgb="FF7030A0"/>
        <rFont val="Calibri"/>
        <scheme val="minor"/>
      </rPr>
      <t xml:space="preserve">Hyp 1 </t>
    </r>
    <r>
      <rPr>
        <sz val="11"/>
        <color theme="1"/>
        <rFont val="Calibri"/>
        <scheme val="minor"/>
      </rPr>
      <t xml:space="preserve">: Sur les 700 000 tonnes de déchets, 170 000 sont des DASRI et les 530 000 tonnes restantes sont des déchets ménagers (DAOM). 
</t>
    </r>
    <r>
      <rPr>
        <b/>
        <sz val="11"/>
        <color rgb="FF7030A0"/>
        <rFont val="Calibri"/>
        <scheme val="minor"/>
      </rPr>
      <t xml:space="preserve">Hyp2 :  </t>
    </r>
    <r>
      <rPr>
        <sz val="11"/>
        <color theme="1"/>
        <rFont val="Calibri"/>
        <scheme val="minor"/>
      </rPr>
      <t xml:space="preserve">Les 700 000 tonnes de déchets correspondent aux déchets des établissements médico-sociaux. On suppose qu'elles correspondent aux établissments de notre périmètre (même si dans ce cas, sons aussi inclus les déchets du secteur social). Cette hypothèse est possible d'autant plus que ces données sont de 2012 et ce chiffre a sûrement augmenté aujourd'hui. 
</t>
    </r>
    <r>
      <rPr>
        <b/>
        <sz val="11"/>
        <color rgb="FF7030A0"/>
        <rFont val="Calibri"/>
        <scheme val="minor"/>
      </rPr>
      <t xml:space="preserve">Hyp 3 </t>
    </r>
    <r>
      <rPr>
        <sz val="11"/>
        <color theme="1"/>
        <rFont val="Calibri"/>
        <scheme val="minor"/>
      </rPr>
      <t xml:space="preserve">: Le ratio DASRI/DAOM est identique pour la médecine de ville et pour les établissements hospitaliers 
</t>
    </r>
    <r>
      <rPr>
        <b/>
        <sz val="11"/>
        <color rgb="FF7030A0"/>
        <rFont val="Calibri"/>
        <scheme val="minor"/>
      </rPr>
      <t>Hyp 4 :</t>
    </r>
    <r>
      <rPr>
        <sz val="11"/>
        <color theme="1"/>
        <rFont val="Calibri"/>
        <scheme val="minor"/>
      </rPr>
      <t xml:space="preserve"> Les établissents médico-sociaux ne produisent pas de DASRI, et produise la même quantité de DAOM par lit que les établissements hospitaliers.</t>
    </r>
  </si>
  <si>
    <r>
      <rPr>
        <b/>
        <sz val="11"/>
        <color rgb="FF7030A0"/>
        <rFont val="Calibri"/>
        <scheme val="minor"/>
      </rPr>
      <t xml:space="preserve">Hyp 1 </t>
    </r>
    <r>
      <rPr>
        <sz val="11"/>
        <color theme="1"/>
        <rFont val="Calibri"/>
        <scheme val="minor"/>
      </rPr>
      <t xml:space="preserve">: Sur les 700 000 tonnes de déchets, 170 000 sont des DASRI et les 530 000 tonnes restantes sont des déchets ménagers (DAOM). 
</t>
    </r>
    <r>
      <rPr>
        <b/>
        <sz val="11"/>
        <color rgb="FF7030A0"/>
        <rFont val="Calibri"/>
        <scheme val="minor"/>
      </rPr>
      <t xml:space="preserve">Hyp2 :  </t>
    </r>
    <r>
      <rPr>
        <sz val="11"/>
        <color theme="1"/>
        <rFont val="Calibri"/>
        <scheme val="minor"/>
      </rPr>
      <t xml:space="preserve">Les 700 000 tonnes de déchets correspondent aux déchets des établissements médico-sociaux. On suppose qu'elles correspondent aux établissments de notre périmètre (même si dans ce cas, sons aussi inclus les déchets du secteur social). Cette hypothèse est possible d'autant plus que ces données sont de 2012 et ce chiffre a sûrement augmenté aujourd'hui. </t>
    </r>
  </si>
  <si>
    <r>
      <t xml:space="preserve">(1) Pour une bonne gestion des déchets produits par les établissements de santé et médico-sociaux, https://solidarites-sante.gouv.fr/IMG/pdf/pour_une_bonne_gestion_des_dechets_produits_par_les_etablissements_de_sante_et_medico-sociaux.pdf
(2) Facteurs d'émissions d'un CH - </t>
    </r>
    <r>
      <rPr>
        <b/>
        <sz val="11"/>
        <color theme="1"/>
        <rFont val="Calibri"/>
        <scheme val="minor"/>
      </rPr>
      <t>Anonyme</t>
    </r>
    <r>
      <rPr>
        <sz val="11"/>
        <color theme="1"/>
        <rFont val="Calibri"/>
        <scheme val="minor"/>
      </rPr>
      <t xml:space="preserve">
(3) DASTRI rapport d'activité 2019, docuement pour les données sur les DASRI des pharmacies, https://www.dastri.fr/wp-content/uploads/2020/04/DASTRI_RA_2019.pdf
(4) Déchets d’activités de soins produits par les libéraux de santé, Données sur la quantité de décehts produits par la médecine de ville, https://www.iledefrance.ars.sante.fr/dechets-dactivites-de-soins-produits-par-les-liberaux-de-sante 
(5) Propre périmètre secteur santé 
(6) Quantité d'eau utilisée selon usages, SMEGREG, https://www.gesteau.fr/sites/default/files/doc_SAGE05003-1207141291.pdf</t>
    </r>
  </si>
  <si>
    <t>Pour ce poste nous allons appliquer 3 méthodes différentes :
- Pour les établissements hospitaliers : Nous allons répartir les 700 000 tonnes de déchets en DAOM et en DASRI. Puis à partir des FE du CH de Dieppe nous allons en déduire les émissions
- Pour la médecine de ville : nous allons utiliser des données moyennes de kfDasri par praticiens. Puis avec les FE nous allons évaluer les émissions. Nous utilisons ensuite le même ratio DASRI/DAOM que les établissements hospitaliers
- Pour les établissements médico-sociaux, nous supposons que ces derniers produise uniquement des DAOM, dans des proportions par lit identiques aux établissements hospitaliers.
- Pour le traitements des eaux usées, nous calculons la quantité d'eau consommée dans les établissement hospitaliers et médico-sociaux. Puis avec le FE nous pouvons évaluer les émissions asociées.</t>
  </si>
  <si>
    <t>La répartition des DAOM en type de déchets. Pour les DAOM nous utilisons un FE moyen qui n'est pas forcément précis et adapté aux déchets du secteur de la santé. Des données sur les autres type sde déchets (cartons, papier, métal...). Des données sur les laboratoires et les officines. Des données sur la consommation d'eau de la médecine de ville, et des pharmarcies, officcines et laboratoires d'analyse. Des données sur les déchets radioactifs, chimiques et biologiques.</t>
  </si>
  <si>
    <t xml:space="preserve">Ce modèle est encore partiellement incomplet. </t>
  </si>
  <si>
    <t>Les établissements de santé publics et privés, la médecine de ville et le médico-social.</t>
  </si>
  <si>
    <t>Partie 0: Résumé des résultats</t>
  </si>
  <si>
    <t>Quantité (t)</t>
  </si>
  <si>
    <t>DAOM</t>
  </si>
  <si>
    <t>Tonnes</t>
  </si>
  <si>
    <t>DASRI</t>
  </si>
  <si>
    <t>Partie I: Estimation de l'empreinte carbone des déchets des établissements de santé et du médico social</t>
  </si>
  <si>
    <t>On utilise la quantité de décehts qu'on répartir entre DAOM et DASRI produits et le FE approprié</t>
  </si>
  <si>
    <t>Selon (1), les DASRI représenent en France un gisement de 170000 produits à 95% par les hopitaux et les établissements médico-sociaux avec hébergement (soit 161 500 tonnes)</t>
  </si>
  <si>
    <t>De plus, toujours selon (1), les établissement shospitaliers et médico-sociaux avec hébergement produisent chaque année 700 000 tonnes de déchets</t>
  </si>
  <si>
    <r>
      <rPr>
        <b/>
        <sz val="11"/>
        <color rgb="FF7030A0"/>
        <rFont val="Calibri (Corps)"/>
      </rPr>
      <t xml:space="preserve">Hyp 1 </t>
    </r>
    <r>
      <rPr>
        <sz val="11"/>
        <color theme="1"/>
        <rFont val="Calibri"/>
        <scheme val="minor"/>
      </rPr>
      <t xml:space="preserve">: Sur les 700 000 tonnes de déchets, 161 500 sont des DASRI et les 538 500 tonnes restantes sont des déchets ménagers (DAOM). </t>
    </r>
  </si>
  <si>
    <r>
      <rPr>
        <b/>
        <sz val="11"/>
        <color rgb="FF7030A0"/>
        <rFont val="Calibri (Corps)"/>
      </rPr>
      <t>Hyp2</t>
    </r>
    <r>
      <rPr>
        <sz val="11"/>
        <color theme="1"/>
        <rFont val="Calibri"/>
        <scheme val="minor"/>
      </rPr>
      <t xml:space="preserve"> :  Les 700 000 tonnes de déchets correspondent en partie aux déchets des établissements médico-sociaux. On suppose qu'elles correspondent aux établissments de notre périmètre (même si dans ce cas, sont aussi inclus les déchets du secteur social). Cette hypothèse est possible d'autant plus que ces données sont de 2012 et ce chiffre a sûrement augmenté aujourd'hui. donc les 700 000 tonnes sous estiment sans doute les décehts réellement produits par cette partie du périmètre.</t>
    </r>
  </si>
  <si>
    <t>Quantité</t>
  </si>
  <si>
    <t>kgCO2e/Tonnes</t>
  </si>
  <si>
    <t xml:space="preserve">Emissions </t>
  </si>
  <si>
    <t>Partie II: Estimation de l'empreinte carbone des déchets de la médecine de ville (Hors Officines)</t>
  </si>
  <si>
    <t>On utilise des ratios de kg de DASRI produits par mois et par profession libérale pour estimer la quantité de déceht produits par la médecine de ville</t>
  </si>
  <si>
    <r>
      <rPr>
        <b/>
        <sz val="11"/>
        <color rgb="FF7030A0"/>
        <rFont val="Calibri (Corps)"/>
      </rPr>
      <t xml:space="preserve">Hyp 1 </t>
    </r>
    <r>
      <rPr>
        <sz val="11"/>
        <color theme="1"/>
        <rFont val="Calibri"/>
        <scheme val="minor"/>
      </rPr>
      <t xml:space="preserve">: Les professions libérales masseur-kiné, orthophoniste, orthoptiste, psychomotricien, pédicure-podologue, ergothérapeute, audioprothésiste, opticien-lunetier, Manipulateur ERM, Diététicien, Technicien de laboratoire, profession d'appreillage, psychologues ne produisent pas de DASRI. </t>
    </r>
  </si>
  <si>
    <r>
      <rPr>
        <b/>
        <sz val="11"/>
        <color rgb="FF7030A0"/>
        <rFont val="Calibri"/>
        <scheme val="minor"/>
      </rPr>
      <t xml:space="preserve">Hyp 2 : </t>
    </r>
    <r>
      <rPr>
        <sz val="11"/>
        <color theme="1"/>
        <rFont val="Calibri"/>
        <scheme val="minor"/>
      </rPr>
      <t>Les Médecins et autres professions de santé "Mixtes" sont répartis moitié-moitié dans les hôpitaux ou en cabinets libéraux</t>
    </r>
  </si>
  <si>
    <r>
      <rPr>
        <b/>
        <sz val="11"/>
        <color rgb="FF7030A0"/>
        <rFont val="Calibri"/>
        <scheme val="minor"/>
      </rPr>
      <t xml:space="preserve">Hyp 3 : </t>
    </r>
    <r>
      <rPr>
        <sz val="11"/>
        <color theme="1"/>
        <rFont val="Calibri"/>
        <scheme val="minor"/>
      </rPr>
      <t xml:space="preserve">Les Médecins et autres professions de santé "Libéraux ou mixtes" sont répartis moitié-moitié en libéraux ou en mixtes. Et donc ceux rajoutés en mixte sont répartis en moitié-moitié libéraux et hopitaux. </t>
    </r>
  </si>
  <si>
    <r>
      <rPr>
        <b/>
        <sz val="11"/>
        <color rgb="FF7030A0"/>
        <rFont val="Calibri"/>
        <scheme val="minor"/>
      </rPr>
      <t xml:space="preserve">Hyp 4 : </t>
    </r>
    <r>
      <rPr>
        <sz val="11"/>
        <color theme="1"/>
        <rFont val="Calibri"/>
        <scheme val="minor"/>
      </rPr>
      <t xml:space="preserve">Les sage-femmes produisent autant de déchets que les infirmiers </t>
    </r>
  </si>
  <si>
    <r>
      <rPr>
        <b/>
        <sz val="11"/>
        <color rgb="FF7030A0"/>
        <rFont val="Calibri"/>
        <scheme val="minor"/>
      </rPr>
      <t>Hyp 5 :</t>
    </r>
    <r>
      <rPr>
        <sz val="11"/>
        <rFont val="Calibri"/>
        <scheme val="minor"/>
      </rPr>
      <t xml:space="preserve"> Le ratio DASRI/(DASRI+DAOM) est le même que celui des hôpitaux</t>
    </r>
  </si>
  <si>
    <t xml:space="preserve">Dans un premier on fait la liste des professionnels de santé </t>
  </si>
  <si>
    <t xml:space="preserve">Chirurgien-dentiste </t>
  </si>
  <si>
    <t xml:space="preserve">Infirmier </t>
  </si>
  <si>
    <t>On répartit ces professionnels de santé de telle sorte a isoler ceux qui sont des "libéraux"</t>
  </si>
  <si>
    <t xml:space="preserve">Total libéraux </t>
  </si>
  <si>
    <t xml:space="preserve">On en déduit les déchets produits par profession </t>
  </si>
  <si>
    <t>Moyenne de déchets DASRI  produits (kg/praticiens.mois)</t>
  </si>
  <si>
    <t>DASRI produits (kg)</t>
  </si>
  <si>
    <t>DAOM produits (kg)</t>
  </si>
  <si>
    <t xml:space="preserve">Partie III: Estimation des déchets DASRI produits par les pharmaciens. </t>
  </si>
  <si>
    <t>Sûrement négigeable d'après (1) !</t>
  </si>
  <si>
    <t>Partie IV: Estimation des émission produites par le traitement des eaux usées</t>
  </si>
  <si>
    <t>On estimme ici la quantité d'eau consommée, en utilisant le nombre de lits et de places dans les établissemetns de santé et médico-sociaux ainsi que la consommation par lits. On utilise le facteur d'émission du Ch de Dieppe.</t>
  </si>
  <si>
    <t>Consommation d'eau par an et par lit (m3)</t>
  </si>
  <si>
    <t>Total consommation d'eau (m3)</t>
  </si>
  <si>
    <t>Facteur d'émission (kgCO2e/m3)</t>
  </si>
  <si>
    <t>Empreinte carbone </t>
  </si>
  <si>
    <t>Unité </t>
  </si>
  <si>
    <t>établissements de santé</t>
  </si>
  <si>
    <t>TOTAL :</t>
  </si>
  <si>
    <t xml:space="preserve">Partie V: Synthèse des résultats </t>
  </si>
  <si>
    <t xml:space="preserve">total des émissions </t>
  </si>
  <si>
    <t>Pas ok</t>
  </si>
  <si>
    <t>Calcul validé</t>
  </si>
  <si>
    <t>Effectif de l'administration de la santé et de la complémentaire santé</t>
  </si>
  <si>
    <t>Partie 0:  Bilan</t>
  </si>
  <si>
    <t>Partie I:  Effectifs de l'administration de la santé</t>
  </si>
  <si>
    <t>Le diagramme suivant décrit les entités travaillant pour le secteur de la santé :</t>
  </si>
  <si>
    <t>Les EPIC (l'IRSN et l'INERIS), et les GIP enfance en danger et l'agence française de l'adoption, ne sont pas comptés dans le périmètre "santé"</t>
  </si>
  <si>
    <t>N.B. : On cherche les ETP ou ETPT. Le cas échéant, on prendra les effectifs réels, ou les emplois autorisés</t>
  </si>
  <si>
    <t>Effectif ETP</t>
  </si>
  <si>
    <t>Ministère (hors EPA)</t>
  </si>
  <si>
    <t>Jaune2021_fonction_publique-web.pdf</t>
  </si>
  <si>
    <t>EPA (hors sécurité sociale)</t>
  </si>
  <si>
    <t>Agence de la Biomédecine</t>
  </si>
  <si>
    <t>PLFSS 2021 - Annexe 8 (securite-sociale.fr)</t>
  </si>
  <si>
    <t>Agence Nationale de sécurité du médicament et des produits de santé</t>
  </si>
  <si>
    <t xml:space="preserve">Agence Technique de l’Information et de l’Hospitalisation </t>
  </si>
  <si>
    <t xml:space="preserve">Etablissement Français du Sang </t>
  </si>
  <si>
    <t>https://www.securite-sociale.fr/files/live/sites/SSFR/files/medias/PLFSS/2021/PLFSS-2021-ANNEXE%208.pdf</t>
  </si>
  <si>
    <t>Santé public France</t>
  </si>
  <si>
    <t>Centre national de gestion des praticiens hospitaliers et des personnels de direction de la fonction publique hospitalière (dit Centre national de gestion)</t>
  </si>
  <si>
    <t>Office national d’indemnisation des accidents médicaux, des affections iatrogènes et des infections nosocomiales</t>
  </si>
  <si>
    <t>rapport_conjoint_rapprochement_fiva_oniam.pdf (igas.gouv.fr)</t>
  </si>
  <si>
    <t>Institut des jeunes aveugles</t>
  </si>
  <si>
    <t>https://www.igas.gouv.fr/IMG/pdf/2017-069R.pdf</t>
  </si>
  <si>
    <t>Institut Nationale des jeunes sourds</t>
  </si>
  <si>
    <t>Agences régionales de santé</t>
  </si>
  <si>
    <t>https://www.assemblee-nationale.fr/dyn/15/rapports/cion-soc/l15b4267_rapport-information#_Toc256000084</t>
  </si>
  <si>
    <t xml:space="preserve">Agence Nationale de Sécurité sanitaire de l’alimentation, de l’environnement et du travail </t>
  </si>
  <si>
    <t>https://questions.assemblee-nationale.fr/q13/13-88182QE.htm</t>
  </si>
  <si>
    <t>Assurance maladie</t>
  </si>
  <si>
    <t>Dossier de presse COG 2018-2022 Vdef (ameli.fr)</t>
  </si>
  <si>
    <t>Dont CNAM</t>
  </si>
  <si>
    <t>comptes_cnam_2019.pdf (ameli.fr)</t>
  </si>
  <si>
    <t>Autorités administratives indépendantes</t>
  </si>
  <si>
    <t>HAS</t>
  </si>
  <si>
    <t>Groupement d'intérêt public</t>
  </si>
  <si>
    <t>Agence nationale d'appui à la performance</t>
  </si>
  <si>
    <t>Agence Nationale de Recherche sur le Sida et les hépatites virales</t>
  </si>
  <si>
    <t>Microsoft Word - MOASF révision décembre 2018 v6.docx (anrs.fr)</t>
  </si>
  <si>
    <t>Institut national du cancer</t>
  </si>
  <si>
    <t>L'organigramme de l'Institut national du cancer - Qui sommes nous ? (e-cancer.fr)</t>
  </si>
  <si>
    <t>Institut national de la transfusion sanguine</t>
  </si>
  <si>
    <t>Quel est le devenir de l'INTS dans les prochaines année en France ? (toutsurlatransfusion.com)</t>
  </si>
  <si>
    <t>Agence nationale du numérique en santé</t>
  </si>
  <si>
    <t xml:space="preserve">Centre national de gestion des essais des produits de santé </t>
  </si>
  <si>
    <t>Maisons départementales des personnes handicapées</t>
  </si>
  <si>
    <t>CNSA Rapport annuel 2020</t>
  </si>
  <si>
    <t>Plateforme des données de santé</t>
  </si>
  <si>
    <t>http://www.institut-des-donnees-de-sante.fr/telechargements/RA-IDS-2013bdf.pdf</t>
  </si>
  <si>
    <t>Grandes écoles</t>
  </si>
  <si>
    <t>École des hautes études en santé publique</t>
  </si>
  <si>
    <t>École nationale supérieure de sécurité sociale</t>
  </si>
  <si>
    <t>Calculé à partir des dépenses en personnels de l'EN3S et de l'EHESP :
https://www.ehesp.fr/wp-content/uploads/2020/07/Rapport-activite-2019_EHESP.pdf
https://fr.calameo.com/read/004310504dc570c384777</t>
  </si>
  <si>
    <t>Partie II:  Effectifs de la complémentaire santé</t>
  </si>
  <si>
    <t>On commence par estimer les parts du marché des activités de notre périmètre des différents organismes</t>
  </si>
  <si>
    <t>Mutuelles</t>
  </si>
  <si>
    <t>Institutions de prévoyances</t>
  </si>
  <si>
    <t>Sociétés d'assurances</t>
  </si>
  <si>
    <t>Part de marché du champ des risques sociaux</t>
  </si>
  <si>
    <t>https://drees.solidarites-sante.gouv.fr/sites/default/files/2021-03/6-12.pdf</t>
  </si>
  <si>
    <t>Part de l'activité "santé" les cotisations collectés en 2016</t>
  </si>
  <si>
    <t>https://drees.solidarites-sante.gouv.fr/sites/default/files/2021-03/3-11.pdf</t>
  </si>
  <si>
    <t>Part de l'activité "incapacité, invalidité, dépendance, accidents" dans les cotisations collectées en 2016</t>
  </si>
  <si>
    <t xml:space="preserve">Part des activités "santé" ou "incapacité, invalidité, dépendance, accidents" sur le marché total des risques sociaux </t>
  </si>
  <si>
    <t>Part de marché des activités "santé" ou "incapacité, invalidité, dépendance, accidents"</t>
  </si>
  <si>
    <t xml:space="preserve">Lecture : </t>
  </si>
  <si>
    <t>- Les mutuelles possèdent 51% du marché des risques sociaux</t>
  </si>
  <si>
    <t>- 89% de l'activité des mutuelles concernée par notre périmètre, le reste est les activités "Retraite, préretraite et indemnités de fin de carrière" et "décès"</t>
  </si>
  <si>
    <t>- Les activités "santé" et "incapacité, invalidité, dépendance, accidents" des mutuelles représentent 45,39% du marché des risques sociaux</t>
  </si>
  <si>
    <t>- Les mutuelles possèdent 59,93% des part du marché de ces activités</t>
  </si>
  <si>
    <t>On estime ensuite les effectifs des mutuelles liées aux activités de notre périmètre</t>
  </si>
  <si>
    <t>Effectifs en France (2017)</t>
  </si>
  <si>
    <t>Chiffres clés 2019 de la branche Mutualité | ANEM (anem-mutualite.fr)</t>
  </si>
  <si>
    <t>Part des effectifs dédiés à des activités sanitaires, sociéles ou médico-sociales</t>
  </si>
  <si>
    <t>Effectifs (hors activiés sanitaires, sociales ou médico-sociales)</t>
  </si>
  <si>
    <r>
      <rPr>
        <b/>
        <sz val="11"/>
        <color rgb="FF7030A0"/>
        <rFont val="Calibri"/>
        <scheme val="minor"/>
      </rPr>
      <t>Hypothèse:</t>
    </r>
    <r>
      <rPr>
        <sz val="11"/>
        <color theme="1"/>
        <rFont val="Calibri"/>
        <scheme val="minor"/>
      </rPr>
      <t xml:space="preserve"> On suppose que les effectifs des mutuelles sont  répartis selon le chiffre d'affaires des différents domaines d'activité</t>
    </r>
  </si>
  <si>
    <t>Effectifs liée aux activités de santé, ou d'incapacité, invalidité, dépendance et accidents</t>
  </si>
  <si>
    <t>On estime ensuite les effectifs des assurances et des instituts de prévoyance</t>
  </si>
  <si>
    <r>
      <rPr>
        <b/>
        <sz val="11"/>
        <color rgb="FF7030A0"/>
        <rFont val="Calibri"/>
        <scheme val="minor"/>
      </rPr>
      <t>Hypothèse</t>
    </r>
    <r>
      <rPr>
        <sz val="11"/>
        <color theme="1"/>
        <rFont val="Calibri"/>
        <scheme val="minor"/>
      </rPr>
      <t>: On suppose que les effectifs des mutuelles, des sociétés d'assurances et des institus de prévoyance pour les activités concernés par notre périmètresont proportionnels au part du marché de ces activités</t>
    </r>
  </si>
  <si>
    <t xml:space="preserve">Tableau de bord du poste avant transformation </t>
  </si>
  <si>
    <t xml:space="preserve">Tableau de bord du poste après transformation </t>
  </si>
  <si>
    <t>Pourcentage de réduction</t>
  </si>
  <si>
    <t>Emissions dues à l'énergie (postes 1 et 6)</t>
  </si>
  <si>
    <t>Consommation d'énergie totale (GWh PCI)</t>
  </si>
  <si>
    <t>Consommation d'électricité (GWh PCI)</t>
  </si>
  <si>
    <t>Consommation de fioul (GWh PCI)</t>
  </si>
  <si>
    <t>Mix énergétique</t>
  </si>
  <si>
    <t>Consommation de gaz (GWh PCI)</t>
  </si>
  <si>
    <t>Mix estimé</t>
  </si>
  <si>
    <t>Consommation 2019 (GWh)</t>
  </si>
  <si>
    <t>Part (%)</t>
  </si>
  <si>
    <t>Consommation autres combustibles (GWh PCI)</t>
  </si>
  <si>
    <t>Correspond en théorie à "chaleur", "énergie renouvelable" et "GPL".</t>
  </si>
  <si>
    <t>Facteur d'émission electricité-Mix moyen consommation  (kgCO2e/kWh)</t>
  </si>
  <si>
    <t>Source ADEME</t>
  </si>
  <si>
    <t>Facteur d'émission fuel (kgCO2e/kWh)</t>
  </si>
  <si>
    <t>Facteur d'émission gaz  (kgCO2e/kWh)</t>
  </si>
  <si>
    <t xml:space="preserve">Électricité </t>
  </si>
  <si>
    <t>Facteur d'émission autres combustibles  (kgCO2e/kWh)</t>
  </si>
  <si>
    <t>Emissions totales (MtCO2eq)</t>
  </si>
  <si>
    <t>Mesures de décarbonation</t>
  </si>
  <si>
    <t>-Massifier la rénovation thermique globale et performante des bâtiments hospitaliers et médico-sociaux</t>
  </si>
  <si>
    <t>Source : Chiffrage projet "Administration publique" du PTEF.</t>
  </si>
  <si>
    <t xml:space="preserve">-Passage systématique des systèmes de chauffage et/ou de production d’eau chaude au gaz et au fioul à des sources d’énergie bas carbone </t>
  </si>
  <si>
    <t>https://view.officeapps.live.com/op/view.aspx?src=https%3A%2F%2Ftheshiftproject.org%2Fwp-content%2Fuploads%2F2021%2F10%2F211021-chiffrages-PTEF-administration-publique_final.xlsx&amp;wdOrigin=BROWSELINK</t>
  </si>
  <si>
    <t xml:space="preserve">-Recruter, former ou faire appel à un référent énergie. Former les professionnels de santé afin de réduire les usages / consommations. </t>
  </si>
  <si>
    <t>-Favoriser la bio-climatisation des bâtiments et l’usage de matériaux bio-sourcés dans les constructions neuves et rénovations d’envergure</t>
  </si>
  <si>
    <t>Mix PTEF TOUT TERTIAIRE</t>
  </si>
  <si>
    <t>Consommation 2050 (GWh)</t>
  </si>
  <si>
    <t>Hypothèse d'évolution de la consommation d'énergie finale (état final/état initial)</t>
  </si>
  <si>
    <t xml:space="preserve">On prend l'hyptohèse que le secteur santé diminue sa consommation de 60% en moyenne. Ceci va un peu plus loin que le décret tertiaire qui prévoit -60% OU pour les bâtiments déjà efficaces du point de vue énergétique, le respect d'un niveau absolu de consommaiton énergétique. C'est-à-dire que certains bâtiments publics ne devront pas réduire leur consommation d'énergie de 60% mais atteindre un seuil exprimé en unité énergétique : ils réduisent donc leur consommaiton de moins de 60%. Cela étant, certains travaux sur de vieux bâtiments permettront d'aller au-delà de 60% compte tenu du potentiel de réduction de la consommation existant. Aussi on retient un objectif moyen de -60%, faute de disposer d'une typologie précise des bâtiments. </t>
  </si>
  <si>
    <t>Consommation d'énergie (GWh PCI)</t>
  </si>
  <si>
    <t>La nouvelle consommation d'énergie.</t>
  </si>
  <si>
    <t>Ratio état final/état initial</t>
  </si>
  <si>
    <t xml:space="preserve">Réduction des émissions </t>
  </si>
  <si>
    <t>N.B. On ne prend pas en compte ici l'administration et la complémentaire santé pour calculer le ratio des émissions 2050/2020 ; on supposera que le ratio est similaire pour ces structures</t>
  </si>
  <si>
    <t>Détail des résultats avant transformation</t>
  </si>
  <si>
    <t>Consommation de fioul avant transformation (GWh PCI)</t>
  </si>
  <si>
    <t>Consommation de gaz avant transformation (GWh PCI)</t>
  </si>
  <si>
    <t>Consommation électricité avant transformation (GWh PCI)</t>
  </si>
  <si>
    <t>Consommation autres combustibles avant transformation (GWh PCI)</t>
  </si>
  <si>
    <t>Emissions avant transformation  (MtCO2)</t>
  </si>
  <si>
    <t xml:space="preserve">Etablissements de santé +professions libérales </t>
  </si>
  <si>
    <t>EHPA + ES Handicap + Officines</t>
  </si>
  <si>
    <t>Achat de produits et services / Sous-poste méciments</t>
  </si>
  <si>
    <t xml:space="preserve">Emissions dues à l'achat de médicaments du secteur de la santé </t>
  </si>
  <si>
    <t>Marché pharmaceutique en France (Md€)</t>
  </si>
  <si>
    <t>Facteur d'émission (kgCO2eq/€)</t>
  </si>
  <si>
    <t>Source ADEME (https://www.bilans-ges.ademe.fr/fr/basecarbone/donnees-consulter/liste-element)</t>
  </si>
  <si>
    <t>- Conditionner la délivrance ou le renouvellement de l’Autorisation de mise sur le marché (AMM) à la publication du contenu carbone du médicament. Dans certains cas, si le contenu carbone est trop important par rapport à un autre médicament apportant les mêmes bénéfices sanitaires, l’AMM pourra être refusée.</t>
  </si>
  <si>
    <t xml:space="preserve">-Mettre en place une politique d’achats éco-responsables </t>
  </si>
  <si>
    <t>-Impliquer des professionnels et sociétés savantes dans l’adaptation des pratiques moins consommatrices de médicaments</t>
  </si>
  <si>
    <t>-Réduire le gaspillage des médicaments (meilleure gestion des médicaments, réduction des MNU, prescription à la semaine)  Développer l’écoprescription</t>
  </si>
  <si>
    <t xml:space="preserve">-Relocaliser partiellement certaines molécules essentielles en Europe. Cela doit s’accompagner d’une modification des processus de fabrication et distribution </t>
  </si>
  <si>
    <t>-Maîtriser la demande en développant la prévention (1re, 2re, 3re et 4re = surtraitement)  et la promotion de la santé</t>
  </si>
  <si>
    <t xml:space="preserve">Baisse du facteur d'émission moyen des médicaments </t>
  </si>
  <si>
    <t xml:space="preserve">Cas où il y a réduction du coût carbone unitaire  (modifications des processus de fabrication et distribution ou subsitution d'un médicament par un autre médicament moins carboné) </t>
  </si>
  <si>
    <t xml:space="preserve">Baisse du volume </t>
  </si>
  <si>
    <t>Cas où il y a réduction de la quantité de médicaments non-utilisés (MNU) ou réduction de la consommation grâce à la prévention</t>
  </si>
  <si>
    <t>Montant de la réduction des émisssions</t>
  </si>
  <si>
    <t xml:space="preserve">Achat de produits et services / Sous-poste dispositifs médicaux </t>
  </si>
  <si>
    <t>Source ADEME (https://www.bilans-ges.ademe.fr/fr/basecarbone/donnees-consulter/liste-element?recherche=repas)</t>
  </si>
  <si>
    <t>- Conditionner la délivrance ou le renouvellement du marquage CE à la publication du contenu carbone du dispositif médical. Dans certains cas, si le contenu carbone est trop important par rapport à un autre dispositif médical apportant les mêmes bénéfices sanitaires, le marquage CE pourra être refusée.</t>
  </si>
  <si>
    <t xml:space="preserve">-Impliquer des professionnels et sociétés savantes dans l’adaptation des pratiques moins consommatrices de dispositifs médicaux </t>
  </si>
  <si>
    <t xml:space="preserve">-Diminuer le recours aux dispositifs médicaux et encourager la réutilisation des DM lorsque cela est possible. Remettre en question l’utilisation de l’usage unique dans toutes les spécialités par les professionnels en lien avec leur société savante. </t>
  </si>
  <si>
    <t>Ratio mesures</t>
  </si>
  <si>
    <t xml:space="preserve">Cas ou il y a réduction du coût carbone unitaire  (modifications des processus de fabrication et distribution ou subsitution d'un dispositif médical par un autre dispositif moins carboné) </t>
  </si>
  <si>
    <t>Cas ou il y a réduction de la quantité de dispositifs médicaux utilisés (prévention, réudction de l'usage unique …).</t>
  </si>
  <si>
    <t xml:space="preserve">Emissions dues à l'alimentation du secteur de la santé </t>
  </si>
  <si>
    <t>Nombre de repas en restauration collective (millions)</t>
  </si>
  <si>
    <t>Nombre de repas médedine de ville, administration et complémentaire santé</t>
  </si>
  <si>
    <t>Facteur d'émission restauration collective (kgCO2eq/repas)</t>
  </si>
  <si>
    <t>Source ADEME (https://presse.ademe.fr/wp-content/uploads/2016/09/cout-complet-pertes-gaspillage-restauration-collective-rapport.pdf)</t>
  </si>
  <si>
    <t>Facteur d'émission par repas (kgCO2eq/repas)</t>
  </si>
  <si>
    <t xml:space="preserve">-Réduire l’impact carbone lié à l’alimentation collective en proposant une alimentation moins carnée et plus locales </t>
  </si>
  <si>
    <t>-Réduire l’impact carbone lié au gaspillage alimentaire en restauration collective</t>
  </si>
  <si>
    <t>- Réduire l'utilisation des emballages en restauration collective</t>
  </si>
  <si>
    <t xml:space="preserve">Baisse du facteur d'émission moyen des repas en France </t>
  </si>
  <si>
    <t xml:space="preserve">Baisse liée à la recomposition des menus - estimation du projet "Agriculture et alimentation" du PTEF. A décrire </t>
  </si>
  <si>
    <t>Baisse des émissions liées à la lutte contre le gaspillage alimentaire en restauration collective</t>
  </si>
  <si>
    <t>Aujourd'hui, l'ademe estime le gaspillage alimentaire dans le secteur de la santé à 20 %. Nous prevoyons donc une réduction de 50 % de ce gaspillage. ( https://presse.ademe.fr/wp-content/uploads/2016/09/cout-complet-pertes-gaspillage-restauration-collective-rapport.pdf)</t>
  </si>
  <si>
    <t>Baise des émissions liées à la diminution des emballages en restauration collective</t>
  </si>
  <si>
    <t>Aujourd'hui, l'ademe estime la quantité de plastique pa repas à 66g et la quantité de papier et cartons à 133g. Les détails des calculs sont dans le tableau en bas de page ( https://presse.ademe.fr/wp-content/uploads/2016/09/cout-complet-pertes-gaspillage-restauration-collective-rapport.pdf)</t>
  </si>
  <si>
    <t xml:space="preserve">Détail des résultats </t>
  </si>
  <si>
    <t>Nombre de repas (millions)</t>
  </si>
  <si>
    <t>Emissions avant (MtCO2)</t>
  </si>
  <si>
    <t>Emissions après (MtCO2)</t>
  </si>
  <si>
    <t>Total restauration collective</t>
  </si>
  <si>
    <t>Total restauration médecine de ville, administration et complémentaire santé</t>
  </si>
  <si>
    <t>Détail des émissions liées aux emballages</t>
  </si>
  <si>
    <t>Quantité de plastique utilisée par repas</t>
  </si>
  <si>
    <t>grammes/repas</t>
  </si>
  <si>
    <t>ADEME (https://presse.ademe.fr/wp-content/uploads/2016/09/cout-complet-pertes-gaspillage-restauration-collective-rapport.pdf)</t>
  </si>
  <si>
    <t>Quantité de papier carton par repas</t>
  </si>
  <si>
    <t>Facteur d'émission du pastique</t>
  </si>
  <si>
    <t>kgCO2e/Kg</t>
  </si>
  <si>
    <t>ADEME - Plastique - moyenne - neuf</t>
  </si>
  <si>
    <t>Facteur d'émission du papier/carton</t>
  </si>
  <si>
    <t>ADEME - Papier - Moyen - Hors utilisation et fin de vie</t>
  </si>
  <si>
    <t>Emissions liées au emballages en restauration collective</t>
  </si>
  <si>
    <t>kgCO2e/repas</t>
  </si>
  <si>
    <t>Ratio des émissions liées aux emballages sur les émissions totales en restauration collective</t>
  </si>
  <si>
    <t>Trajets professionnels</t>
  </si>
  <si>
    <t>Emissions dues aux trajets professionnels</t>
  </si>
  <si>
    <t>Distance pour les IDEL (km)</t>
  </si>
  <si>
    <t>Distance pour la HAD (km)</t>
  </si>
  <si>
    <t>Distance parcourue par les médecins libéraux (km)</t>
  </si>
  <si>
    <t xml:space="preserve">Distance totale parcourue (Gpkm) </t>
  </si>
  <si>
    <t>Facteur d'émission (kgCO2e/pkm)</t>
  </si>
  <si>
    <t xml:space="preserve">- Remplacer les véhicules thermiques par les véhicules électriques. 
</t>
  </si>
  <si>
    <t>- Limiter les déplacements longues distances liés aux conférences ou séminaires (préférer par exemple des sous-conférences à échelles plus locales)</t>
  </si>
  <si>
    <t>ADEME - Voiture particulière - Coeur de gamme - Véhicule compact - Electrique</t>
  </si>
  <si>
    <t xml:space="preserve">Trajets patients et visiteurs </t>
  </si>
  <si>
    <t>Emissions dues aux trajets visiteurs et patients</t>
  </si>
  <si>
    <t xml:space="preserve">Pour les visiteurs </t>
  </si>
  <si>
    <t xml:space="preserve">Distance pour les établissements de santé (Gpkm) </t>
  </si>
  <si>
    <t xml:space="preserve">Distance pour les EPHA (Gpkm) </t>
  </si>
  <si>
    <t xml:space="preserve">Distance pour les établissements d'acceuil et de services pour adultes et enfants handicapés (Gpkm) </t>
  </si>
  <si>
    <t xml:space="preserve">Distance pour les professions libérales  (Gpkm) </t>
  </si>
  <si>
    <t>Il s'agit d'un facteur d'émission estimé dans le cadre du PTEF sur la mobilité quotidienne. Ce facteur d'émission intègre tous les moyens de déplacement.</t>
  </si>
  <si>
    <t xml:space="preserve">Pour les patients </t>
  </si>
  <si>
    <t xml:space="preserve">Pour comprendre ce facteur d'émission, vous pouvez vous réferrer au PTEF mobilité quotidienne. </t>
  </si>
  <si>
    <t>Emissions totales Patients+visiteurs  (MtCO2eq)</t>
  </si>
  <si>
    <t xml:space="preserve">- Formation à l’éco-conduite pour les ambulanciers.
</t>
  </si>
  <si>
    <t xml:space="preserve">- Mettre en place un point info mobilité sur le site internet de la structure (s’il existe) et dans l’établissement indiquant les modes de transports possibles pour les trajets et les avantages et inconvénients de chacun de ces modes.
</t>
  </si>
  <si>
    <t xml:space="preserve">- Inciter les patients à pratiquer la mobilité active. Prescrire de l’activité physique à l’intégralité de la population (avantage de réduire le recours au médicament car meilleure santé)
</t>
  </si>
  <si>
    <t xml:space="preserve">- Développer la télésanté dans le but de substituer des déplacements.(pas chiffrer ici)
</t>
  </si>
  <si>
    <t xml:space="preserve">Pour comprendre ce facteur d'émission, vous pouvez vous réferrer au PTEF mobilité quotidienne. Il se base sur un remplacement de tous les véhicules thermiques par des véhicules electriques, sur un report modal vers des véhicules plus sobres et sur une décarbonation du mix électrique. </t>
  </si>
  <si>
    <t>Emissions dues aux trajets domicile travail des employés</t>
  </si>
  <si>
    <t xml:space="preserve">- Co-construire, rédiger et déployer un plan de mobilité de l’établissement ou du groupe sanitaire ou médico-social.
</t>
  </si>
  <si>
    <t xml:space="preserve">- Faire la promotion de la mobilité active (vélo et marche à pieds)
</t>
  </si>
  <si>
    <t xml:space="preserve">- Encourager l’utilisation des transports en commun
</t>
  </si>
  <si>
    <t xml:space="preserve">- Faire la promotion du co-voiturage
</t>
  </si>
  <si>
    <t xml:space="preserve">- Faciliter le recours au télétravail pour le personnel administratif et les chercheurs.
</t>
  </si>
  <si>
    <t>Distance par PTAC pour les services d'urgence (Gkm)</t>
  </si>
  <si>
    <t>Distance par PTAC pour les transports sanitaires (Gkm)</t>
  </si>
  <si>
    <t xml:space="preserve">Distance voiture pour les transports sanitaires </t>
  </si>
  <si>
    <t>Facteur d'émission PTAC (kgCO2e/km)</t>
  </si>
  <si>
    <t>Facteur d'émission voiture (kgCO2e/km)</t>
  </si>
  <si>
    <t>Emissions des hélicoptères (MtCO2e)</t>
  </si>
  <si>
    <t>- Favoriser le regroupement des patients pour les transports sanitaires</t>
  </si>
  <si>
    <t>Facteur d'émission voiture électrique (kgCO2/km)</t>
  </si>
  <si>
    <t>Facteur d'émission PTAC électrique (kgCO2e/km)</t>
  </si>
  <si>
    <t>Selon l'ADEME, les véhicules utiliaires légers (VUL) électriques émettent 74% moins de CO2e que les VUL diesel(https://bilans-ges.ademe.fr/fr/accueil/documentation-gene/index/page/Routier)</t>
  </si>
  <si>
    <t xml:space="preserve">Déchets </t>
  </si>
  <si>
    <t xml:space="preserve">Emissions dues au traitement des déchets par le secteur de la santé </t>
  </si>
  <si>
    <t xml:space="preserve">Tonnes de DAOM traités </t>
  </si>
  <si>
    <t xml:space="preserve">Tonnes de DASRI traités </t>
  </si>
  <si>
    <t>Facteur d'émission traitement DAOM (kgCO2eq/tonne)</t>
  </si>
  <si>
    <t>Source : ADEME</t>
  </si>
  <si>
    <t>Facteur d'émission traitement DASRI (kgCO2eq/tonne)</t>
  </si>
  <si>
    <t>Emissions liées au traitement des eaux usées</t>
  </si>
  <si>
    <t xml:space="preserve">- Amélioration du tri DAOM/DASRI : action de sensibilisation, audits de tri. </t>
  </si>
  <si>
    <t>- Soutenir le développement de la production en France et l’usage de matériel/ dispositifs médicaux réutilisables</t>
  </si>
  <si>
    <t>-Développer les filières de recyclage des objets jetables / à  usage unique</t>
  </si>
  <si>
    <t>- Réduire la proportion de Déchets d’Activités de Soin à Risque Infectieux (DASRI)</t>
  </si>
  <si>
    <t>-Faire appliquer et contrôler l’obligation de composter ses biodéchets</t>
  </si>
  <si>
    <t>-Baisse de la quantité de déchets alimentaires par la mise en place de la GPAO.</t>
  </si>
  <si>
    <t>Baisse de la quantité de DASRI (au profit des DAOM)</t>
  </si>
  <si>
    <t>Pour le CH de Dieppe : L’amélioration du tri devrait permettre de diminuer de 15% la quantité de DASRI</t>
  </si>
  <si>
    <t>Réduction de la quantité de DAOM associée au compostage et à la réduction des déchets alimentaires</t>
  </si>
  <si>
    <t>Pour le CH de Dieppe : Les déchets alimentaires représentent 15% du poids des DAOM. La GPAO permet de réduire de 30% ces pertes</t>
  </si>
  <si>
    <t xml:space="preserve">Les mesures avec un potentiel de décarbonation mais n'étant pas chiffré pour le moment </t>
  </si>
  <si>
    <t>- La réduction de l'usage de dispositifs à usage unique conduira à une réduction de la quantité de déchets traités</t>
  </si>
  <si>
    <t>- nous avons chiffré la réduction de DASRI dus à l'amélioration du tri DAOM/DASRI mais celle associée à la réduction de DASRI en absolu</t>
  </si>
  <si>
    <t xml:space="preserve">Gaz médicaux </t>
  </si>
  <si>
    <t xml:space="preserve">Emissions dues à l'usage de gaz médicaux par le secteur de la santé </t>
  </si>
  <si>
    <t>Quantité de sevoflurane nécessaire afin de remplacer d'isoflurane et le desflurane</t>
  </si>
  <si>
    <t>Masse totale délivrée de desflurane (kg)</t>
  </si>
  <si>
    <t>Masse totale délivrée d'isoflurane (kg)</t>
  </si>
  <si>
    <t xml:space="preserve">isoflurane </t>
  </si>
  <si>
    <t>Masse totale délivrée de Protoxyde d'Azote (kg)</t>
  </si>
  <si>
    <t>Quantité de sevoflurane nécessaire pour 1mL de gaz (en mL) (anesthésie à 1,3 MAC et des durées moyennes de chirurgies de plus de 60 min, débit de gaz frais de 1 l/min)</t>
  </si>
  <si>
    <t xml:space="preserve">Lockwood GG, White DC. Measuring the costs of inhaled anaesthetics. Br J Anaesth. 2001 Oct;87(4):559–63. </t>
  </si>
  <si>
    <t>Masse totale délivrée de MEOPA (kg)</t>
  </si>
  <si>
    <t>Densité (g/mL)</t>
  </si>
  <si>
    <t xml:space="preserve">Laster MJ, Fang Z, Eger EI. Specific gravities of desflurane, enflurane, halothane, isoflurane, and sevoflurane. Anesth Analg. 1994 Jun;78(6):1152–3. </t>
  </si>
  <si>
    <t>Masse totale délivrée de sevoflurane  (kg)</t>
  </si>
  <si>
    <t>Quantité de sevoflurane nécessaire pour 1Kg de gaz (en kg) (anesthésie à 1,3 MAC et des durées moyennes de chirurgies de plus de 60 min, débit de gaz frais de 1 l/min)</t>
  </si>
  <si>
    <t xml:space="preserve">PRG Desflurane </t>
  </si>
  <si>
    <t xml:space="preserve">PRG Isoflurane </t>
  </si>
  <si>
    <t xml:space="preserve">PRG Protoxyde d'azote </t>
  </si>
  <si>
    <t xml:space="preserve">PRG Meopa </t>
  </si>
  <si>
    <t xml:space="preserve">Prg de sevoflurane </t>
  </si>
  <si>
    <t>Emissions gaz médicaux (MtCO2e)</t>
  </si>
  <si>
    <t>Emissions inhalateurs (salbutamol) (MtCO2e)</t>
  </si>
  <si>
    <t>Emissions gaz frigorigènes (MtCO2e)</t>
  </si>
  <si>
    <t xml:space="preserve">- Interdire les gaz anesthésiants à fort effet de serre </t>
  </si>
  <si>
    <t>- Favoriser l'utilisation d'inhalateurs à faible impact environnmental (poudres sèches, …)</t>
  </si>
  <si>
    <t>- Remplacement des gaz des circuits de régrigération (notamment le HFC) par des composants à faibles PRG ou faible impact environnemental (CO2, NH3, R717, eau, hydrocarbures, …)</t>
  </si>
  <si>
    <t xml:space="preserve">On remplace 100% du Desflurane par du sevoflurane </t>
  </si>
  <si>
    <t xml:space="preserve">On remplace 100% de l'isoflurane par du sevoflurane </t>
  </si>
  <si>
    <t xml:space="preserve">On fait l'hypothèse que le N2O ne peut pas être remplacé par du sevoflurane (car l'usage de ces deux gaz n'est pas le même). La réduction au niveau de ce poste viendra d'une réduction de la consommation. </t>
  </si>
  <si>
    <t>Suite à des entretiens avec des experts, on suppose qu'il est posisble de remplacer 10% du Meopa par du sevoflurane</t>
  </si>
  <si>
    <t>Hypothèse rapport 1/1 ? (Seb.)</t>
  </si>
  <si>
    <t>Réduction des émissions dues aux inhalateurs</t>
  </si>
  <si>
    <t>L'utilisation d'inhalateurs à poudre sèche permettrait de réduire d'au moins 95% l'empreinte carbone des inhalateurs (https://northeast.devonformularyguidance.nhs.uk/formulary/chapters/3.-respiratory/the-environmental-impact-of-inhalers#:~:text=Available%20data%20consistently%20show%20that,footprint%20compared%20to%20other%20inhalers.)</t>
  </si>
  <si>
    <t>S'assurer que c'est possible pour les asmathiques
(Double Seb)</t>
  </si>
  <si>
    <t>Réduction des émissions dues aux gaz frigorigènes</t>
  </si>
  <si>
    <t>Le PRG du CO2, du NH3 et du R717 est négigleable devant celui du HFC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</si>
</sst>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 #,##0.00_)_ ;_ * \(#,##0.00\)_ ;_ * &quot;-&quot;??_)_ ;_ @_ "/>
    <numFmt numFmtId="165" formatCode=";;;"/>
    <numFmt numFmtId="166" formatCode="#,##0.0"/>
    <numFmt numFmtId="167" formatCode="#,##0.000"/>
    <numFmt numFmtId="168" formatCode="0.000"/>
    <numFmt numFmtId="169" formatCode="0.0"/>
    <numFmt numFmtId="170" formatCode="0.0%"/>
    <numFmt numFmtId="171" formatCode="&quot;(e) &quot;00,000"/>
    <numFmt numFmtId="172" formatCode="#,##0\ ;\-#,##0\ "/>
    <numFmt numFmtId="173" formatCode="0.0000000"/>
    <numFmt numFmtId="174" formatCode="0.00000"/>
    <numFmt numFmtId="175" formatCode="_-* #,##0\ _€_-;\-* #,##0\ _€_-;_-* &quot;-&quot;??\ _€_-;_-@_-"/>
    <numFmt numFmtId="176" formatCode="0.0000"/>
    <numFmt numFmtId="177" formatCode="#,##0.0000"/>
    <numFmt numFmtId="178" formatCode="0.000000"/>
  </numFmts>
  <fonts count="96">
    <font>
      <sz val="11"/>
      <color theme="1"/>
      <name val="Calibri"/>
      <scheme val="minor"/>
    </font>
    <font>
      <u/>
      <sz val="11"/>
      <color theme="10"/>
      <name val="Calibri"/>
    </font>
    <font>
      <u/>
      <sz val="12"/>
      <color theme="10"/>
      <name val="Calibri"/>
      <scheme val="minor"/>
    </font>
    <font>
      <sz val="12"/>
      <color theme="1"/>
      <name val="Calibri"/>
      <scheme val="minor"/>
    </font>
    <font>
      <sz val="10"/>
      <name val="Arial"/>
    </font>
    <font>
      <i/>
      <sz val="12"/>
      <color rgb="FF7F7F7F"/>
      <name val="Calibri"/>
      <scheme val="minor"/>
    </font>
    <font>
      <b/>
      <sz val="11"/>
      <color theme="1"/>
      <name val="Calibri"/>
      <scheme val="minor"/>
    </font>
    <font>
      <b/>
      <sz val="11"/>
      <color theme="0"/>
      <name val="Calibri"/>
      <scheme val="minor"/>
    </font>
    <font>
      <sz val="10"/>
      <color theme="1"/>
      <name val="Calibri"/>
      <scheme val="minor"/>
    </font>
    <font>
      <sz val="10"/>
      <name val="Calibri"/>
      <scheme val="minor"/>
    </font>
    <font>
      <b/>
      <sz val="10"/>
      <color theme="1"/>
      <name val="Calibri"/>
      <scheme val="minor"/>
    </font>
    <font>
      <u/>
      <sz val="10"/>
      <name val="Calibri"/>
    </font>
    <font>
      <u/>
      <sz val="11"/>
      <name val="Calibri"/>
    </font>
    <font>
      <b/>
      <sz val="10"/>
      <color theme="0"/>
      <name val="Calibri"/>
      <scheme val="minor"/>
    </font>
    <font>
      <b/>
      <sz val="14"/>
      <color theme="1"/>
      <name val="Calibri"/>
      <scheme val="minor"/>
    </font>
    <font>
      <i/>
      <sz val="11"/>
      <color theme="1"/>
      <name val="Calibri"/>
      <scheme val="minor"/>
    </font>
    <font>
      <b/>
      <sz val="11"/>
      <name val="Calibri"/>
      <scheme val="minor"/>
    </font>
    <font>
      <sz val="11"/>
      <name val="Calibri"/>
      <scheme val="minor"/>
    </font>
    <font>
      <b/>
      <sz val="11"/>
      <color theme="5" tint="-0.249977111117893"/>
      <name val="Calibri"/>
      <scheme val="minor"/>
    </font>
    <font>
      <b/>
      <sz val="12"/>
      <name val="Calibri"/>
      <scheme val="minor"/>
    </font>
    <font>
      <sz val="7"/>
      <color rgb="FF58595B"/>
      <name val="Tahoma"/>
    </font>
    <font>
      <sz val="11"/>
      <name val="Calibri"/>
    </font>
    <font>
      <b/>
      <sz val="11"/>
      <color rgb="FF00B0F0"/>
      <name val="Calibri"/>
      <scheme val="minor"/>
    </font>
    <font>
      <sz val="10"/>
      <name val="Calibri Light"/>
    </font>
    <font>
      <sz val="10"/>
      <name val="Calibri"/>
    </font>
    <font>
      <b/>
      <sz val="10"/>
      <name val="Calibri Light"/>
    </font>
    <font>
      <b/>
      <sz val="10"/>
      <name val="Arial"/>
    </font>
    <font>
      <b/>
      <sz val="11"/>
      <color rgb="FF7030A0"/>
      <name val="Calibri"/>
      <scheme val="minor"/>
    </font>
    <font>
      <b/>
      <sz val="10"/>
      <color indexed="65"/>
      <name val="Calibri Light"/>
    </font>
    <font>
      <b/>
      <sz val="12"/>
      <name val="Calibri Light"/>
    </font>
    <font>
      <b/>
      <sz val="10"/>
      <name val="Calibri"/>
    </font>
    <font>
      <b/>
      <sz val="16"/>
      <color rgb="FF7030A0"/>
      <name val="Calibri"/>
      <scheme val="minor"/>
    </font>
    <font>
      <sz val="10"/>
      <color theme="1"/>
      <name val="Calibri Light"/>
    </font>
    <font>
      <b/>
      <sz val="11"/>
      <color rgb="FF00B050"/>
      <name val="Calibri"/>
      <scheme val="minor"/>
    </font>
    <font>
      <b/>
      <sz val="9"/>
      <color theme="1"/>
      <name val="Arial"/>
    </font>
    <font>
      <sz val="8"/>
      <color theme="1"/>
      <name val="Calibri"/>
      <scheme val="minor"/>
    </font>
    <font>
      <b/>
      <sz val="9"/>
      <color theme="1"/>
      <name val="Calibri"/>
      <scheme val="minor"/>
    </font>
    <font>
      <b/>
      <sz val="8"/>
      <name val="Arial"/>
    </font>
    <font>
      <sz val="8"/>
      <name val="Arial"/>
    </font>
    <font>
      <sz val="8"/>
      <color theme="1"/>
      <name val="Arial"/>
    </font>
    <font>
      <b/>
      <sz val="8"/>
      <color theme="1"/>
      <name val="Arial"/>
    </font>
    <font>
      <sz val="10"/>
      <color indexed="2"/>
      <name val="Arial"/>
    </font>
    <font>
      <b/>
      <sz val="8"/>
      <color rgb="FF0070C0"/>
      <name val="Arial"/>
    </font>
    <font>
      <sz val="11"/>
      <color rgb="FF00B050"/>
      <name val="Calibri"/>
      <scheme val="minor"/>
    </font>
    <font>
      <sz val="11"/>
      <color indexed="2"/>
      <name val="Calibri"/>
      <scheme val="minor"/>
    </font>
    <font>
      <sz val="11"/>
      <color rgb="FF00B050"/>
      <name val="Calibri (Corps)"/>
    </font>
    <font>
      <b/>
      <sz val="16"/>
      <color rgb="FF44546A"/>
      <name val="Calibri"/>
      <scheme val="minor"/>
    </font>
    <font>
      <sz val="12"/>
      <color theme="1"/>
      <name val="Calibri"/>
    </font>
    <font>
      <sz val="11"/>
      <color theme="1"/>
      <name val="Times New Roman"/>
    </font>
    <font>
      <i/>
      <sz val="10"/>
      <name val="Arial"/>
    </font>
    <font>
      <i/>
      <sz val="8"/>
      <name val="Arial"/>
    </font>
    <font>
      <b/>
      <sz val="10"/>
      <color theme="1"/>
      <name val="Calibri"/>
    </font>
    <font>
      <b/>
      <sz val="11"/>
      <color rgb="FF00B050"/>
      <name val="Calibri (Corps)"/>
    </font>
    <font>
      <b/>
      <sz val="10.5"/>
      <name val="Tahoma"/>
    </font>
    <font>
      <sz val="10.5"/>
      <color theme="1"/>
      <name val="Tahoma"/>
    </font>
    <font>
      <sz val="10.5"/>
      <name val="Tahoma"/>
    </font>
    <font>
      <b/>
      <sz val="10.5"/>
      <color theme="1"/>
      <name val="Tahoma"/>
    </font>
    <font>
      <sz val="9"/>
      <name val="Arial"/>
    </font>
    <font>
      <b/>
      <sz val="12"/>
      <color indexed="4"/>
      <name val="Calibri"/>
      <scheme val="minor"/>
    </font>
    <font>
      <sz val="12"/>
      <color theme="1"/>
      <name val="Arial"/>
    </font>
    <font>
      <sz val="12"/>
      <color theme="1"/>
      <name val="Times New Roman"/>
    </font>
    <font>
      <sz val="12"/>
      <name val="Calibri"/>
      <scheme val="minor"/>
    </font>
    <font>
      <b/>
      <sz val="11"/>
      <color theme="1"/>
      <name val="Calibri (Corps)"/>
    </font>
    <font>
      <sz val="10"/>
      <color rgb="FF00005A"/>
      <name val="Arial"/>
    </font>
    <font>
      <b/>
      <sz val="10"/>
      <color theme="1"/>
      <name val="Calibri Light"/>
    </font>
    <font>
      <b/>
      <sz val="8"/>
      <name val="Carlito"/>
    </font>
    <font>
      <sz val="8"/>
      <color theme="1"/>
      <name val="Carlito"/>
    </font>
    <font>
      <b/>
      <sz val="8"/>
      <color theme="1"/>
      <name val="Carlito"/>
    </font>
    <font>
      <b/>
      <sz val="11"/>
      <color rgb="FF7030A0"/>
      <name val="Calibri (Corps)"/>
    </font>
    <font>
      <b/>
      <sz val="11"/>
      <color theme="8" tint="-0.249977111117893"/>
      <name val="Calibri"/>
      <scheme val="minor"/>
    </font>
    <font>
      <b/>
      <sz val="8"/>
      <name val="Calibri"/>
      <scheme val="minor"/>
    </font>
    <font>
      <sz val="8"/>
      <name val="Calibri"/>
      <scheme val="minor"/>
    </font>
    <font>
      <b/>
      <sz val="8"/>
      <color theme="1"/>
      <name val="Calibri"/>
      <scheme val="minor"/>
    </font>
    <font>
      <b/>
      <i/>
      <sz val="11"/>
      <color theme="1"/>
      <name val="Calibri"/>
      <scheme val="minor"/>
    </font>
    <font>
      <sz val="8"/>
      <color rgb="FF212529"/>
      <name val="Segoe UI"/>
    </font>
    <font>
      <b/>
      <sz val="11"/>
      <name val="Calibri"/>
    </font>
    <font>
      <sz val="11"/>
      <color theme="1"/>
      <name val="Calibri"/>
    </font>
    <font>
      <sz val="8"/>
      <color theme="1"/>
      <name val="Calibri"/>
    </font>
    <font>
      <sz val="12"/>
      <name val="Tahoma"/>
    </font>
    <font>
      <b/>
      <sz val="12"/>
      <color theme="1"/>
      <name val="Calibri"/>
      <scheme val="minor"/>
    </font>
    <font>
      <sz val="11"/>
      <color theme="1"/>
      <name val="Calibri"/>
      <scheme val="minor"/>
    </font>
    <font>
      <b/>
      <u/>
      <sz val="11"/>
      <color rgb="FF00B0F0"/>
      <name val="Calibri (Corps)"/>
    </font>
    <font>
      <b/>
      <sz val="11"/>
      <color indexed="2"/>
      <name val="Calibri (Corps)"/>
    </font>
    <font>
      <b/>
      <sz val="10"/>
      <color rgb="FF7030A0"/>
      <name val="Calibri Light"/>
    </font>
    <font>
      <vertAlign val="superscript"/>
      <sz val="8"/>
      <name val="Arial"/>
    </font>
    <font>
      <sz val="8"/>
      <name val="Calibri"/>
    </font>
    <font>
      <b/>
      <vertAlign val="superscript"/>
      <sz val="8"/>
      <name val="Arial"/>
    </font>
    <font>
      <sz val="11"/>
      <color theme="1"/>
      <name val="Calibri (Corps)"/>
    </font>
    <font>
      <vertAlign val="subscript"/>
      <sz val="11"/>
      <color theme="1"/>
      <name val="Calibri"/>
      <scheme val="minor"/>
    </font>
    <font>
      <sz val="11"/>
      <color rgb="FF7030A0"/>
      <name val="Calibri"/>
      <scheme val="minor"/>
    </font>
    <font>
      <vertAlign val="superscript"/>
      <sz val="10"/>
      <name val="Calibri"/>
    </font>
    <font>
      <b/>
      <sz val="10"/>
      <color rgb="FF7030A0"/>
      <name val="Arial"/>
    </font>
    <font>
      <b/>
      <sz val="8"/>
      <name val="Calibri"/>
    </font>
    <font>
      <sz val="11"/>
      <name val="Calibri (Corps)"/>
    </font>
    <font>
      <b/>
      <sz val="9"/>
      <name val="Tahoma"/>
    </font>
    <font>
      <sz val="9"/>
      <name val="Tahoma"/>
    </font>
  </fonts>
  <fills count="50">
    <fill>
      <patternFill patternType="none"/>
    </fill>
    <fill>
      <patternFill patternType="gray125"/>
    </fill>
    <fill>
      <patternFill patternType="solid">
        <fgColor theme="0"/>
        <bgColor theme="0"/>
      </patternFill>
    </fill>
    <fill>
      <patternFill patternType="solid">
        <fgColor rgb="FFFFC000"/>
        <bgColor rgb="FFFFC000"/>
      </patternFill>
    </fill>
    <fill>
      <patternFill patternType="solid">
        <fgColor theme="1"/>
        <bgColor theme="1"/>
      </patternFill>
    </fill>
    <fill>
      <patternFill patternType="solid">
        <fgColor indexed="5"/>
        <bgColor indexed="5"/>
      </patternFill>
    </fill>
    <fill>
      <patternFill patternType="solid">
        <fgColor theme="7" tint="0.39997558519241921"/>
        <bgColor theme="7" tint="0.39997558519241921"/>
      </patternFill>
    </fill>
    <fill>
      <patternFill patternType="solid">
        <fgColor theme="8" tint="0.59999389629810485"/>
        <bgColor theme="8" tint="0.59999389629810485"/>
      </patternFill>
    </fill>
    <fill>
      <patternFill patternType="solid">
        <fgColor rgb="FFC00000"/>
        <bgColor rgb="FFC00000"/>
      </patternFill>
    </fill>
    <fill>
      <patternFill patternType="solid">
        <fgColor theme="5" tint="-0.249977111117893"/>
        <bgColor theme="5" tint="-0.249977111117893"/>
      </patternFill>
    </fill>
    <fill>
      <patternFill patternType="solid">
        <fgColor theme="5" tint="0.39997558519241921"/>
        <bgColor theme="5" tint="0.39997558519241921"/>
      </patternFill>
    </fill>
    <fill>
      <patternFill patternType="solid">
        <fgColor theme="5" tint="0.79998168889431442"/>
        <bgColor theme="5" tint="0.79998168889431442"/>
      </patternFill>
    </fill>
    <fill>
      <patternFill patternType="solid">
        <fgColor indexed="5"/>
        <bgColor indexed="5"/>
      </patternFill>
    </fill>
    <fill>
      <patternFill patternType="solid">
        <fgColor rgb="FF00B0F0"/>
        <bgColor rgb="FF00B0F0"/>
      </patternFill>
    </fill>
    <fill>
      <patternFill patternType="solid">
        <fgColor rgb="FFFFC000"/>
        <bgColor rgb="FFFFC000"/>
      </patternFill>
    </fill>
    <fill>
      <patternFill patternType="solid">
        <fgColor rgb="FF92D050"/>
        <bgColor rgb="FF92D050"/>
      </patternFill>
    </fill>
    <fill>
      <patternFill patternType="solid">
        <fgColor rgb="FF00B050"/>
        <bgColor rgb="FF00B050"/>
      </patternFill>
    </fill>
    <fill>
      <patternFill patternType="solid">
        <fgColor theme="0" tint="-0.14999847407452621"/>
        <bgColor theme="0" tint="-0.14999847407452621"/>
      </patternFill>
    </fill>
    <fill>
      <patternFill patternType="solid">
        <fgColor theme="1"/>
        <bgColor theme="1"/>
      </patternFill>
    </fill>
    <fill>
      <patternFill patternType="solid">
        <fgColor theme="9"/>
        <bgColor theme="9"/>
      </patternFill>
    </fill>
    <fill>
      <patternFill patternType="solid">
        <fgColor theme="4" tint="0.39997558519241921"/>
        <bgColor theme="4" tint="0.39997558519241921"/>
      </patternFill>
    </fill>
    <fill>
      <patternFill patternType="solid">
        <fgColor theme="9" tint="0.59999389629810485"/>
        <bgColor theme="9" tint="0.59999389629810485"/>
      </patternFill>
    </fill>
    <fill>
      <patternFill patternType="solid">
        <fgColor theme="7" tint="0.59999389629810485"/>
        <bgColor theme="7" tint="0.59999389629810485"/>
      </patternFill>
    </fill>
    <fill>
      <patternFill patternType="solid">
        <fgColor theme="7" tint="0.79998168889431442"/>
        <bgColor theme="7" tint="0.79998168889431442"/>
      </patternFill>
    </fill>
    <fill>
      <patternFill patternType="solid">
        <fgColor theme="4" tint="0.39997558519241921"/>
        <bgColor theme="4" tint="0.39997558519241921"/>
      </patternFill>
    </fill>
    <fill>
      <patternFill patternType="solid">
        <fgColor theme="9"/>
        <bgColor theme="9"/>
      </patternFill>
    </fill>
    <fill>
      <patternFill patternType="solid">
        <fgColor theme="4" tint="0.59999389629810485"/>
        <bgColor theme="4" tint="0.59999389629810485"/>
      </patternFill>
    </fill>
    <fill>
      <patternFill patternType="solid">
        <fgColor theme="9" tint="0.59999389629810485"/>
        <bgColor theme="9" tint="0.59999389629810485"/>
      </patternFill>
    </fill>
    <fill>
      <patternFill patternType="solid">
        <fgColor theme="7" tint="0.39997558519241921"/>
        <bgColor theme="7" tint="0.39997558519241921"/>
      </patternFill>
    </fill>
    <fill>
      <patternFill patternType="solid">
        <fgColor theme="0" tint="-4.9989318521683403E-2"/>
        <bgColor theme="0" tint="-4.9989318521683403E-2"/>
      </patternFill>
    </fill>
    <fill>
      <patternFill patternType="solid">
        <fgColor theme="7" tint="0.59999389629810485"/>
        <bgColor theme="7" tint="0.59999389629810485"/>
      </patternFill>
    </fill>
    <fill>
      <patternFill patternType="solid">
        <fgColor theme="7" tint="0.79998168889431442"/>
        <bgColor theme="7" tint="0.79998168889431442"/>
      </patternFill>
    </fill>
    <fill>
      <patternFill patternType="solid">
        <fgColor theme="7" tint="-0.249977111117893"/>
        <bgColor theme="7" tint="-0.249977111117893"/>
      </patternFill>
    </fill>
    <fill>
      <patternFill patternType="solid">
        <fgColor theme="7" tint="-0.249977111117893"/>
        <bgColor rgb="FFFFC000"/>
      </patternFill>
    </fill>
    <fill>
      <patternFill patternType="solid">
        <fgColor theme="0"/>
        <bgColor theme="0"/>
      </patternFill>
    </fill>
    <fill>
      <patternFill patternType="solid">
        <fgColor theme="7" tint="-0.249977111117893"/>
        <bgColor rgb="FF8B2077"/>
      </patternFill>
    </fill>
    <fill>
      <patternFill patternType="solid">
        <fgColor theme="7" tint="-0.249977111117893"/>
        <bgColor rgb="FFF2F2F2"/>
      </patternFill>
    </fill>
    <fill>
      <patternFill patternType="solid">
        <fgColor theme="0"/>
        <bgColor rgb="FF8B2077"/>
      </patternFill>
    </fill>
    <fill>
      <patternFill patternType="solid">
        <fgColor theme="5" tint="0.59999389629810485"/>
        <bgColor theme="5" tint="0.59999389629810485"/>
      </patternFill>
    </fill>
    <fill>
      <patternFill patternType="solid">
        <fgColor theme="7" tint="-0.249977111117893"/>
        <bgColor indexed="65"/>
      </patternFill>
    </fill>
    <fill>
      <patternFill patternType="solid">
        <fgColor theme="7" tint="-0.249977111117893"/>
        <bgColor theme="8" tint="0.39997558519241921"/>
      </patternFill>
    </fill>
    <fill>
      <patternFill patternType="solid">
        <fgColor theme="7" tint="-0.249977111117893"/>
        <bgColor theme="5" tint="0.59999389629810485"/>
      </patternFill>
    </fill>
    <fill>
      <patternFill patternType="solid">
        <fgColor indexed="51"/>
        <bgColor indexed="51"/>
      </patternFill>
    </fill>
    <fill>
      <patternFill patternType="solid">
        <fgColor rgb="FFFBC903"/>
        <bgColor rgb="FFFBC903"/>
      </patternFill>
    </fill>
    <fill>
      <patternFill patternType="solid">
        <fgColor indexed="2"/>
        <bgColor indexed="2"/>
      </patternFill>
    </fill>
    <fill>
      <patternFill patternType="solid">
        <fgColor rgb="FF00B050"/>
        <bgColor rgb="FF92D050"/>
      </patternFill>
    </fill>
    <fill>
      <patternFill patternType="solid">
        <fgColor theme="7" tint="-0.249977111117893"/>
        <bgColor indexed="4"/>
      </patternFill>
    </fill>
    <fill>
      <patternFill patternType="solid">
        <fgColor theme="7" tint="-0.249977111117893"/>
        <bgColor rgb="FF9BC2E6"/>
      </patternFill>
    </fill>
    <fill>
      <patternFill patternType="solid">
        <fgColor theme="3" tint="0.39997558519241921"/>
        <bgColor theme="3" tint="0.39997558519241921"/>
      </patternFill>
    </fill>
    <fill>
      <patternFill patternType="solid">
        <fgColor theme="3" tint="0.79998168889431442"/>
        <bgColor theme="3" tint="0.79998168889431442"/>
      </patternFill>
    </fill>
  </fills>
  <borders count="142">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theme="1"/>
      </left>
      <right style="thin">
        <color auto="1"/>
      </right>
      <top style="medium">
        <color theme="1"/>
      </top>
      <bottom style="thin">
        <color auto="1"/>
      </bottom>
      <diagonal/>
    </border>
    <border>
      <left style="thin">
        <color auto="1"/>
      </left>
      <right style="thin">
        <color auto="1"/>
      </right>
      <top style="medium">
        <color theme="1"/>
      </top>
      <bottom style="thin">
        <color auto="1"/>
      </bottom>
      <diagonal/>
    </border>
    <border>
      <left style="thin">
        <color auto="1"/>
      </left>
      <right style="medium">
        <color theme="1"/>
      </right>
      <top style="medium">
        <color theme="1"/>
      </top>
      <bottom style="thin">
        <color auto="1"/>
      </bottom>
      <diagonal/>
    </border>
    <border>
      <left style="medium">
        <color theme="1"/>
      </left>
      <right style="thin">
        <color auto="1"/>
      </right>
      <top style="thin">
        <color auto="1"/>
      </top>
      <bottom style="thin">
        <color auto="1"/>
      </bottom>
      <diagonal/>
    </border>
    <border>
      <left style="thin">
        <color auto="1"/>
      </left>
      <right style="medium">
        <color theme="1"/>
      </right>
      <top style="thin">
        <color auto="1"/>
      </top>
      <bottom style="thin">
        <color auto="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auto="1"/>
      </left>
      <right style="thin">
        <color auto="1"/>
      </right>
      <top/>
      <bottom/>
      <diagonal/>
    </border>
    <border>
      <left style="medium">
        <color theme="1"/>
      </left>
      <right style="thin">
        <color theme="1"/>
      </right>
      <top style="thin">
        <color theme="1"/>
      </top>
      <bottom style="medium">
        <color auto="1"/>
      </bottom>
      <diagonal/>
    </border>
    <border>
      <left style="thin">
        <color theme="1"/>
      </left>
      <right style="thin">
        <color theme="1"/>
      </right>
      <top style="thin">
        <color theme="1"/>
      </top>
      <bottom/>
      <diagonal/>
    </border>
    <border>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auto="1"/>
      </left>
      <right style="medium">
        <color theme="1"/>
      </right>
      <top style="thin">
        <color auto="1"/>
      </top>
      <bottom/>
      <diagonal/>
    </border>
    <border>
      <left/>
      <right style="thin">
        <color auto="1"/>
      </right>
      <top style="medium">
        <color auto="1"/>
      </top>
      <bottom style="medium">
        <color auto="1"/>
      </bottom>
      <diagonal/>
    </border>
    <border>
      <left style="medium">
        <color theme="1"/>
      </left>
      <right style="thin">
        <color auto="1"/>
      </right>
      <top style="thin">
        <color auto="1"/>
      </top>
      <bottom style="medium">
        <color theme="1"/>
      </bottom>
      <diagonal/>
    </border>
    <border>
      <left style="thin">
        <color auto="1"/>
      </left>
      <right style="thin">
        <color auto="1"/>
      </right>
      <top style="thin">
        <color auto="1"/>
      </top>
      <bottom style="medium">
        <color theme="1"/>
      </bottom>
      <diagonal/>
    </border>
    <border>
      <left style="thin">
        <color auto="1"/>
      </left>
      <right style="medium">
        <color theme="1"/>
      </right>
      <top style="thin">
        <color auto="1"/>
      </top>
      <bottom style="medium">
        <color theme="1"/>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diagonal/>
    </border>
    <border>
      <left style="thin">
        <color theme="1"/>
      </left>
      <right style="medium">
        <color theme="1"/>
      </right>
      <top style="thin">
        <color theme="1"/>
      </top>
      <bottom/>
      <diagonal/>
    </border>
    <border>
      <left style="medium">
        <color theme="1"/>
      </left>
      <right style="thin">
        <color theme="1"/>
      </right>
      <top style="thin">
        <color theme="1"/>
      </top>
      <bottom style="medium">
        <color theme="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style="thin">
        <color auto="1"/>
      </top>
      <bottom/>
      <diagonal/>
    </border>
    <border>
      <left style="thin">
        <color auto="1"/>
      </left>
      <right/>
      <top style="thin">
        <color auto="1"/>
      </top>
      <bottom style="medium">
        <color auto="1"/>
      </bottom>
      <diagonal/>
    </border>
    <border>
      <left style="medium">
        <color auto="1"/>
      </left>
      <right/>
      <top/>
      <bottom/>
      <diagonal/>
    </border>
    <border>
      <left style="thin">
        <color auto="1"/>
      </left>
      <right/>
      <top/>
      <bottom/>
      <diagonal/>
    </border>
    <border>
      <left style="thin">
        <color auto="1"/>
      </left>
      <right style="medium">
        <color auto="1"/>
      </right>
      <top/>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right/>
      <top style="medium">
        <color theme="1"/>
      </top>
      <bottom/>
      <diagonal/>
    </border>
    <border>
      <left/>
      <right style="slantDashDot">
        <color auto="1"/>
      </right>
      <top/>
      <bottom style="medium">
        <color auto="1"/>
      </bottom>
      <diagonal/>
    </border>
    <border>
      <left style="slantDashDot">
        <color auto="1"/>
      </left>
      <right/>
      <top style="slantDashDot">
        <color auto="1"/>
      </top>
      <bottom style="medium">
        <color auto="1"/>
      </bottom>
      <diagonal/>
    </border>
    <border>
      <left/>
      <right/>
      <top style="slantDashDot">
        <color auto="1"/>
      </top>
      <bottom style="medium">
        <color auto="1"/>
      </bottom>
      <diagonal/>
    </border>
    <border>
      <left style="slantDashDot">
        <color auto="1"/>
      </left>
      <right/>
      <top/>
      <bottom/>
      <diagonal/>
    </border>
    <border>
      <left style="thin">
        <color auto="1"/>
      </left>
      <right/>
      <top style="medium">
        <color auto="1"/>
      </top>
      <bottom/>
      <diagonal/>
    </border>
    <border>
      <left style="medium">
        <color auto="1"/>
      </left>
      <right/>
      <top style="thin">
        <color auto="1"/>
      </top>
      <bottom/>
      <diagonal/>
    </border>
    <border>
      <left/>
      <right style="medium">
        <color auto="1"/>
      </right>
      <top style="thin">
        <color auto="1"/>
      </top>
      <bottom/>
      <diagonal/>
    </border>
    <border>
      <left/>
      <right/>
      <top style="thin">
        <color auto="1"/>
      </top>
      <bottom/>
      <diagonal/>
    </border>
    <border>
      <left style="medium">
        <color theme="1"/>
      </left>
      <right/>
      <top style="medium">
        <color theme="1"/>
      </top>
      <bottom style="thin">
        <color rgb="FFA9D08E"/>
      </bottom>
      <diagonal/>
    </border>
    <border>
      <left/>
      <right style="medium">
        <color theme="1"/>
      </right>
      <top style="medium">
        <color theme="1"/>
      </top>
      <bottom style="thin">
        <color rgb="FFA9D08E"/>
      </bottom>
      <diagonal/>
    </border>
    <border>
      <left style="medium">
        <color theme="1"/>
      </left>
      <right/>
      <top style="thin">
        <color rgb="FFA9D08E"/>
      </top>
      <bottom style="thin">
        <color rgb="FFA9D08E"/>
      </bottom>
      <diagonal/>
    </border>
    <border>
      <left/>
      <right style="medium">
        <color theme="1"/>
      </right>
      <top style="thin">
        <color rgb="FFA9D08E"/>
      </top>
      <bottom style="thin">
        <color rgb="FFA9D08E"/>
      </bottom>
      <diagonal/>
    </border>
    <border>
      <left style="medium">
        <color theme="1"/>
      </left>
      <right/>
      <top style="thin">
        <color rgb="FFA9D08E"/>
      </top>
      <bottom style="medium">
        <color theme="1"/>
      </bottom>
      <diagonal/>
    </border>
    <border>
      <left/>
      <right style="medium">
        <color theme="1"/>
      </right>
      <top style="thin">
        <color rgb="FFA9D08E"/>
      </top>
      <bottom style="medium">
        <color theme="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double">
        <color auto="1"/>
      </left>
      <right style="double">
        <color auto="1"/>
      </right>
      <top style="double">
        <color auto="1"/>
      </top>
      <bottom style="double">
        <color auto="1"/>
      </bottom>
      <diagonal/>
    </border>
    <border>
      <left style="double">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double">
        <color auto="1"/>
      </right>
      <top style="double">
        <color auto="1"/>
      </top>
      <bottom/>
      <diagonal/>
    </border>
    <border>
      <left style="double">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double">
        <color auto="1"/>
      </right>
      <top/>
      <bottom/>
      <diagonal/>
    </border>
    <border>
      <left style="double">
        <color auto="1"/>
      </left>
      <right style="thin">
        <color auto="1"/>
      </right>
      <top/>
      <bottom/>
      <diagonal/>
    </border>
    <border>
      <left style="thin">
        <color auto="1"/>
      </left>
      <right style="double">
        <color auto="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top style="medium">
        <color theme="1"/>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auto="1"/>
      </left>
      <right style="thin">
        <color auto="1"/>
      </right>
      <top style="thin">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top style="medium">
        <color auto="1"/>
      </top>
      <bottom style="medium">
        <color auto="1"/>
      </bottom>
      <diagonal/>
    </border>
    <border>
      <left/>
      <right style="thin">
        <color auto="1"/>
      </right>
      <top/>
      <bottom/>
      <diagonal/>
    </border>
    <border>
      <left style="medium">
        <color theme="1"/>
      </left>
      <right style="medium">
        <color theme="1"/>
      </right>
      <top/>
      <bottom style="medium">
        <color theme="1"/>
      </bottom>
      <diagonal/>
    </border>
    <border>
      <left style="medium">
        <color auto="1"/>
      </left>
      <right style="thin">
        <color auto="1"/>
      </right>
      <top/>
      <bottom/>
      <diagonal/>
    </border>
    <border>
      <left style="medium">
        <color auto="1"/>
      </left>
      <right/>
      <top/>
      <bottom style="double">
        <color auto="1"/>
      </bottom>
      <diagonal/>
    </border>
    <border>
      <left/>
      <right/>
      <top/>
      <bottom style="double">
        <color auto="1"/>
      </bottom>
      <diagonal/>
    </border>
    <border>
      <left/>
      <right style="medium">
        <color auto="1"/>
      </right>
      <top/>
      <bottom style="double">
        <color auto="1"/>
      </bottom>
      <diagonal/>
    </border>
  </borders>
  <cellStyleXfs count="25">
    <xf numFmtId="0" fontId="0" fillId="0" borderId="0"/>
    <xf numFmtId="0" fontId="1" fillId="0" borderId="0" applyNumberFormat="0" applyFill="0" applyBorder="0" applyProtection="0">
      <alignment vertical="top"/>
      <protection locked="0"/>
    </xf>
    <xf numFmtId="0" fontId="2" fillId="0" borderId="0" applyNumberFormat="0" applyFill="0" applyBorder="0" applyProtection="0"/>
    <xf numFmtId="0" fontId="2" fillId="0" borderId="0" applyNumberFormat="0" applyFill="0" applyBorder="0" applyProtection="0"/>
    <xf numFmtId="0" fontId="1" fillId="0" borderId="0" applyNumberFormat="0" applyFill="0" applyBorder="0" applyProtection="0">
      <alignment vertical="top"/>
      <protection locked="0"/>
    </xf>
    <xf numFmtId="164" fontId="80" fillId="0" borderId="0" applyFont="0" applyFill="0" applyBorder="0" applyProtection="0"/>
    <xf numFmtId="164" fontId="3" fillId="0" borderId="0" applyFont="0" applyFill="0" applyBorder="0" applyProtection="0"/>
    <xf numFmtId="164" fontId="3" fillId="0" borderId="0" applyFont="0" applyFill="0" applyBorder="0" applyProtection="0"/>
    <xf numFmtId="164" fontId="80" fillId="0" borderId="0" applyFont="0" applyFill="0" applyBorder="0" applyProtection="0"/>
    <xf numFmtId="0" fontId="4" fillId="0" borderId="0"/>
    <xf numFmtId="0" fontId="3" fillId="0" borderId="0"/>
    <xf numFmtId="0" fontId="80" fillId="0" borderId="0"/>
    <xf numFmtId="0" fontId="80" fillId="0" borderId="0"/>
    <xf numFmtId="0" fontId="3" fillId="0" borderId="0"/>
    <xf numFmtId="0" fontId="80" fillId="0" borderId="0"/>
    <xf numFmtId="0" fontId="80" fillId="0" borderId="0"/>
    <xf numFmtId="0" fontId="80" fillId="0" borderId="0"/>
    <xf numFmtId="0" fontId="4" fillId="0" borderId="0"/>
    <xf numFmtId="0" fontId="4" fillId="0" borderId="0"/>
    <xf numFmtId="9" fontId="80" fillId="0" borderId="0" applyFont="0" applyFill="0" applyBorder="0" applyProtection="0"/>
    <xf numFmtId="9" fontId="3" fillId="0" borderId="0" applyFont="0" applyFill="0" applyBorder="0" applyProtection="0"/>
    <xf numFmtId="9" fontId="3" fillId="0" borderId="0" applyFont="0" applyFill="0" applyBorder="0" applyProtection="0"/>
    <xf numFmtId="9" fontId="80" fillId="0" borderId="0" applyFont="0" applyFill="0" applyBorder="0" applyProtection="0"/>
    <xf numFmtId="0" fontId="5" fillId="0" borderId="0" applyNumberFormat="0" applyFill="0" applyBorder="0" applyProtection="0"/>
    <xf numFmtId="0" fontId="5" fillId="0" borderId="0" applyNumberFormat="0" applyFill="0" applyBorder="0" applyProtection="0"/>
  </cellStyleXfs>
  <cellXfs count="1529">
    <xf numFmtId="0" fontId="0" fillId="0" borderId="0" xfId="0"/>
    <xf numFmtId="0" fontId="80" fillId="2" borderId="0" xfId="16" applyFill="1"/>
    <xf numFmtId="0" fontId="6" fillId="3" borderId="1" xfId="16" applyFont="1" applyFill="1" applyBorder="1" applyAlignment="1">
      <alignment horizontal="center" vertical="center"/>
    </xf>
    <xf numFmtId="0" fontId="80" fillId="2" borderId="1" xfId="16" quotePrefix="1" applyFill="1" applyBorder="1" applyAlignment="1">
      <alignment vertical="top" wrapText="1"/>
    </xf>
    <xf numFmtId="0" fontId="80" fillId="2" borderId="1" xfId="16" quotePrefix="1" applyFill="1" applyBorder="1" applyAlignment="1">
      <alignment vertical="center" wrapText="1"/>
    </xf>
    <xf numFmtId="0" fontId="80" fillId="2" borderId="1" xfId="16" quotePrefix="1" applyFill="1" applyBorder="1" applyAlignment="1">
      <alignment horizontal="left" vertical="center" wrapText="1"/>
    </xf>
    <xf numFmtId="0" fontId="80" fillId="2" borderId="1" xfId="16" applyFill="1" applyBorder="1" applyAlignment="1">
      <alignment vertical="center" wrapText="1"/>
    </xf>
    <xf numFmtId="0" fontId="80" fillId="2" borderId="0" xfId="16" quotePrefix="1" applyFill="1"/>
    <xf numFmtId="0" fontId="6" fillId="2" borderId="1" xfId="16" applyFont="1" applyFill="1" applyBorder="1" applyAlignment="1">
      <alignment horizontal="center" vertical="center"/>
    </xf>
    <xf numFmtId="0" fontId="80" fillId="2" borderId="1" xfId="16" applyFill="1" applyBorder="1" applyAlignment="1">
      <alignment vertical="center"/>
    </xf>
    <xf numFmtId="0" fontId="7" fillId="4" borderId="1" xfId="16" applyFont="1" applyFill="1" applyBorder="1" applyAlignment="1">
      <alignment horizontal="center" vertical="center"/>
    </xf>
    <xf numFmtId="0" fontId="6" fillId="5" borderId="1" xfId="16" applyFont="1" applyFill="1" applyBorder="1" applyAlignment="1">
      <alignment horizontal="center" vertical="center" wrapText="1"/>
    </xf>
    <xf numFmtId="0" fontId="80" fillId="2" borderId="1" xfId="16" applyFill="1" applyBorder="1" applyAlignment="1">
      <alignment horizontal="left" vertical="center" wrapText="1"/>
    </xf>
    <xf numFmtId="0" fontId="80" fillId="2" borderId="0" xfId="16" applyFill="1" applyAlignment="1">
      <alignment wrapText="1"/>
    </xf>
    <xf numFmtId="0" fontId="6" fillId="6" borderId="1" xfId="16" applyFont="1" applyFill="1" applyBorder="1" applyAlignment="1">
      <alignment horizontal="center" vertical="center" wrapText="1"/>
    </xf>
    <xf numFmtId="0" fontId="8" fillId="0" borderId="0" xfId="0" applyFont="1"/>
    <xf numFmtId="0" fontId="9" fillId="0" borderId="0" xfId="0" applyFont="1"/>
    <xf numFmtId="0" fontId="10" fillId="0" borderId="0" xfId="0" applyFont="1"/>
    <xf numFmtId="0" fontId="10" fillId="7" borderId="2" xfId="0" applyFont="1" applyFill="1" applyBorder="1" applyAlignment="1">
      <alignment horizontal="center"/>
    </xf>
    <xf numFmtId="0" fontId="11" fillId="9" borderId="2" xfId="1" applyFont="1" applyFill="1" applyBorder="1" applyAlignment="1" applyProtection="1">
      <alignment horizontal="center"/>
    </xf>
    <xf numFmtId="0" fontId="8" fillId="0" borderId="2" xfId="0" applyFont="1" applyBorder="1" applyAlignment="1">
      <alignment wrapText="1"/>
    </xf>
    <xf numFmtId="2" fontId="8" fillId="0" borderId="2" xfId="0" applyNumberFormat="1" applyFont="1" applyBorder="1" applyAlignment="1">
      <alignment horizontal="center"/>
    </xf>
    <xf numFmtId="0" fontId="8" fillId="0" borderId="2" xfId="0" applyFont="1" applyBorder="1" applyAlignment="1">
      <alignment horizontal="center"/>
    </xf>
    <xf numFmtId="10" fontId="8" fillId="0" borderId="2" xfId="0" applyNumberFormat="1" applyFont="1" applyBorder="1" applyAlignment="1">
      <alignment horizontal="center"/>
    </xf>
    <xf numFmtId="165" fontId="8" fillId="0" borderId="2" xfId="0" applyNumberFormat="1" applyFont="1" applyBorder="1"/>
    <xf numFmtId="0" fontId="9" fillId="10" borderId="2" xfId="0" applyFont="1" applyFill="1" applyBorder="1" applyAlignment="1">
      <alignment horizontal="center"/>
    </xf>
    <xf numFmtId="0" fontId="11" fillId="10" borderId="2" xfId="1" applyFont="1" applyFill="1" applyBorder="1" applyAlignment="1" applyProtection="1">
      <alignment horizontal="center"/>
    </xf>
    <xf numFmtId="0" fontId="9" fillId="11" borderId="2" xfId="0" applyFont="1" applyFill="1" applyBorder="1" applyAlignment="1">
      <alignment horizontal="center"/>
    </xf>
    <xf numFmtId="1" fontId="8" fillId="0" borderId="2" xfId="0" applyNumberFormat="1" applyFont="1" applyBorder="1" applyAlignment="1">
      <alignment horizontal="center"/>
    </xf>
    <xf numFmtId="0" fontId="10" fillId="12" borderId="2" xfId="0" applyFont="1" applyFill="1" applyBorder="1" applyAlignment="1">
      <alignment horizontal="center" vertical="center" wrapText="1"/>
    </xf>
    <xf numFmtId="0" fontId="12" fillId="11" borderId="2" xfId="1" applyFont="1" applyFill="1" applyBorder="1" applyAlignment="1" applyProtection="1">
      <alignment horizontal="center"/>
    </xf>
    <xf numFmtId="165" fontId="8" fillId="12" borderId="2" xfId="0" applyNumberFormat="1" applyFont="1" applyFill="1" applyBorder="1"/>
    <xf numFmtId="0" fontId="11" fillId="11" borderId="2" xfId="1" applyFont="1" applyFill="1" applyBorder="1" applyAlignment="1" applyProtection="1">
      <alignment horizontal="center"/>
    </xf>
    <xf numFmtId="0" fontId="1" fillId="9" borderId="2" xfId="1" applyFont="1" applyFill="1" applyBorder="1" applyAlignment="1" applyProtection="1">
      <alignment horizontal="center"/>
    </xf>
    <xf numFmtId="2" fontId="8" fillId="0" borderId="0" xfId="0" applyNumberFormat="1" applyFont="1"/>
    <xf numFmtId="0" fontId="1" fillId="11" borderId="2" xfId="1" applyFont="1" applyFill="1" applyBorder="1" applyAlignment="1" applyProtection="1">
      <alignment horizontal="center"/>
    </xf>
    <xf numFmtId="0" fontId="10" fillId="14" borderId="2" xfId="0" applyFont="1" applyFill="1" applyBorder="1" applyAlignment="1">
      <alignment horizontal="center" vertical="center" wrapText="1"/>
    </xf>
    <xf numFmtId="0" fontId="9" fillId="9" borderId="2" xfId="0" applyFont="1" applyFill="1" applyBorder="1" applyAlignment="1">
      <alignment horizontal="center"/>
    </xf>
    <xf numFmtId="165" fontId="8" fillId="16" borderId="2" xfId="0" applyNumberFormat="1" applyFont="1" applyFill="1" applyBorder="1"/>
    <xf numFmtId="0" fontId="13" fillId="18" borderId="2" xfId="0" applyFont="1" applyFill="1" applyBorder="1" applyAlignment="1">
      <alignment horizontal="center"/>
    </xf>
    <xf numFmtId="0" fontId="8" fillId="18" borderId="2" xfId="0" applyFont="1" applyFill="1" applyBorder="1"/>
    <xf numFmtId="0" fontId="8" fillId="18" borderId="2" xfId="0" applyFont="1" applyFill="1" applyBorder="1" applyAlignment="1">
      <alignment wrapText="1"/>
    </xf>
    <xf numFmtId="2" fontId="10" fillId="0" borderId="2" xfId="0" applyNumberFormat="1" applyFont="1" applyBorder="1" applyAlignment="1">
      <alignment horizontal="center"/>
    </xf>
    <xf numFmtId="0" fontId="80" fillId="0" borderId="0" xfId="16"/>
    <xf numFmtId="0" fontId="14" fillId="0" borderId="0" xfId="16" applyFont="1"/>
    <xf numFmtId="0" fontId="80" fillId="20" borderId="1" xfId="16" applyFill="1" applyBorder="1" applyAlignment="1">
      <alignment horizontal="center"/>
    </xf>
    <xf numFmtId="0" fontId="80" fillId="0" borderId="6" xfId="16" applyBorder="1"/>
    <xf numFmtId="0" fontId="80" fillId="0" borderId="7" xfId="16" applyBorder="1"/>
    <xf numFmtId="0" fontId="80" fillId="21" borderId="8" xfId="16" applyFill="1" applyBorder="1" applyAlignment="1">
      <alignment horizontal="center" wrapText="1"/>
    </xf>
    <xf numFmtId="0" fontId="80" fillId="20" borderId="11" xfId="16" applyFill="1" applyBorder="1" applyAlignment="1">
      <alignment horizontal="center"/>
    </xf>
    <xf numFmtId="0" fontId="80" fillId="0" borderId="12" xfId="16" applyBorder="1" applyAlignment="1">
      <alignment horizontal="center"/>
    </xf>
    <xf numFmtId="0" fontId="80" fillId="21" borderId="13" xfId="16" applyFill="1" applyBorder="1" applyAlignment="1">
      <alignment horizontal="center" wrapText="1"/>
    </xf>
    <xf numFmtId="0" fontId="6" fillId="0" borderId="0" xfId="16" applyFont="1"/>
    <xf numFmtId="0" fontId="80" fillId="23" borderId="16" xfId="16" applyFill="1" applyBorder="1" applyAlignment="1">
      <alignment wrapText="1"/>
    </xf>
    <xf numFmtId="0" fontId="80" fillId="23" borderId="18" xfId="16" applyFill="1" applyBorder="1" applyAlignment="1">
      <alignment wrapText="1"/>
    </xf>
    <xf numFmtId="0" fontId="80" fillId="23" borderId="20" xfId="16" applyFill="1" applyBorder="1" applyAlignment="1">
      <alignment wrapText="1"/>
    </xf>
    <xf numFmtId="0" fontId="15" fillId="0" borderId="0" xfId="16" applyFont="1"/>
    <xf numFmtId="0" fontId="14" fillId="0" borderId="0" xfId="0" applyFont="1"/>
    <xf numFmtId="0" fontId="0" fillId="26" borderId="16" xfId="0" applyFill="1" applyBorder="1" applyAlignment="1">
      <alignment horizontal="center"/>
    </xf>
    <xf numFmtId="2" fontId="0" fillId="0" borderId="25" xfId="0" applyNumberFormat="1" applyBorder="1"/>
    <xf numFmtId="0" fontId="0" fillId="0" borderId="12" xfId="0" applyBorder="1"/>
    <xf numFmtId="0" fontId="0" fillId="26" borderId="18" xfId="0" applyFill="1" applyBorder="1" applyAlignment="1">
      <alignment horizontal="center"/>
    </xf>
    <xf numFmtId="0" fontId="0" fillId="0" borderId="2" xfId="0" applyBorder="1" applyAlignment="1">
      <alignment horizontal="left" vertical="center" wrapText="1"/>
    </xf>
    <xf numFmtId="0" fontId="0" fillId="26" borderId="20" xfId="0" applyFill="1" applyBorder="1" applyAlignment="1">
      <alignment horizontal="center"/>
    </xf>
    <xf numFmtId="0" fontId="6" fillId="28" borderId="8" xfId="0" applyFont="1" applyFill="1" applyBorder="1"/>
    <xf numFmtId="0" fontId="0" fillId="29" borderId="29" xfId="0" applyFill="1" applyBorder="1"/>
    <xf numFmtId="0" fontId="0" fillId="29" borderId="30" xfId="0" applyFill="1" applyBorder="1"/>
    <xf numFmtId="0" fontId="6" fillId="28" borderId="31" xfId="0" applyFont="1" applyFill="1" applyBorder="1"/>
    <xf numFmtId="0" fontId="0" fillId="0" borderId="32" xfId="0" applyBorder="1" applyAlignment="1">
      <alignment horizontal="right"/>
    </xf>
    <xf numFmtId="0" fontId="0" fillId="0" borderId="33" xfId="0" applyBorder="1" applyAlignment="1">
      <alignment horizontal="left"/>
    </xf>
    <xf numFmtId="0" fontId="0" fillId="29" borderId="0" xfId="0" applyFill="1"/>
    <xf numFmtId="0" fontId="0" fillId="29" borderId="34" xfId="0" applyFill="1" applyBorder="1"/>
    <xf numFmtId="0" fontId="6" fillId="28" borderId="13" xfId="0" applyFont="1" applyFill="1" applyBorder="1"/>
    <xf numFmtId="0" fontId="0" fillId="29" borderId="37" xfId="0" applyFill="1" applyBorder="1"/>
    <xf numFmtId="0" fontId="0" fillId="29" borderId="38" xfId="0" applyFill="1" applyBorder="1"/>
    <xf numFmtId="0" fontId="0" fillId="29" borderId="39" xfId="0" applyFill="1" applyBorder="1"/>
    <xf numFmtId="0" fontId="0" fillId="31" borderId="16" xfId="0" applyFill="1" applyBorder="1" applyAlignment="1">
      <alignment vertical="center" wrapText="1"/>
    </xf>
    <xf numFmtId="0" fontId="0" fillId="31" borderId="18" xfId="0" applyFill="1" applyBorder="1" applyAlignment="1">
      <alignment vertical="center" wrapText="1"/>
    </xf>
    <xf numFmtId="0" fontId="0" fillId="0" borderId="0" xfId="0" applyAlignment="1">
      <alignment wrapText="1"/>
    </xf>
    <xf numFmtId="0" fontId="0" fillId="31" borderId="20" xfId="0" applyFill="1" applyBorder="1" applyAlignment="1">
      <alignment vertical="center" wrapText="1"/>
    </xf>
    <xf numFmtId="14" fontId="0" fillId="0" borderId="0" xfId="0" applyNumberFormat="1" applyAlignment="1">
      <alignment horizontal="left" wrapText="1"/>
    </xf>
    <xf numFmtId="0" fontId="0" fillId="0" borderId="0" xfId="0" applyAlignment="1">
      <alignment horizontal="left" wrapText="1"/>
    </xf>
    <xf numFmtId="14" fontId="6" fillId="0" borderId="0" xfId="0" applyNumberFormat="1" applyFont="1" applyAlignment="1">
      <alignment horizontal="left" wrapText="1"/>
    </xf>
    <xf numFmtId="14" fontId="6" fillId="33" borderId="8" xfId="0" applyNumberFormat="1" applyFont="1" applyFill="1" applyBorder="1" applyAlignment="1">
      <alignment horizontal="center" vertical="center" wrapText="1"/>
    </xf>
    <xf numFmtId="14" fontId="6" fillId="33" borderId="9" xfId="0" applyNumberFormat="1" applyFont="1" applyFill="1" applyBorder="1" applyAlignment="1">
      <alignment horizontal="center" vertical="center" wrapText="1"/>
    </xf>
    <xf numFmtId="0" fontId="6" fillId="33" borderId="2" xfId="0" applyFont="1" applyFill="1" applyBorder="1" applyAlignment="1">
      <alignment horizontal="center" vertical="center" wrapText="1"/>
    </xf>
    <xf numFmtId="0" fontId="6" fillId="0" borderId="0" xfId="0" applyFont="1" applyAlignment="1">
      <alignment horizontal="center" vertical="center" wrapText="1"/>
    </xf>
    <xf numFmtId="0" fontId="6" fillId="32" borderId="28" xfId="0" applyFont="1" applyFill="1" applyBorder="1"/>
    <xf numFmtId="2" fontId="0" fillId="0" borderId="2" xfId="0" applyNumberFormat="1" applyBorder="1"/>
    <xf numFmtId="2" fontId="0" fillId="0" borderId="19" xfId="0" applyNumberFormat="1" applyBorder="1"/>
    <xf numFmtId="0" fontId="6" fillId="32" borderId="48" xfId="0" applyFont="1" applyFill="1" applyBorder="1"/>
    <xf numFmtId="0" fontId="0" fillId="0" borderId="49" xfId="0" applyBorder="1"/>
    <xf numFmtId="14" fontId="6" fillId="33" borderId="13" xfId="0" applyNumberFormat="1" applyFont="1" applyFill="1" applyBorder="1" applyAlignment="1">
      <alignment horizontal="center" wrapText="1"/>
    </xf>
    <xf numFmtId="2" fontId="6" fillId="0" borderId="14" xfId="0" applyNumberFormat="1" applyFont="1" applyBorder="1" applyAlignment="1">
      <alignment horizontal="center" vertical="center"/>
    </xf>
    <xf numFmtId="3" fontId="6" fillId="0" borderId="14" xfId="0" applyNumberFormat="1" applyFont="1" applyBorder="1" applyAlignment="1">
      <alignment horizontal="center" vertical="center" wrapText="1"/>
    </xf>
    <xf numFmtId="4" fontId="6" fillId="0" borderId="14" xfId="0" applyNumberFormat="1" applyFont="1" applyBorder="1" applyAlignment="1">
      <alignment horizontal="center" vertical="center" wrapText="1"/>
    </xf>
    <xf numFmtId="2" fontId="0" fillId="0" borderId="0" xfId="0" applyNumberFormat="1" applyAlignment="1">
      <alignment horizontal="left" wrapText="1"/>
    </xf>
    <xf numFmtId="0" fontId="0" fillId="0" borderId="0" xfId="0" quotePrefix="1"/>
    <xf numFmtId="0" fontId="6" fillId="0" borderId="0" xfId="0" applyFont="1"/>
    <xf numFmtId="0" fontId="17" fillId="0" borderId="0" xfId="0" applyFont="1"/>
    <xf numFmtId="0" fontId="18" fillId="0" borderId="0" xfId="0" applyFont="1"/>
    <xf numFmtId="0" fontId="19" fillId="32" borderId="50" xfId="0" applyFont="1" applyFill="1" applyBorder="1" applyAlignment="1">
      <alignment horizontal="center" vertical="center" wrapText="1"/>
    </xf>
    <xf numFmtId="0" fontId="19" fillId="32" borderId="51" xfId="0" applyFont="1" applyFill="1" applyBorder="1" applyAlignment="1">
      <alignment horizontal="center" vertical="center" wrapText="1"/>
    </xf>
    <xf numFmtId="0" fontId="19" fillId="32" borderId="52" xfId="0" applyFont="1" applyFill="1" applyBorder="1" applyAlignment="1">
      <alignment horizontal="center" vertical="center" wrapText="1"/>
    </xf>
    <xf numFmtId="0" fontId="6" fillId="0" borderId="38" xfId="0" applyFont="1" applyBorder="1"/>
    <xf numFmtId="0" fontId="20" fillId="0" borderId="0" xfId="0" applyFont="1"/>
    <xf numFmtId="0" fontId="6" fillId="32" borderId="53" xfId="0" applyFont="1" applyFill="1" applyBorder="1" applyAlignment="1">
      <alignment horizontal="left"/>
    </xf>
    <xf numFmtId="0" fontId="0" fillId="0" borderId="2" xfId="0" applyBorder="1" applyAlignment="1">
      <alignment horizontal="left" indent="3"/>
    </xf>
    <xf numFmtId="3" fontId="0" fillId="0" borderId="2" xfId="0" applyNumberFormat="1" applyBorder="1"/>
    <xf numFmtId="0" fontId="0" fillId="0" borderId="2" xfId="0" applyBorder="1" applyAlignment="1">
      <alignment horizontal="center"/>
    </xf>
    <xf numFmtId="0" fontId="0" fillId="0" borderId="2" xfId="0" applyBorder="1"/>
    <xf numFmtId="0" fontId="0" fillId="0" borderId="54" xfId="0" applyBorder="1"/>
    <xf numFmtId="0" fontId="6" fillId="32" borderId="8" xfId="0" applyFont="1" applyFill="1" applyBorder="1"/>
    <xf numFmtId="0" fontId="6" fillId="32" borderId="9" xfId="0" applyFont="1" applyFill="1" applyBorder="1"/>
    <xf numFmtId="0" fontId="6" fillId="32" borderId="10" xfId="0" applyFont="1" applyFill="1" applyBorder="1"/>
    <xf numFmtId="0" fontId="17" fillId="0" borderId="19" xfId="0" quotePrefix="1" applyFont="1" applyBorder="1"/>
    <xf numFmtId="0" fontId="17" fillId="0" borderId="19" xfId="0" applyFont="1" applyBorder="1"/>
    <xf numFmtId="0" fontId="6" fillId="32" borderId="53" xfId="0" applyFont="1" applyFill="1" applyBorder="1"/>
    <xf numFmtId="0" fontId="0" fillId="0" borderId="30" xfId="0" applyBorder="1"/>
    <xf numFmtId="0" fontId="6" fillId="32" borderId="13" xfId="0" applyFont="1" applyFill="1" applyBorder="1"/>
    <xf numFmtId="0" fontId="0" fillId="0" borderId="14" xfId="0" applyBorder="1"/>
    <xf numFmtId="0" fontId="0" fillId="0" borderId="15" xfId="0" applyBorder="1"/>
    <xf numFmtId="0" fontId="6" fillId="32" borderId="55" xfId="0" applyFont="1" applyFill="1" applyBorder="1"/>
    <xf numFmtId="0" fontId="6" fillId="32" borderId="56" xfId="0" applyFont="1" applyFill="1" applyBorder="1"/>
    <xf numFmtId="0" fontId="6" fillId="32" borderId="57" xfId="0" applyFont="1" applyFill="1" applyBorder="1"/>
    <xf numFmtId="0" fontId="6" fillId="32" borderId="58" xfId="0" applyFont="1" applyFill="1" applyBorder="1"/>
    <xf numFmtId="0" fontId="0" fillId="0" borderId="59" xfId="0" applyBorder="1"/>
    <xf numFmtId="0" fontId="21" fillId="0" borderId="59" xfId="0" quotePrefix="1" applyFont="1" applyBorder="1" applyAlignment="1">
      <alignment horizontal="left"/>
    </xf>
    <xf numFmtId="0" fontId="17" fillId="0" borderId="60" xfId="0" applyFont="1" applyBorder="1"/>
    <xf numFmtId="0" fontId="21" fillId="0" borderId="60" xfId="0" quotePrefix="1" applyFont="1" applyBorder="1" applyAlignment="1">
      <alignment horizontal="left"/>
    </xf>
    <xf numFmtId="0" fontId="17" fillId="0" borderId="2" xfId="0" applyFont="1" applyBorder="1"/>
    <xf numFmtId="0" fontId="0" fillId="0" borderId="61" xfId="0" applyBorder="1"/>
    <xf numFmtId="0" fontId="6" fillId="32" borderId="62" xfId="0" applyFont="1" applyFill="1" applyBorder="1"/>
    <xf numFmtId="0" fontId="0" fillId="0" borderId="63" xfId="0" applyBorder="1"/>
    <xf numFmtId="0" fontId="0" fillId="0" borderId="29" xfId="0" applyBorder="1"/>
    <xf numFmtId="0" fontId="6" fillId="32" borderId="64" xfId="0" applyFont="1" applyFill="1" applyBorder="1"/>
    <xf numFmtId="0" fontId="6" fillId="0" borderId="65" xfId="0" applyFont="1" applyBorder="1"/>
    <xf numFmtId="0" fontId="0" fillId="0" borderId="65" xfId="0" applyBorder="1"/>
    <xf numFmtId="0" fontId="1" fillId="0" borderId="66" xfId="0" applyFont="1" applyBorder="1" applyAlignment="1">
      <alignment horizontal="left"/>
    </xf>
    <xf numFmtId="0" fontId="17" fillId="0" borderId="49" xfId="0" applyFont="1" applyBorder="1"/>
    <xf numFmtId="0" fontId="0" fillId="0" borderId="67" xfId="0" applyBorder="1"/>
    <xf numFmtId="0" fontId="0" fillId="16" borderId="4" xfId="0" applyFill="1" applyBorder="1"/>
    <xf numFmtId="0" fontId="0" fillId="16" borderId="5" xfId="0" applyFill="1" applyBorder="1"/>
    <xf numFmtId="0" fontId="6" fillId="16" borderId="3" xfId="0" applyFont="1" applyFill="1" applyBorder="1"/>
    <xf numFmtId="0" fontId="6" fillId="16" borderId="5" xfId="0" applyFont="1" applyFill="1" applyBorder="1"/>
    <xf numFmtId="0" fontId="6" fillId="0" borderId="0" xfId="0" applyFont="1" applyAlignment="1">
      <alignment horizontal="center"/>
    </xf>
    <xf numFmtId="0" fontId="6" fillId="32" borderId="50" xfId="0" applyFont="1" applyFill="1" applyBorder="1"/>
    <xf numFmtId="0" fontId="6" fillId="32" borderId="51" xfId="0" applyFont="1" applyFill="1" applyBorder="1"/>
    <xf numFmtId="0" fontId="6" fillId="32" borderId="52" xfId="0" applyFont="1" applyFill="1" applyBorder="1"/>
    <xf numFmtId="0" fontId="6" fillId="32" borderId="69" xfId="0" applyFont="1" applyFill="1" applyBorder="1"/>
    <xf numFmtId="0" fontId="0" fillId="0" borderId="70" xfId="0" applyBorder="1"/>
    <xf numFmtId="0" fontId="0" fillId="0" borderId="71" xfId="0" applyBorder="1"/>
    <xf numFmtId="0" fontId="22" fillId="0" borderId="0" xfId="0" applyFont="1"/>
    <xf numFmtId="0" fontId="6" fillId="32" borderId="72" xfId="0" applyFont="1" applyFill="1" applyBorder="1"/>
    <xf numFmtId="0" fontId="0" fillId="34" borderId="73" xfId="0" applyFill="1" applyBorder="1"/>
    <xf numFmtId="4" fontId="0" fillId="34" borderId="73" xfId="0" applyNumberFormat="1" applyFill="1" applyBorder="1"/>
    <xf numFmtId="3" fontId="0" fillId="0" borderId="60" xfId="0" applyNumberFormat="1" applyBorder="1"/>
    <xf numFmtId="0" fontId="6" fillId="32" borderId="74" xfId="0" applyFont="1" applyFill="1" applyBorder="1"/>
    <xf numFmtId="3" fontId="0" fillId="0" borderId="75" xfId="0" applyNumberFormat="1" applyBorder="1"/>
    <xf numFmtId="3" fontId="6" fillId="0" borderId="75" xfId="0" applyNumberFormat="1" applyFont="1" applyBorder="1"/>
    <xf numFmtId="0" fontId="6" fillId="32" borderId="76" xfId="0" applyFont="1" applyFill="1" applyBorder="1"/>
    <xf numFmtId="4" fontId="6" fillId="0" borderId="66" xfId="0" applyNumberFormat="1" applyFont="1" applyBorder="1"/>
    <xf numFmtId="0" fontId="23" fillId="0" borderId="0" xfId="0" applyFont="1"/>
    <xf numFmtId="0" fontId="24" fillId="0" borderId="0" xfId="0" applyFont="1"/>
    <xf numFmtId="0" fontId="25" fillId="32" borderId="8" xfId="0" applyFont="1" applyFill="1" applyBorder="1" applyAlignment="1">
      <alignment horizontal="left"/>
    </xf>
    <xf numFmtId="0" fontId="25" fillId="32" borderId="9" xfId="0" applyFont="1" applyFill="1" applyBorder="1" applyAlignment="1">
      <alignment horizontal="center" wrapText="1"/>
    </xf>
    <xf numFmtId="0" fontId="25" fillId="32" borderId="10" xfId="0" applyFont="1" applyFill="1" applyBorder="1" applyAlignment="1">
      <alignment horizontal="center" wrapText="1"/>
    </xf>
    <xf numFmtId="0" fontId="25" fillId="32" borderId="28" xfId="0" applyFont="1" applyFill="1" applyBorder="1" applyAlignment="1">
      <alignment horizontal="left"/>
    </xf>
    <xf numFmtId="3" fontId="23" fillId="0" borderId="2" xfId="0" applyNumberFormat="1" applyFont="1" applyBorder="1" applyAlignment="1">
      <alignment horizontal="right" wrapText="1" indent="1"/>
    </xf>
    <xf numFmtId="0" fontId="25" fillId="32" borderId="13" xfId="0" applyFont="1" applyFill="1" applyBorder="1" applyAlignment="1">
      <alignment horizontal="left"/>
    </xf>
    <xf numFmtId="3" fontId="25" fillId="0" borderId="14" xfId="0" applyNumberFormat="1" applyFont="1" applyBorder="1" applyAlignment="1">
      <alignment horizontal="right" wrapText="1" indent="1"/>
    </xf>
    <xf numFmtId="0" fontId="17" fillId="0" borderId="15" xfId="0" applyFont="1" applyBorder="1"/>
    <xf numFmtId="3" fontId="23" fillId="0" borderId="0" xfId="0" applyNumberFormat="1" applyFont="1"/>
    <xf numFmtId="3" fontId="23" fillId="0" borderId="0" xfId="0" applyNumberFormat="1" applyFont="1" applyAlignment="1">
      <alignment horizontal="right"/>
    </xf>
    <xf numFmtId="0" fontId="9" fillId="0" borderId="0" xfId="0" applyFont="1" applyAlignment="1">
      <alignment horizontal="left"/>
    </xf>
    <xf numFmtId="3" fontId="23" fillId="0" borderId="19" xfId="0" applyNumberFormat="1" applyFont="1" applyBorder="1" applyAlignment="1">
      <alignment horizontal="right" wrapText="1" indent="1"/>
    </xf>
    <xf numFmtId="0" fontId="23" fillId="0" borderId="0" xfId="0" applyFont="1" applyAlignment="1">
      <alignment horizontal="right" wrapText="1"/>
    </xf>
    <xf numFmtId="3" fontId="23" fillId="0" borderId="15" xfId="0" applyNumberFormat="1" applyFont="1" applyBorder="1" applyAlignment="1">
      <alignment horizontal="right" wrapText="1" indent="1"/>
    </xf>
    <xf numFmtId="3" fontId="23" fillId="0" borderId="0" xfId="0" applyNumberFormat="1" applyFont="1" applyAlignment="1">
      <alignment horizontal="right" wrapText="1" indent="1"/>
    </xf>
    <xf numFmtId="0" fontId="23" fillId="0" borderId="0" xfId="0" applyFont="1" applyAlignment="1">
      <alignment horizontal="left"/>
    </xf>
    <xf numFmtId="0" fontId="26" fillId="32" borderId="77" xfId="0" applyFont="1" applyFill="1" applyBorder="1" applyAlignment="1">
      <alignment horizontal="left" vertical="center" wrapText="1"/>
    </xf>
    <xf numFmtId="0" fontId="26" fillId="32" borderId="78" xfId="0" applyFont="1" applyFill="1" applyBorder="1" applyAlignment="1">
      <alignment horizontal="left" vertical="center" wrapText="1"/>
    </xf>
    <xf numFmtId="0" fontId="26" fillId="32" borderId="7" xfId="0" applyFont="1" applyFill="1" applyBorder="1" applyAlignment="1">
      <alignment horizontal="center" wrapText="1"/>
    </xf>
    <xf numFmtId="0" fontId="26" fillId="32" borderId="2" xfId="0" applyFont="1" applyFill="1" applyBorder="1" applyAlignment="1">
      <alignment horizontal="center" wrapText="1"/>
    </xf>
    <xf numFmtId="0" fontId="26" fillId="32" borderId="49" xfId="0" applyFont="1" applyFill="1" applyBorder="1" applyAlignment="1">
      <alignment horizontal="center" wrapText="1"/>
    </xf>
    <xf numFmtId="0" fontId="26" fillId="32" borderId="79" xfId="0" applyFont="1" applyFill="1" applyBorder="1" applyAlignment="1">
      <alignment horizontal="center"/>
    </xf>
    <xf numFmtId="0" fontId="26" fillId="32" borderId="13" xfId="0" applyFont="1" applyFill="1" applyBorder="1" applyAlignment="1">
      <alignment vertical="center" wrapText="1"/>
    </xf>
    <xf numFmtId="0" fontId="4" fillId="0" borderId="14" xfId="0" applyFont="1" applyBorder="1" applyAlignment="1">
      <alignment horizontal="center"/>
    </xf>
    <xf numFmtId="0" fontId="4" fillId="0" borderId="80" xfId="0" applyFont="1" applyBorder="1" applyAlignment="1">
      <alignment horizontal="center"/>
    </xf>
    <xf numFmtId="0" fontId="4" fillId="0" borderId="14" xfId="0" applyFont="1" applyBorder="1" applyAlignment="1">
      <alignment horizontal="center" wrapText="1"/>
    </xf>
    <xf numFmtId="9" fontId="4" fillId="0" borderId="45" xfId="0" applyNumberFormat="1" applyFont="1" applyBorder="1"/>
    <xf numFmtId="0" fontId="27" fillId="0" borderId="0" xfId="0" applyFont="1"/>
    <xf numFmtId="0" fontId="26" fillId="32" borderId="40" xfId="0" applyFont="1" applyFill="1" applyBorder="1" applyAlignment="1">
      <alignment horizontal="left"/>
    </xf>
    <xf numFmtId="0" fontId="26" fillId="32" borderId="9" xfId="0" applyFont="1" applyFill="1" applyBorder="1" applyAlignment="1">
      <alignment horizontal="center"/>
    </xf>
    <xf numFmtId="0" fontId="26" fillId="32" borderId="10" xfId="0" applyFont="1" applyFill="1" applyBorder="1" applyAlignment="1">
      <alignment horizontal="center"/>
    </xf>
    <xf numFmtId="0" fontId="26" fillId="32" borderId="81" xfId="0" applyFont="1" applyFill="1" applyBorder="1"/>
    <xf numFmtId="0" fontId="4" fillId="0" borderId="82" xfId="0" applyFont="1" applyBorder="1" applyAlignment="1">
      <alignment horizontal="right"/>
    </xf>
    <xf numFmtId="9" fontId="4" fillId="0" borderId="83" xfId="0" applyNumberFormat="1" applyFont="1" applyBorder="1"/>
    <xf numFmtId="0" fontId="26" fillId="32" borderId="37" xfId="0" applyFont="1" applyFill="1" applyBorder="1"/>
    <xf numFmtId="0" fontId="4" fillId="0" borderId="84" xfId="0" applyFont="1" applyBorder="1" applyAlignment="1">
      <alignment horizontal="right"/>
    </xf>
    <xf numFmtId="9" fontId="4" fillId="0" borderId="36" xfId="0" applyNumberFormat="1" applyFont="1" applyBorder="1"/>
    <xf numFmtId="0" fontId="24" fillId="0" borderId="0" xfId="0" applyFont="1" applyAlignment="1">
      <alignment horizontal="center" vertical="center"/>
    </xf>
    <xf numFmtId="0" fontId="23" fillId="0" borderId="0" xfId="0" applyFont="1" applyAlignment="1">
      <alignment horizontal="right"/>
    </xf>
    <xf numFmtId="0" fontId="28" fillId="0" borderId="0" xfId="0" applyFont="1" applyAlignment="1">
      <alignment horizontal="center" wrapText="1"/>
    </xf>
    <xf numFmtId="0" fontId="29" fillId="0" borderId="0" xfId="0" applyFont="1"/>
    <xf numFmtId="0" fontId="30" fillId="32" borderId="22" xfId="0" applyFont="1" applyFill="1" applyBorder="1" applyAlignment="1">
      <alignment wrapText="1"/>
    </xf>
    <xf numFmtId="166" fontId="23" fillId="0" borderId="4" xfId="0" applyNumberFormat="1" applyFont="1" applyBorder="1" applyAlignment="1">
      <alignment horizontal="right" wrapText="1" indent="1"/>
    </xf>
    <xf numFmtId="0" fontId="23" fillId="0" borderId="24" xfId="0" applyFont="1" applyBorder="1"/>
    <xf numFmtId="0" fontId="24" fillId="0" borderId="0" xfId="0" quotePrefix="1" applyFont="1"/>
    <xf numFmtId="0" fontId="28" fillId="0" borderId="0" xfId="0" applyFont="1" applyAlignment="1">
      <alignment horizontal="left"/>
    </xf>
    <xf numFmtId="1" fontId="23" fillId="0" borderId="0" xfId="0" applyNumberFormat="1" applyFont="1"/>
    <xf numFmtId="0" fontId="26" fillId="32" borderId="8" xfId="0" applyFont="1" applyFill="1" applyBorder="1" applyAlignment="1">
      <alignment horizontal="center"/>
    </xf>
    <xf numFmtId="167" fontId="23" fillId="0" borderId="15" xfId="0" applyNumberFormat="1" applyFont="1" applyBorder="1" applyAlignment="1">
      <alignment horizontal="right" wrapText="1" indent="1"/>
    </xf>
    <xf numFmtId="0" fontId="17" fillId="0" borderId="0" xfId="14" applyFont="1"/>
    <xf numFmtId="0" fontId="31" fillId="0" borderId="0" xfId="0" applyFont="1"/>
    <xf numFmtId="0" fontId="6" fillId="32" borderId="8" xfId="0" applyFont="1" applyFill="1" applyBorder="1" applyAlignment="1">
      <alignment wrapText="1"/>
    </xf>
    <xf numFmtId="0" fontId="6" fillId="32" borderId="9" xfId="0" applyFont="1" applyFill="1" applyBorder="1" applyAlignment="1">
      <alignment wrapText="1"/>
    </xf>
    <xf numFmtId="0" fontId="6" fillId="32" borderId="10" xfId="0" applyFont="1" applyFill="1" applyBorder="1" applyAlignment="1">
      <alignment wrapText="1"/>
    </xf>
    <xf numFmtId="0" fontId="6" fillId="32" borderId="28" xfId="0" applyFont="1" applyFill="1" applyBorder="1" applyAlignment="1">
      <alignment wrapText="1"/>
    </xf>
    <xf numFmtId="0" fontId="0" fillId="0" borderId="2" xfId="0" applyBorder="1" applyAlignment="1">
      <alignment wrapText="1"/>
    </xf>
    <xf numFmtId="0" fontId="0" fillId="0" borderId="19" xfId="0" applyBorder="1" applyAlignment="1">
      <alignment wrapText="1"/>
    </xf>
    <xf numFmtId="3" fontId="25" fillId="32" borderId="13" xfId="0" applyNumberFormat="1"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17" fillId="0" borderId="0" xfId="14" applyFont="1" applyAlignment="1">
      <alignment wrapText="1"/>
    </xf>
    <xf numFmtId="0" fontId="16" fillId="14" borderId="8" xfId="14" applyFont="1" applyFill="1" applyBorder="1" applyAlignment="1">
      <alignment wrapText="1"/>
    </xf>
    <xf numFmtId="0" fontId="16" fillId="14" borderId="9" xfId="14" applyFont="1" applyFill="1" applyBorder="1" applyAlignment="1">
      <alignment wrapText="1"/>
    </xf>
    <xf numFmtId="0" fontId="16" fillId="14" borderId="10" xfId="14" applyFont="1" applyFill="1" applyBorder="1"/>
    <xf numFmtId="0" fontId="6" fillId="14" borderId="28" xfId="0" applyFont="1" applyFill="1" applyBorder="1"/>
    <xf numFmtId="0" fontId="17" fillId="0" borderId="2" xfId="14" applyFont="1" applyBorder="1" applyAlignment="1">
      <alignment wrapText="1"/>
    </xf>
    <xf numFmtId="0" fontId="17" fillId="0" borderId="19" xfId="14" applyFont="1" applyBorder="1" applyAlignment="1">
      <alignment wrapText="1"/>
    </xf>
    <xf numFmtId="0" fontId="6" fillId="14" borderId="13" xfId="0" applyFont="1" applyFill="1" applyBorder="1"/>
    <xf numFmtId="0" fontId="17" fillId="0" borderId="14" xfId="14" applyFont="1" applyBorder="1" applyAlignment="1">
      <alignment wrapText="1"/>
    </xf>
    <xf numFmtId="0" fontId="17" fillId="0" borderId="15" xfId="14" applyFont="1" applyBorder="1" applyAlignment="1">
      <alignment wrapText="1"/>
    </xf>
    <xf numFmtId="0" fontId="18" fillId="0" borderId="0" xfId="14" applyFont="1"/>
    <xf numFmtId="0" fontId="80" fillId="0" borderId="0" xfId="14"/>
    <xf numFmtId="0" fontId="6" fillId="14" borderId="8" xfId="14" applyFont="1" applyFill="1" applyBorder="1"/>
    <xf numFmtId="0" fontId="6" fillId="14" borderId="10" xfId="14" applyFont="1" applyFill="1" applyBorder="1"/>
    <xf numFmtId="0" fontId="6" fillId="14" borderId="28" xfId="14" applyFont="1" applyFill="1" applyBorder="1"/>
    <xf numFmtId="1" fontId="80" fillId="0" borderId="19" xfId="14" applyNumberFormat="1" applyBorder="1"/>
    <xf numFmtId="0" fontId="6" fillId="14" borderId="13" xfId="14" applyFont="1" applyFill="1" applyBorder="1"/>
    <xf numFmtId="1" fontId="80" fillId="0" borderId="15" xfId="14" applyNumberFormat="1" applyBorder="1"/>
    <xf numFmtId="0" fontId="0" fillId="0" borderId="10" xfId="0" applyBorder="1" applyAlignment="1">
      <alignment wrapText="1"/>
    </xf>
    <xf numFmtId="3" fontId="0" fillId="0" borderId="0" xfId="0" applyNumberFormat="1"/>
    <xf numFmtId="0" fontId="0" fillId="0" borderId="0" xfId="0" applyAlignment="1">
      <alignment horizontal="center"/>
    </xf>
    <xf numFmtId="0" fontId="6" fillId="14" borderId="28" xfId="0" applyFont="1" applyFill="1" applyBorder="1" applyAlignment="1">
      <alignment wrapText="1"/>
    </xf>
    <xf numFmtId="1" fontId="80" fillId="0" borderId="19" xfId="14" applyNumberFormat="1" applyBorder="1" applyAlignment="1">
      <alignment wrapText="1"/>
    </xf>
    <xf numFmtId="0" fontId="6" fillId="14" borderId="13" xfId="0" applyFont="1" applyFill="1" applyBorder="1" applyAlignment="1">
      <alignment wrapText="1"/>
    </xf>
    <xf numFmtId="1" fontId="80" fillId="0" borderId="9" xfId="14" applyNumberFormat="1" applyBorder="1"/>
    <xf numFmtId="0" fontId="80" fillId="0" borderId="10" xfId="14" applyBorder="1"/>
    <xf numFmtId="0" fontId="6" fillId="0" borderId="0" xfId="14" applyFont="1"/>
    <xf numFmtId="0" fontId="6" fillId="16" borderId="14" xfId="14" applyFont="1" applyFill="1" applyBorder="1"/>
    <xf numFmtId="0" fontId="6" fillId="16" borderId="15" xfId="14" applyFont="1" applyFill="1" applyBorder="1"/>
    <xf numFmtId="2" fontId="0" fillId="0" borderId="0" xfId="0" applyNumberFormat="1"/>
    <xf numFmtId="0" fontId="6" fillId="32" borderId="77" xfId="0" applyFont="1" applyFill="1" applyBorder="1"/>
    <xf numFmtId="0" fontId="6" fillId="32" borderId="27" xfId="0" applyFont="1" applyFill="1" applyBorder="1"/>
    <xf numFmtId="0" fontId="0" fillId="0" borderId="9" xfId="0" applyBorder="1"/>
    <xf numFmtId="0" fontId="0" fillId="0" borderId="2" xfId="0" quotePrefix="1" applyBorder="1"/>
    <xf numFmtId="0" fontId="0" fillId="0" borderId="15" xfId="0" quotePrefix="1" applyBorder="1"/>
    <xf numFmtId="3" fontId="23" fillId="0" borderId="0" xfId="0" applyNumberFormat="1" applyFont="1" applyAlignment="1">
      <alignment horizontal="left" indent="1"/>
    </xf>
    <xf numFmtId="1" fontId="0" fillId="0" borderId="19" xfId="0" applyNumberFormat="1" applyBorder="1" applyAlignment="1">
      <alignment wrapText="1"/>
    </xf>
    <xf numFmtId="0" fontId="6" fillId="32" borderId="13" xfId="0" applyFont="1" applyFill="1" applyBorder="1" applyAlignment="1">
      <alignment wrapText="1"/>
    </xf>
    <xf numFmtId="0" fontId="6" fillId="32" borderId="3" xfId="0" applyFont="1" applyFill="1" applyBorder="1" applyAlignment="1">
      <alignment wrapText="1"/>
    </xf>
    <xf numFmtId="0" fontId="6" fillId="16" borderId="4" xfId="0" applyFont="1" applyFill="1" applyBorder="1"/>
    <xf numFmtId="0" fontId="0" fillId="0" borderId="5" xfId="0" applyBorder="1"/>
    <xf numFmtId="168" fontId="0" fillId="0" borderId="40" xfId="0" applyNumberFormat="1" applyBorder="1"/>
    <xf numFmtId="0" fontId="0" fillId="0" borderId="42" xfId="0" applyBorder="1"/>
    <xf numFmtId="0" fontId="0" fillId="0" borderId="39" xfId="0" applyBorder="1"/>
    <xf numFmtId="0" fontId="6" fillId="33" borderId="28" xfId="0" applyFont="1" applyFill="1" applyBorder="1" applyAlignment="1">
      <alignment horizontal="center" vertical="center" wrapText="1"/>
    </xf>
    <xf numFmtId="0" fontId="6" fillId="33" borderId="19" xfId="0" applyFont="1" applyFill="1" applyBorder="1" applyAlignment="1">
      <alignment horizontal="center" vertical="center" wrapText="1"/>
    </xf>
    <xf numFmtId="0" fontId="6" fillId="32" borderId="78" xfId="0" applyFont="1" applyFill="1" applyBorder="1"/>
    <xf numFmtId="0" fontId="0" fillId="0" borderId="19" xfId="0" applyBorder="1"/>
    <xf numFmtId="2" fontId="0" fillId="0" borderId="49" xfId="0" applyNumberFormat="1" applyBorder="1"/>
    <xf numFmtId="2" fontId="6" fillId="0" borderId="14" xfId="0" applyNumberFormat="1" applyFont="1" applyBorder="1" applyAlignment="1">
      <alignment horizontal="center" vertical="center" wrapText="1"/>
    </xf>
    <xf numFmtId="0" fontId="19" fillId="32" borderId="8" xfId="0" applyFont="1" applyFill="1" applyBorder="1" applyAlignment="1">
      <alignment horizontal="center" vertical="center" wrapText="1"/>
    </xf>
    <xf numFmtId="0" fontId="19" fillId="32" borderId="9" xfId="0" applyFont="1" applyFill="1" applyBorder="1" applyAlignment="1">
      <alignment horizontal="center" vertical="center" wrapText="1"/>
    </xf>
    <xf numFmtId="0" fontId="19" fillId="32" borderId="10" xfId="0" applyFont="1" applyFill="1" applyBorder="1" applyAlignment="1">
      <alignment horizontal="center" vertical="center" wrapText="1"/>
    </xf>
    <xf numFmtId="0" fontId="6" fillId="32" borderId="28" xfId="0" applyFont="1" applyFill="1" applyBorder="1" applyAlignment="1">
      <alignment horizontal="left"/>
    </xf>
    <xf numFmtId="0" fontId="6" fillId="32" borderId="13" xfId="0" applyFont="1" applyFill="1" applyBorder="1" applyAlignment="1">
      <alignment horizontal="left"/>
    </xf>
    <xf numFmtId="0" fontId="0" fillId="0" borderId="14" xfId="0" applyBorder="1" applyAlignment="1">
      <alignment horizontal="left" indent="3"/>
    </xf>
    <xf numFmtId="3" fontId="0" fillId="0" borderId="14" xfId="0" applyNumberFormat="1" applyBorder="1"/>
    <xf numFmtId="0" fontId="0" fillId="0" borderId="14" xfId="0" applyBorder="1" applyAlignment="1">
      <alignment horizontal="center"/>
    </xf>
    <xf numFmtId="0" fontId="0" fillId="16" borderId="78" xfId="0" applyFill="1" applyBorder="1"/>
    <xf numFmtId="0" fontId="0" fillId="16" borderId="86" xfId="0" applyFill="1" applyBorder="1"/>
    <xf numFmtId="166" fontId="0" fillId="0" borderId="0" xfId="0" applyNumberFormat="1"/>
    <xf numFmtId="0" fontId="6" fillId="16" borderId="13" xfId="0" applyFont="1" applyFill="1" applyBorder="1"/>
    <xf numFmtId="0" fontId="6" fillId="16" borderId="15" xfId="0" applyFont="1" applyFill="1" applyBorder="1"/>
    <xf numFmtId="4" fontId="0" fillId="0" borderId="66" xfId="0" applyNumberFormat="1" applyBorder="1"/>
    <xf numFmtId="0" fontId="25" fillId="35" borderId="8" xfId="0" applyFont="1" applyFill="1" applyBorder="1" applyAlignment="1">
      <alignment horizontal="left"/>
    </xf>
    <xf numFmtId="0" fontId="25" fillId="35" borderId="9" xfId="0" applyFont="1" applyFill="1" applyBorder="1" applyAlignment="1">
      <alignment horizontal="center" wrapText="1"/>
    </xf>
    <xf numFmtId="0" fontId="25" fillId="35" borderId="10" xfId="0" applyFont="1" applyFill="1" applyBorder="1" applyAlignment="1">
      <alignment horizontal="center" wrapText="1"/>
    </xf>
    <xf numFmtId="0" fontId="25" fillId="36" borderId="28" xfId="0" applyFont="1" applyFill="1" applyBorder="1" applyAlignment="1">
      <alignment horizontal="left"/>
    </xf>
    <xf numFmtId="0" fontId="25" fillId="35" borderId="13" xfId="0" applyFont="1" applyFill="1" applyBorder="1" applyAlignment="1">
      <alignment horizontal="left"/>
    </xf>
    <xf numFmtId="3" fontId="23" fillId="37" borderId="14" xfId="0" applyNumberFormat="1" applyFont="1" applyFill="1" applyBorder="1" applyAlignment="1">
      <alignment horizontal="right" wrapText="1" indent="1"/>
    </xf>
    <xf numFmtId="0" fontId="17" fillId="0" borderId="0" xfId="0" applyFont="1" applyAlignment="1">
      <alignment horizontal="left"/>
    </xf>
    <xf numFmtId="0" fontId="26" fillId="32" borderId="77" xfId="0" applyFont="1" applyFill="1" applyBorder="1" applyAlignment="1">
      <alignment horizontal="left" vertical="top" wrapText="1"/>
    </xf>
    <xf numFmtId="0" fontId="26" fillId="32" borderId="26" xfId="0" applyFont="1" applyFill="1" applyBorder="1" applyAlignment="1">
      <alignment horizontal="center" wrapText="1"/>
    </xf>
    <xf numFmtId="0" fontId="26" fillId="32" borderId="30" xfId="0" applyFont="1" applyFill="1" applyBorder="1"/>
    <xf numFmtId="0" fontId="26" fillId="32" borderId="78" xfId="0" applyFont="1" applyFill="1" applyBorder="1" applyAlignment="1">
      <alignment horizontal="left" vertical="top" wrapText="1"/>
    </xf>
    <xf numFmtId="0" fontId="26" fillId="32" borderId="87" xfId="0" applyFont="1" applyFill="1" applyBorder="1" applyAlignment="1">
      <alignment horizontal="center" wrapText="1"/>
    </xf>
    <xf numFmtId="0" fontId="26" fillId="32" borderId="88" xfId="0" applyFont="1" applyFill="1" applyBorder="1" applyAlignment="1">
      <alignment horizontal="center"/>
    </xf>
    <xf numFmtId="0" fontId="26" fillId="32" borderId="78" xfId="0" applyFont="1" applyFill="1" applyBorder="1"/>
    <xf numFmtId="0" fontId="4" fillId="0" borderId="87" xfId="0" applyFont="1" applyBorder="1" applyAlignment="1">
      <alignment horizontal="right"/>
    </xf>
    <xf numFmtId="9" fontId="4" fillId="0" borderId="86" xfId="0" applyNumberFormat="1" applyFont="1" applyBorder="1"/>
    <xf numFmtId="0" fontId="26" fillId="32" borderId="28" xfId="0" applyFont="1" applyFill="1" applyBorder="1" applyAlignment="1">
      <alignment horizontal="left"/>
    </xf>
    <xf numFmtId="0" fontId="4" fillId="0" borderId="2" xfId="0" applyFont="1" applyBorder="1" applyAlignment="1">
      <alignment horizontal="right"/>
    </xf>
    <xf numFmtId="9" fontId="4" fillId="0" borderId="19" xfId="0" applyNumberFormat="1" applyFont="1" applyBorder="1"/>
    <xf numFmtId="0" fontId="26" fillId="32" borderId="13" xfId="0" applyFont="1" applyFill="1" applyBorder="1"/>
    <xf numFmtId="0" fontId="4" fillId="0" borderId="14" xfId="0" applyFont="1" applyBorder="1" applyAlignment="1">
      <alignment horizontal="right"/>
    </xf>
    <xf numFmtId="9" fontId="4" fillId="0" borderId="15" xfId="0" applyNumberFormat="1" applyFont="1" applyBorder="1"/>
    <xf numFmtId="0" fontId="6" fillId="14" borderId="3" xfId="0" applyFont="1" applyFill="1" applyBorder="1"/>
    <xf numFmtId="0" fontId="0" fillId="0" borderId="4" xfId="0" applyBorder="1"/>
    <xf numFmtId="0" fontId="16" fillId="32" borderId="8" xfId="0" applyFont="1" applyFill="1" applyBorder="1" applyAlignment="1">
      <alignment wrapText="1"/>
    </xf>
    <xf numFmtId="0" fontId="16" fillId="32" borderId="9" xfId="0" applyFont="1" applyFill="1" applyBorder="1" applyAlignment="1">
      <alignment wrapText="1"/>
    </xf>
    <xf numFmtId="0" fontId="16" fillId="32" borderId="10" xfId="0" applyFont="1" applyFill="1" applyBorder="1" applyAlignment="1">
      <alignment wrapText="1"/>
    </xf>
    <xf numFmtId="0" fontId="0" fillId="0" borderId="13" xfId="0" applyBorder="1" applyAlignment="1">
      <alignment wrapText="1"/>
    </xf>
    <xf numFmtId="0" fontId="0" fillId="0" borderId="15" xfId="0" quotePrefix="1" applyBorder="1" applyAlignment="1">
      <alignment wrapText="1"/>
    </xf>
    <xf numFmtId="0" fontId="6" fillId="32" borderId="3" xfId="0" applyFont="1" applyFill="1" applyBorder="1"/>
    <xf numFmtId="0" fontId="6" fillId="0" borderId="0" xfId="0" applyFont="1" applyAlignment="1">
      <alignment horizontal="left"/>
    </xf>
    <xf numFmtId="0" fontId="0" fillId="0" borderId="0" xfId="0" applyAlignment="1">
      <alignment horizontal="left" indent="3"/>
    </xf>
    <xf numFmtId="0" fontId="0" fillId="0" borderId="10" xfId="0" applyBorder="1"/>
    <xf numFmtId="0" fontId="32" fillId="0" borderId="0" xfId="0" applyFont="1"/>
    <xf numFmtId="0" fontId="6" fillId="16" borderId="28" xfId="0" applyFont="1" applyFill="1" applyBorder="1"/>
    <xf numFmtId="0" fontId="6" fillId="16" borderId="2" xfId="0" applyFont="1" applyFill="1" applyBorder="1"/>
    <xf numFmtId="0" fontId="6" fillId="16" borderId="19" xfId="0" applyFont="1" applyFill="1" applyBorder="1"/>
    <xf numFmtId="0" fontId="1" fillId="0" borderId="0" xfId="1" applyFont="1" applyAlignment="1" applyProtection="1">
      <alignment vertical="top"/>
    </xf>
    <xf numFmtId="0" fontId="6" fillId="0" borderId="0" xfId="0" applyFont="1" applyAlignment="1">
      <alignment wrapText="1"/>
    </xf>
    <xf numFmtId="0" fontId="6" fillId="33" borderId="9" xfId="0" applyFont="1" applyFill="1" applyBorder="1" applyAlignment="1">
      <alignment horizontal="center" vertical="center" wrapText="1"/>
    </xf>
    <xf numFmtId="0" fontId="6" fillId="32" borderId="9" xfId="0" applyFont="1" applyFill="1" applyBorder="1" applyAlignment="1">
      <alignment horizontal="center" vertical="center" wrapText="1"/>
    </xf>
    <xf numFmtId="0" fontId="6" fillId="32" borderId="10" xfId="0" applyFont="1" applyFill="1" applyBorder="1" applyAlignment="1">
      <alignment horizontal="center" vertical="center" wrapText="1"/>
    </xf>
    <xf numFmtId="169" fontId="0" fillId="0" borderId="2" xfId="0" applyNumberFormat="1" applyBorder="1"/>
    <xf numFmtId="169" fontId="0" fillId="0" borderId="19" xfId="0" applyNumberFormat="1" applyBorder="1"/>
    <xf numFmtId="169" fontId="6" fillId="0" borderId="14" xfId="0" applyNumberFormat="1" applyFont="1" applyBorder="1" applyAlignment="1">
      <alignment horizontal="center" vertical="center" wrapText="1"/>
    </xf>
    <xf numFmtId="169" fontId="6" fillId="0" borderId="15" xfId="0" applyNumberFormat="1" applyFont="1" applyBorder="1" applyAlignment="1">
      <alignment horizontal="center" vertical="center" wrapText="1"/>
    </xf>
    <xf numFmtId="0" fontId="1" fillId="0" borderId="2" xfId="1" applyFont="1" applyBorder="1" applyAlignment="1" applyProtection="1">
      <alignment vertical="top"/>
    </xf>
    <xf numFmtId="0" fontId="1" fillId="0" borderId="2" xfId="1" applyFont="1" applyBorder="1" applyAlignment="1" applyProtection="1"/>
    <xf numFmtId="0" fontId="6" fillId="32" borderId="69" xfId="0" applyFont="1" applyFill="1" applyBorder="1" applyAlignment="1">
      <alignment horizontal="left"/>
    </xf>
    <xf numFmtId="0" fontId="0" fillId="0" borderId="70" xfId="0" applyBorder="1" applyAlignment="1">
      <alignment horizontal="left" indent="3"/>
    </xf>
    <xf numFmtId="3" fontId="0" fillId="0" borderId="70" xfId="0" applyNumberFormat="1" applyBorder="1"/>
    <xf numFmtId="0" fontId="0" fillId="0" borderId="70" xfId="0" applyBorder="1" applyAlignment="1">
      <alignment horizontal="center"/>
    </xf>
    <xf numFmtId="0" fontId="1" fillId="0" borderId="49" xfId="1" applyFont="1" applyBorder="1" applyAlignment="1" applyProtection="1"/>
    <xf numFmtId="0" fontId="6" fillId="0" borderId="89" xfId="0" applyFont="1" applyBorder="1"/>
    <xf numFmtId="0" fontId="0" fillId="16" borderId="8" xfId="0" applyFill="1" applyBorder="1"/>
    <xf numFmtId="0" fontId="0" fillId="16" borderId="10" xfId="0" applyFill="1" applyBorder="1"/>
    <xf numFmtId="0" fontId="1" fillId="0" borderId="14" xfId="1" applyFont="1" applyBorder="1" applyAlignment="1" applyProtection="1"/>
    <xf numFmtId="0" fontId="0" fillId="0" borderId="0" xfId="0" applyAlignment="1">
      <alignment horizontal="right"/>
    </xf>
    <xf numFmtId="0" fontId="0" fillId="0" borderId="0" xfId="0" applyAlignment="1">
      <alignment horizontal="left"/>
    </xf>
    <xf numFmtId="0" fontId="0" fillId="0" borderId="13" xfId="0" applyBorder="1"/>
    <xf numFmtId="0" fontId="0" fillId="0" borderId="14" xfId="0" quotePrefix="1" applyBorder="1"/>
    <xf numFmtId="4" fontId="0" fillId="0" borderId="14" xfId="0" applyNumberFormat="1" applyBorder="1"/>
    <xf numFmtId="0" fontId="0" fillId="0" borderId="0" xfId="0" applyAlignment="1">
      <alignment vertical="center" wrapText="1"/>
    </xf>
    <xf numFmtId="0" fontId="16" fillId="32" borderId="8" xfId="0" applyFont="1" applyFill="1" applyBorder="1"/>
    <xf numFmtId="0" fontId="16" fillId="32" borderId="13" xfId="0" applyFont="1" applyFill="1" applyBorder="1"/>
    <xf numFmtId="0" fontId="17" fillId="0" borderId="14" xfId="0" applyFont="1" applyBorder="1"/>
    <xf numFmtId="0" fontId="17" fillId="0" borderId="14" xfId="0" quotePrefix="1" applyFont="1" applyBorder="1"/>
    <xf numFmtId="0" fontId="17" fillId="0" borderId="14" xfId="0" applyFont="1" applyBorder="1" applyAlignment="1">
      <alignment wrapText="1"/>
    </xf>
    <xf numFmtId="14" fontId="0" fillId="0" borderId="0" xfId="0" applyNumberFormat="1" applyAlignment="1">
      <alignment wrapText="1"/>
    </xf>
    <xf numFmtId="14" fontId="6" fillId="0" borderId="0" xfId="0" applyNumberFormat="1" applyFont="1" applyAlignment="1">
      <alignment horizontal="center" vertical="center" wrapText="1"/>
    </xf>
    <xf numFmtId="2" fontId="0" fillId="0" borderId="0" xfId="0" applyNumberFormat="1" applyAlignment="1">
      <alignment horizontal="center" vertical="center"/>
    </xf>
    <xf numFmtId="3" fontId="6" fillId="0" borderId="0" xfId="0" applyNumberFormat="1" applyFont="1" applyAlignment="1">
      <alignment horizontal="center" vertical="center" wrapText="1"/>
    </xf>
    <xf numFmtId="2" fontId="0" fillId="0" borderId="0" xfId="0" applyNumberFormat="1" applyAlignment="1">
      <alignment horizontal="center" vertical="center" wrapText="1"/>
    </xf>
    <xf numFmtId="1" fontId="6" fillId="0" borderId="0" xfId="0" applyNumberFormat="1" applyFont="1" applyAlignment="1">
      <alignment horizontal="center" vertical="center" wrapText="1"/>
    </xf>
    <xf numFmtId="14" fontId="0" fillId="0" borderId="0" xfId="0" applyNumberFormat="1" applyAlignment="1">
      <alignment horizontal="center" wrapText="1"/>
    </xf>
    <xf numFmtId="2" fontId="0" fillId="0" borderId="0" xfId="0" applyNumberFormat="1" applyAlignment="1">
      <alignment horizontal="center" wrapText="1"/>
    </xf>
    <xf numFmtId="0" fontId="33" fillId="0" borderId="0" xfId="0" applyFont="1"/>
    <xf numFmtId="0" fontId="19" fillId="0" borderId="0" xfId="0" applyFont="1" applyAlignment="1">
      <alignment horizontal="center" vertical="center" wrapText="1"/>
    </xf>
    <xf numFmtId="0" fontId="15" fillId="0" borderId="0" xfId="0" applyFont="1" applyAlignment="1">
      <alignment horizontal="left" indent="1"/>
    </xf>
    <xf numFmtId="0" fontId="15" fillId="0" borderId="0" xfId="0" applyFont="1" applyAlignment="1">
      <alignment horizontal="left" indent="3"/>
    </xf>
    <xf numFmtId="3" fontId="15" fillId="0" borderId="0" xfId="0" applyNumberFormat="1" applyFont="1"/>
    <xf numFmtId="0" fontId="15" fillId="0" borderId="0" xfId="0" applyFont="1" applyAlignment="1">
      <alignment horizontal="center"/>
    </xf>
    <xf numFmtId="0" fontId="1" fillId="0" borderId="0" xfId="1" applyFont="1" applyAlignment="1" applyProtection="1"/>
    <xf numFmtId="0" fontId="34" fillId="0" borderId="0" xfId="0" applyFont="1" applyAlignment="1">
      <alignment horizontal="left"/>
    </xf>
    <xf numFmtId="0" fontId="35" fillId="0" borderId="0" xfId="0" applyFont="1"/>
    <xf numFmtId="0" fontId="35" fillId="0" borderId="0" xfId="0" applyFont="1" applyAlignment="1">
      <alignment horizontal="left"/>
    </xf>
    <xf numFmtId="0" fontId="35" fillId="0" borderId="0" xfId="0" applyFont="1" applyAlignment="1">
      <alignment horizontal="left" wrapText="1"/>
    </xf>
    <xf numFmtId="0" fontId="36" fillId="0" borderId="0" xfId="0" applyFont="1" applyAlignment="1">
      <alignment horizontal="right"/>
    </xf>
    <xf numFmtId="0" fontId="37" fillId="0" borderId="0" xfId="0" applyFont="1" applyAlignment="1">
      <alignment horizontal="left" vertical="center" wrapText="1"/>
    </xf>
    <xf numFmtId="0" fontId="37" fillId="0" borderId="0" xfId="0" applyFont="1" applyAlignment="1">
      <alignment horizontal="center" vertical="center" wrapText="1"/>
    </xf>
    <xf numFmtId="0" fontId="38" fillId="0" borderId="0" xfId="0" applyFont="1" applyAlignment="1">
      <alignment vertical="center" wrapText="1"/>
    </xf>
    <xf numFmtId="3" fontId="39" fillId="0" borderId="0" xfId="5" applyNumberFormat="1" applyFont="1" applyAlignment="1">
      <alignment vertical="center" wrapText="1"/>
    </xf>
    <xf numFmtId="0" fontId="37" fillId="0" borderId="0" xfId="0" applyFont="1" applyAlignment="1">
      <alignment vertical="center" wrapText="1"/>
    </xf>
    <xf numFmtId="3" fontId="40" fillId="0" borderId="0" xfId="5" applyNumberFormat="1" applyFont="1" applyAlignment="1">
      <alignment vertical="center" wrapText="1"/>
    </xf>
    <xf numFmtId="0" fontId="38" fillId="0" borderId="0" xfId="0" applyFont="1" applyAlignment="1">
      <alignment vertical="center"/>
    </xf>
    <xf numFmtId="0" fontId="40" fillId="0" borderId="0" xfId="0" applyFont="1" applyAlignment="1">
      <alignment vertical="center" wrapText="1"/>
    </xf>
    <xf numFmtId="0" fontId="40" fillId="0" borderId="0" xfId="0" applyFont="1" applyAlignment="1">
      <alignment horizontal="center" vertical="center" wrapText="1"/>
    </xf>
    <xf numFmtId="0" fontId="39" fillId="0" borderId="0" xfId="0" applyFont="1" applyAlignment="1">
      <alignment vertical="top" wrapText="1"/>
    </xf>
    <xf numFmtId="0" fontId="29" fillId="0" borderId="0" xfId="0" applyFont="1" applyAlignment="1">
      <alignment horizontal="left"/>
    </xf>
    <xf numFmtId="3" fontId="28" fillId="0" borderId="0" xfId="0" applyNumberFormat="1" applyFont="1" applyAlignment="1">
      <alignment horizontal="right" wrapText="1" indent="1"/>
    </xf>
    <xf numFmtId="0" fontId="26" fillId="0" borderId="0" xfId="0" applyFont="1" applyAlignment="1">
      <alignment horizontal="left" vertical="center" wrapText="1"/>
    </xf>
    <xf numFmtId="0" fontId="4" fillId="0" borderId="0" xfId="0" applyFont="1" applyAlignment="1">
      <alignment vertical="center"/>
    </xf>
    <xf numFmtId="0" fontId="4" fillId="0" borderId="0" xfId="0" applyFont="1" applyAlignment="1">
      <alignment horizontal="center" wrapText="1"/>
    </xf>
    <xf numFmtId="0" fontId="4" fillId="0" borderId="0" xfId="0" applyFont="1" applyAlignment="1">
      <alignment horizontal="center"/>
    </xf>
    <xf numFmtId="0" fontId="4" fillId="0" borderId="0" xfId="0" applyFont="1" applyAlignment="1">
      <alignment vertical="center" wrapText="1"/>
    </xf>
    <xf numFmtId="9" fontId="4" fillId="0" borderId="0" xfId="0" applyNumberFormat="1" applyFont="1"/>
    <xf numFmtId="0" fontId="26" fillId="0" borderId="0" xfId="0" applyFont="1" applyAlignment="1">
      <alignment horizontal="left"/>
    </xf>
    <xf numFmtId="0" fontId="4" fillId="0" borderId="0" xfId="0" applyFont="1"/>
    <xf numFmtId="0" fontId="4" fillId="0" borderId="0" xfId="0" applyFont="1" applyAlignment="1">
      <alignment horizontal="right"/>
    </xf>
    <xf numFmtId="0" fontId="26" fillId="0" borderId="0" xfId="0" applyFont="1" applyAlignment="1">
      <alignment horizontal="left" vertical="top" wrapText="1"/>
    </xf>
    <xf numFmtId="0" fontId="4" fillId="0" borderId="0" xfId="0" applyFont="1" applyAlignment="1">
      <alignment horizontal="left"/>
    </xf>
    <xf numFmtId="9" fontId="41" fillId="0" borderId="0" xfId="0" applyNumberFormat="1" applyFont="1"/>
    <xf numFmtId="167" fontId="23" fillId="0" borderId="0" xfId="0" applyNumberFormat="1" applyFont="1" applyAlignment="1">
      <alignment horizontal="right" wrapText="1" indent="1"/>
    </xf>
    <xf numFmtId="3" fontId="23" fillId="0" borderId="0" xfId="0" applyNumberFormat="1" applyFont="1" applyAlignment="1">
      <alignment horizontal="left" wrapText="1" indent="1"/>
    </xf>
    <xf numFmtId="0" fontId="0" fillId="0" borderId="0" xfId="0" applyAlignment="1">
      <alignment vertical="center"/>
    </xf>
    <xf numFmtId="0" fontId="39" fillId="0" borderId="0" xfId="0" applyFont="1"/>
    <xf numFmtId="0" fontId="37" fillId="0" borderId="0" xfId="0" applyFont="1" applyAlignment="1">
      <alignment horizontal="left" vertical="center"/>
    </xf>
    <xf numFmtId="0" fontId="39" fillId="0" borderId="0" xfId="0" applyFont="1" applyAlignment="1">
      <alignment vertical="center"/>
    </xf>
    <xf numFmtId="0" fontId="42" fillId="0" borderId="0" xfId="0" applyFont="1" applyAlignment="1">
      <alignment horizontal="left" vertical="center"/>
    </xf>
    <xf numFmtId="0" fontId="39" fillId="0" borderId="0" xfId="0" applyFont="1" applyAlignment="1">
      <alignment vertical="center" wrapText="1"/>
    </xf>
    <xf numFmtId="0" fontId="38" fillId="0" borderId="0" xfId="0" applyFont="1" applyAlignment="1">
      <alignment horizontal="center" vertical="center" wrapText="1"/>
    </xf>
    <xf numFmtId="3" fontId="37" fillId="0" borderId="0" xfId="0" applyNumberFormat="1" applyFont="1" applyAlignment="1">
      <alignment horizontal="center" vertical="center"/>
    </xf>
    <xf numFmtId="2" fontId="37" fillId="0" borderId="0" xfId="0" applyNumberFormat="1" applyFont="1" applyAlignment="1">
      <alignment horizontal="center" vertical="center" wrapText="1"/>
    </xf>
    <xf numFmtId="170" fontId="37" fillId="0" borderId="0" xfId="0" applyNumberFormat="1" applyFont="1" applyAlignment="1">
      <alignment horizontal="center" vertical="center"/>
    </xf>
    <xf numFmtId="0" fontId="38" fillId="0" borderId="0" xfId="0" applyFont="1" applyAlignment="1">
      <alignment horizontal="left" vertical="center" wrapText="1"/>
    </xf>
    <xf numFmtId="0" fontId="38" fillId="0" borderId="0" xfId="0" applyFont="1" applyAlignment="1">
      <alignment horizontal="left" vertical="center"/>
    </xf>
    <xf numFmtId="3" fontId="38" fillId="0" borderId="0" xfId="0" applyNumberFormat="1" applyFont="1" applyAlignment="1">
      <alignment horizontal="center" vertical="center"/>
    </xf>
    <xf numFmtId="170" fontId="38" fillId="0" borderId="0" xfId="0" applyNumberFormat="1" applyFont="1" applyAlignment="1">
      <alignment horizontal="center" vertical="center"/>
    </xf>
    <xf numFmtId="0" fontId="37" fillId="0" borderId="0" xfId="0" applyFont="1" applyAlignment="1">
      <alignment horizontal="center" vertical="center"/>
    </xf>
    <xf numFmtId="2" fontId="0" fillId="0" borderId="0" xfId="0" applyNumberFormat="1" applyAlignment="1">
      <alignment horizontal="center"/>
    </xf>
    <xf numFmtId="0" fontId="0" fillId="0" borderId="90" xfId="0" applyBorder="1"/>
    <xf numFmtId="0" fontId="0" fillId="0" borderId="93" xfId="0" applyBorder="1"/>
    <xf numFmtId="0" fontId="0" fillId="28" borderId="77" xfId="0" applyFill="1" applyBorder="1" applyAlignment="1">
      <alignment horizontal="center" vertical="center" wrapText="1"/>
    </xf>
    <xf numFmtId="0" fontId="0" fillId="28" borderId="26" xfId="0" applyFill="1" applyBorder="1" applyAlignment="1">
      <alignment horizontal="center" vertical="center" wrapText="1"/>
    </xf>
    <xf numFmtId="0" fontId="0" fillId="28" borderId="94" xfId="0" applyFill="1" applyBorder="1" applyAlignment="1">
      <alignment horizontal="center" vertical="center" wrapText="1"/>
    </xf>
    <xf numFmtId="0" fontId="6" fillId="31" borderId="77" xfId="0" applyFont="1" applyFill="1" applyBorder="1" applyAlignment="1">
      <alignment horizontal="center" vertical="center" wrapText="1"/>
    </xf>
    <xf numFmtId="0" fontId="0" fillId="31" borderId="26" xfId="0" applyFill="1" applyBorder="1" applyAlignment="1">
      <alignment horizontal="center" vertical="center" wrapText="1"/>
    </xf>
    <xf numFmtId="0" fontId="0" fillId="31" borderId="27" xfId="0" applyFill="1" applyBorder="1" applyAlignment="1">
      <alignment horizontal="center" vertical="center" wrapText="1"/>
    </xf>
    <xf numFmtId="0" fontId="0" fillId="31" borderId="77" xfId="0" applyFill="1" applyBorder="1" applyAlignment="1">
      <alignment horizontal="center" vertical="center" wrapText="1"/>
    </xf>
    <xf numFmtId="0" fontId="0" fillId="0" borderId="32" xfId="0" applyBorder="1"/>
    <xf numFmtId="0" fontId="0" fillId="0" borderId="28" xfId="0" applyBorder="1"/>
    <xf numFmtId="165" fontId="0" fillId="15" borderId="19" xfId="0" applyNumberFormat="1" applyFill="1" applyBorder="1"/>
    <xf numFmtId="169" fontId="0" fillId="0" borderId="0" xfId="0" applyNumberFormat="1"/>
    <xf numFmtId="0" fontId="0" fillId="0" borderId="0" xfId="0" applyAlignment="1">
      <alignment horizontal="left" vertical="center" wrapText="1"/>
    </xf>
    <xf numFmtId="0" fontId="43" fillId="0" borderId="0" xfId="0" applyFont="1"/>
    <xf numFmtId="0" fontId="44" fillId="0" borderId="0" xfId="0" applyFont="1"/>
    <xf numFmtId="0" fontId="45" fillId="0" borderId="0" xfId="0" applyFont="1"/>
    <xf numFmtId="0" fontId="0" fillId="14" borderId="2" xfId="0" applyFill="1" applyBorder="1"/>
    <xf numFmtId="0" fontId="0" fillId="14" borderId="9" xfId="0" applyFill="1" applyBorder="1" applyAlignment="1">
      <alignment horizontal="center"/>
    </xf>
    <xf numFmtId="0" fontId="0" fillId="14" borderId="10" xfId="0" applyFill="1" applyBorder="1"/>
    <xf numFmtId="0" fontId="0" fillId="14" borderId="28" xfId="0" applyFill="1" applyBorder="1"/>
    <xf numFmtId="1" fontId="0" fillId="0" borderId="2" xfId="0" applyNumberFormat="1" applyBorder="1" applyAlignment="1">
      <alignment horizontal="center"/>
    </xf>
    <xf numFmtId="0" fontId="0" fillId="14" borderId="48" xfId="0" applyFill="1" applyBorder="1"/>
    <xf numFmtId="1" fontId="0" fillId="0" borderId="49" xfId="0" applyNumberFormat="1" applyBorder="1" applyAlignment="1">
      <alignment horizontal="center"/>
    </xf>
    <xf numFmtId="0" fontId="0" fillId="14" borderId="13" xfId="0" applyFill="1" applyBorder="1"/>
    <xf numFmtId="1" fontId="0" fillId="0" borderId="14" xfId="0" applyNumberFormat="1" applyBorder="1" applyAlignment="1">
      <alignment horizontal="center"/>
    </xf>
    <xf numFmtId="2" fontId="0" fillId="0" borderId="15" xfId="0" applyNumberFormat="1" applyBorder="1"/>
    <xf numFmtId="0" fontId="0" fillId="14" borderId="8" xfId="0" applyFill="1" applyBorder="1"/>
    <xf numFmtId="0" fontId="0" fillId="14" borderId="10" xfId="0" applyFill="1" applyBorder="1" applyAlignment="1">
      <alignment horizontal="center"/>
    </xf>
    <xf numFmtId="1" fontId="0" fillId="0" borderId="19" xfId="0" applyNumberFormat="1" applyBorder="1" applyAlignment="1">
      <alignment horizontal="center"/>
    </xf>
    <xf numFmtId="1" fontId="0" fillId="0" borderId="15" xfId="0" applyNumberFormat="1" applyBorder="1" applyAlignment="1">
      <alignment horizontal="center"/>
    </xf>
    <xf numFmtId="0" fontId="46" fillId="0" borderId="0" xfId="0" applyFont="1" applyAlignment="1">
      <alignment horizontal="center" vertical="center"/>
    </xf>
    <xf numFmtId="3" fontId="0" fillId="0" borderId="19" xfId="0" applyNumberFormat="1" applyBorder="1" applyAlignment="1">
      <alignment horizontal="center"/>
    </xf>
    <xf numFmtId="3" fontId="0" fillId="0" borderId="15" xfId="0" applyNumberFormat="1" applyBorder="1" applyAlignment="1">
      <alignment horizontal="center"/>
    </xf>
    <xf numFmtId="0" fontId="0" fillId="38" borderId="2" xfId="0" applyFill="1" applyBorder="1" applyAlignment="1">
      <alignment horizontal="left"/>
    </xf>
    <xf numFmtId="0" fontId="47" fillId="38" borderId="2" xfId="0" applyFont="1" applyFill="1" applyBorder="1" applyAlignment="1">
      <alignment horizontal="left"/>
    </xf>
    <xf numFmtId="0" fontId="0" fillId="0" borderId="2" xfId="0" applyBorder="1" applyAlignment="1">
      <alignment horizontal="left"/>
    </xf>
    <xf numFmtId="0" fontId="0" fillId="0" borderId="0" xfId="0" applyAlignment="1">
      <alignment horizontal="center" vertical="center"/>
    </xf>
    <xf numFmtId="0" fontId="0" fillId="0" borderId="22" xfId="0" applyBorder="1"/>
    <xf numFmtId="0" fontId="0" fillId="0" borderId="23" xfId="0" applyBorder="1"/>
    <xf numFmtId="0" fontId="0" fillId="0" borderId="24" xfId="0" applyBorder="1"/>
    <xf numFmtId="0" fontId="0" fillId="32" borderId="77" xfId="0" applyFill="1" applyBorder="1" applyAlignment="1">
      <alignment horizontal="center" vertical="center" wrapText="1"/>
    </xf>
    <xf numFmtId="0" fontId="0" fillId="32" borderId="9" xfId="0" applyFill="1" applyBorder="1" applyAlignment="1">
      <alignment horizontal="center" vertical="center" wrapText="1"/>
    </xf>
    <xf numFmtId="0" fontId="0" fillId="32" borderId="10" xfId="0" applyFill="1" applyBorder="1" applyAlignment="1">
      <alignment horizontal="center" vertical="center" wrapText="1"/>
    </xf>
    <xf numFmtId="0" fontId="0" fillId="32" borderId="16" xfId="0" applyFill="1" applyBorder="1"/>
    <xf numFmtId="0" fontId="48" fillId="0" borderId="7" xfId="0" applyFont="1" applyBorder="1" applyAlignment="1">
      <alignment horizontal="center" vertical="center" wrapText="1"/>
    </xf>
    <xf numFmtId="0" fontId="0" fillId="0" borderId="19" xfId="0" quotePrefix="1" applyBorder="1"/>
    <xf numFmtId="0" fontId="0" fillId="32" borderId="18" xfId="0" applyFill="1" applyBorder="1"/>
    <xf numFmtId="0" fontId="0" fillId="32" borderId="20" xfId="0" applyFill="1" applyBorder="1"/>
    <xf numFmtId="0" fontId="0" fillId="0" borderId="21" xfId="0" applyBorder="1" applyAlignment="1">
      <alignment horizontal="center" vertical="center" wrapText="1"/>
    </xf>
    <xf numFmtId="0" fontId="6" fillId="32" borderId="8" xfId="0" applyFont="1" applyFill="1" applyBorder="1" applyAlignment="1">
      <alignment horizontal="center" wrapText="1"/>
    </xf>
    <xf numFmtId="0" fontId="6" fillId="32" borderId="9" xfId="0" applyFont="1" applyFill="1" applyBorder="1" applyAlignment="1">
      <alignment horizontal="center" vertical="center"/>
    </xf>
    <xf numFmtId="0" fontId="37" fillId="32" borderId="28" xfId="0" applyFont="1" applyFill="1" applyBorder="1" applyAlignment="1">
      <alignment horizontal="left" vertical="center" wrapText="1"/>
    </xf>
    <xf numFmtId="3" fontId="37" fillId="0" borderId="2" xfId="0" applyNumberFormat="1" applyFont="1" applyBorder="1" applyAlignment="1">
      <alignment horizontal="center" vertical="center"/>
    </xf>
    <xf numFmtId="0" fontId="38" fillId="32" borderId="28" xfId="0" applyFont="1" applyFill="1" applyBorder="1" applyAlignment="1">
      <alignment horizontal="left" vertical="center" wrapText="1"/>
    </xf>
    <xf numFmtId="0" fontId="38" fillId="32" borderId="28" xfId="0" applyFont="1" applyFill="1" applyBorder="1" applyAlignment="1">
      <alignment horizontal="left" vertical="center"/>
    </xf>
    <xf numFmtId="3" fontId="38" fillId="0" borderId="2" xfId="0" applyNumberFormat="1" applyFont="1" applyBorder="1" applyAlignment="1">
      <alignment horizontal="center" vertical="center"/>
    </xf>
    <xf numFmtId="0" fontId="37" fillId="32" borderId="28" xfId="0" applyFont="1" applyFill="1" applyBorder="1" applyAlignment="1">
      <alignment horizontal="left" vertical="center"/>
    </xf>
    <xf numFmtId="0" fontId="37" fillId="32" borderId="13" xfId="0" applyFont="1" applyFill="1" applyBorder="1" applyAlignment="1">
      <alignment horizontal="left" vertical="center" wrapText="1"/>
    </xf>
    <xf numFmtId="3" fontId="37" fillId="0" borderId="14" xfId="0" applyNumberFormat="1" applyFont="1" applyBorder="1" applyAlignment="1">
      <alignment horizontal="center" vertical="center"/>
    </xf>
    <xf numFmtId="0" fontId="26" fillId="0" borderId="0" xfId="0" applyFont="1" applyAlignment="1">
      <alignment vertical="center"/>
    </xf>
    <xf numFmtId="0" fontId="4" fillId="0" borderId="0" xfId="0" applyFont="1" applyAlignment="1">
      <alignment horizontal="left" vertical="center"/>
    </xf>
    <xf numFmtId="0" fontId="49" fillId="0" borderId="0" xfId="0" applyFont="1" applyAlignment="1">
      <alignment horizontal="right" vertical="center"/>
    </xf>
    <xf numFmtId="0" fontId="26" fillId="32" borderId="2" xfId="0" applyFont="1" applyFill="1" applyBorder="1" applyAlignment="1">
      <alignment horizontal="center" vertical="center"/>
    </xf>
    <xf numFmtId="0" fontId="26" fillId="32" borderId="2" xfId="0" applyFont="1" applyFill="1" applyBorder="1" applyAlignment="1">
      <alignment horizontal="center" vertical="center" wrapText="1"/>
    </xf>
    <xf numFmtId="0" fontId="26" fillId="32" borderId="2" xfId="0" applyFont="1" applyFill="1" applyBorder="1" applyAlignment="1">
      <alignment vertical="center"/>
    </xf>
    <xf numFmtId="171" fontId="4" fillId="0" borderId="2" xfId="0" applyNumberFormat="1" applyFont="1" applyBorder="1" applyAlignment="1">
      <alignment horizontal="right" vertical="center"/>
    </xf>
    <xf numFmtId="0" fontId="26" fillId="32" borderId="2" xfId="0" applyFont="1" applyFill="1" applyBorder="1" applyAlignment="1">
      <alignment horizontal="left" vertical="center"/>
    </xf>
    <xf numFmtId="3" fontId="4" fillId="0" borderId="2" xfId="23" applyNumberFormat="1" applyFont="1" applyBorder="1" applyAlignment="1" applyProtection="1">
      <alignment vertical="center"/>
    </xf>
    <xf numFmtId="0" fontId="50" fillId="0" borderId="0" xfId="0" applyFont="1" applyAlignment="1">
      <alignment vertical="center"/>
    </xf>
    <xf numFmtId="172" fontId="4" fillId="0" borderId="0" xfId="23" applyNumberFormat="1" applyFont="1" applyAlignment="1" applyProtection="1">
      <alignment horizontal="right" vertical="center"/>
    </xf>
    <xf numFmtId="169" fontId="4" fillId="0" borderId="0" xfId="0" applyNumberFormat="1" applyFont="1" applyAlignment="1">
      <alignment vertical="center"/>
    </xf>
    <xf numFmtId="0" fontId="51" fillId="32" borderId="98" xfId="0" applyFont="1" applyFill="1" applyBorder="1" applyAlignment="1">
      <alignment horizontal="left"/>
    </xf>
    <xf numFmtId="0" fontId="51" fillId="32" borderId="99" xfId="0" applyFont="1" applyFill="1" applyBorder="1" applyAlignment="1">
      <alignment horizontal="left" wrapText="1"/>
    </xf>
    <xf numFmtId="0" fontId="38" fillId="0" borderId="0" xfId="0" quotePrefix="1" applyFont="1" applyAlignment="1">
      <alignment horizontal="left" vertical="center" wrapText="1"/>
    </xf>
    <xf numFmtId="0" fontId="30" fillId="32" borderId="100" xfId="0" applyFont="1" applyFill="1" applyBorder="1" applyAlignment="1">
      <alignment horizontal="left" wrapText="1"/>
    </xf>
    <xf numFmtId="3" fontId="24" fillId="0" borderId="101" xfId="0" applyNumberFormat="1" applyFont="1" applyBorder="1" applyAlignment="1">
      <alignment horizontal="left"/>
    </xf>
    <xf numFmtId="0" fontId="30" fillId="32" borderId="100" xfId="0" applyFont="1" applyFill="1" applyBorder="1" applyAlignment="1">
      <alignment horizontal="left"/>
    </xf>
    <xf numFmtId="0" fontId="30" fillId="32" borderId="100" xfId="0" quotePrefix="1" applyFont="1" applyFill="1" applyBorder="1" applyAlignment="1">
      <alignment horizontal="left"/>
    </xf>
    <xf numFmtId="0" fontId="30" fillId="32" borderId="102" xfId="0" quotePrefix="1" applyFont="1" applyFill="1" applyBorder="1" applyAlignment="1">
      <alignment horizontal="left"/>
    </xf>
    <xf numFmtId="3" fontId="24" fillId="0" borderId="103" xfId="0" applyNumberFormat="1" applyFont="1" applyBorder="1" applyAlignment="1">
      <alignment horizontal="left"/>
    </xf>
    <xf numFmtId="0" fontId="6" fillId="0" borderId="2" xfId="0" applyFont="1" applyBorder="1"/>
    <xf numFmtId="0" fontId="26" fillId="32" borderId="8" xfId="0" applyFont="1" applyFill="1" applyBorder="1" applyAlignment="1">
      <alignment horizontal="center" vertical="center"/>
    </xf>
    <xf numFmtId="0" fontId="26" fillId="32" borderId="10" xfId="0" applyFont="1" applyFill="1" applyBorder="1" applyAlignment="1">
      <alignment horizontal="center" vertical="center" wrapText="1"/>
    </xf>
    <xf numFmtId="0" fontId="26" fillId="32" borderId="28" xfId="0" applyFont="1" applyFill="1" applyBorder="1" applyAlignment="1">
      <alignment vertical="center"/>
    </xf>
    <xf numFmtId="0" fontId="26" fillId="32" borderId="28" xfId="0" applyFont="1" applyFill="1" applyBorder="1" applyAlignment="1">
      <alignment horizontal="left" vertical="center"/>
    </xf>
    <xf numFmtId="3" fontId="4" fillId="0" borderId="19" xfId="23" applyNumberFormat="1" applyFont="1" applyBorder="1" applyAlignment="1" applyProtection="1">
      <alignment vertical="center"/>
    </xf>
    <xf numFmtId="0" fontId="26" fillId="32" borderId="13" xfId="0" applyFont="1" applyFill="1" applyBorder="1" applyAlignment="1">
      <alignment horizontal="left" vertical="center"/>
    </xf>
    <xf numFmtId="3" fontId="4" fillId="0" borderId="15" xfId="23" applyNumberFormat="1" applyFont="1" applyBorder="1" applyAlignment="1" applyProtection="1">
      <alignment vertical="center"/>
    </xf>
    <xf numFmtId="1" fontId="0" fillId="0" borderId="2" xfId="0" applyNumberFormat="1" applyBorder="1"/>
    <xf numFmtId="0" fontId="6" fillId="0" borderId="3" xfId="0" applyFont="1" applyBorder="1" applyAlignment="1">
      <alignment wrapText="1"/>
    </xf>
    <xf numFmtId="0" fontId="6" fillId="0" borderId="24" xfId="0" applyFont="1" applyBorder="1"/>
    <xf numFmtId="0" fontId="52" fillId="0" borderId="0" xfId="0" applyFont="1"/>
    <xf numFmtId="0" fontId="6" fillId="32" borderId="8" xfId="0" applyFont="1" applyFill="1" applyBorder="1" applyAlignment="1">
      <alignment horizontal="center"/>
    </xf>
    <xf numFmtId="0" fontId="6" fillId="33" borderId="10" xfId="0" applyFont="1" applyFill="1" applyBorder="1" applyAlignment="1">
      <alignment horizontal="center" vertical="center" wrapText="1"/>
    </xf>
    <xf numFmtId="0" fontId="0" fillId="32" borderId="28" xfId="0" applyFill="1" applyBorder="1"/>
    <xf numFmtId="3" fontId="17" fillId="0" borderId="19" xfId="0" applyNumberFormat="1" applyFont="1" applyBorder="1" applyAlignment="1">
      <alignment horizontal="center"/>
    </xf>
    <xf numFmtId="0" fontId="0" fillId="32" borderId="28" xfId="0" applyFill="1" applyBorder="1" applyAlignment="1">
      <alignment horizontal="left" vertical="center" wrapText="1"/>
    </xf>
    <xf numFmtId="3" fontId="0" fillId="0" borderId="19" xfId="0" applyNumberFormat="1" applyBorder="1" applyAlignment="1">
      <alignment horizontal="center" vertical="center" wrapText="1"/>
    </xf>
    <xf numFmtId="0" fontId="0" fillId="32" borderId="104" xfId="0" applyFill="1" applyBorder="1" applyAlignment="1">
      <alignment horizontal="left" vertical="center" wrapText="1"/>
    </xf>
    <xf numFmtId="3" fontId="0" fillId="0" borderId="105" xfId="0" applyNumberFormat="1" applyBorder="1" applyAlignment="1">
      <alignment horizontal="center"/>
    </xf>
    <xf numFmtId="0" fontId="53" fillId="33" borderId="78" xfId="0" applyFont="1" applyFill="1" applyBorder="1" applyAlignment="1">
      <alignment horizontal="center" vertical="center" wrapText="1"/>
    </xf>
    <xf numFmtId="0" fontId="54" fillId="0" borderId="86" xfId="0" applyFont="1" applyBorder="1" applyAlignment="1">
      <alignment horizontal="center" vertical="center" wrapText="1"/>
    </xf>
    <xf numFmtId="0" fontId="55" fillId="39" borderId="28" xfId="0" applyFont="1" applyFill="1" applyBorder="1" applyAlignment="1">
      <alignment horizontal="center" vertical="center" wrapText="1"/>
    </xf>
    <xf numFmtId="0" fontId="54" fillId="0" borderId="19" xfId="0" applyFont="1" applyBorder="1" applyAlignment="1">
      <alignment horizontal="right" vertical="center" wrapText="1"/>
    </xf>
    <xf numFmtId="0" fontId="55" fillId="39" borderId="104" xfId="0" applyFont="1" applyFill="1" applyBorder="1" applyAlignment="1">
      <alignment horizontal="center" vertical="center" wrapText="1"/>
    </xf>
    <xf numFmtId="0" fontId="54" fillId="0" borderId="105" xfId="0" applyFont="1" applyBorder="1" applyAlignment="1">
      <alignment horizontal="right" vertical="center" wrapText="1"/>
    </xf>
    <xf numFmtId="0" fontId="56" fillId="40" borderId="85" xfId="0" applyFont="1" applyFill="1" applyBorder="1" applyAlignment="1">
      <alignment horizontal="left" vertical="center" wrapText="1"/>
    </xf>
    <xf numFmtId="4" fontId="54" fillId="0" borderId="36" xfId="0" applyNumberFormat="1" applyFont="1" applyBorder="1" applyAlignment="1">
      <alignment horizontal="left" vertical="center" wrapText="1"/>
    </xf>
    <xf numFmtId="0" fontId="54" fillId="0" borderId="0" xfId="0" applyFont="1" applyAlignment="1">
      <alignment horizontal="left" vertical="center" wrapText="1"/>
    </xf>
    <xf numFmtId="0" fontId="21" fillId="0" borderId="0" xfId="1" quotePrefix="1" applyFont="1" applyAlignment="1" applyProtection="1">
      <alignment vertical="top"/>
    </xf>
    <xf numFmtId="1" fontId="0" fillId="0" borderId="2" xfId="0" applyNumberFormat="1" applyBorder="1" applyAlignment="1">
      <alignment horizontal="left" vertical="center" wrapText="1"/>
    </xf>
    <xf numFmtId="1" fontId="6" fillId="16" borderId="2" xfId="0" applyNumberFormat="1" applyFont="1" applyFill="1" applyBorder="1"/>
    <xf numFmtId="0" fontId="6" fillId="16" borderId="2" xfId="0" applyFont="1" applyFill="1" applyBorder="1" applyAlignment="1">
      <alignment wrapText="1"/>
    </xf>
    <xf numFmtId="168" fontId="0" fillId="0" borderId="32" xfId="0" applyNumberFormat="1" applyBorder="1" applyAlignment="1">
      <alignment horizontal="right"/>
    </xf>
    <xf numFmtId="0" fontId="0" fillId="38" borderId="2" xfId="0" applyFill="1" applyBorder="1"/>
    <xf numFmtId="4" fontId="0" fillId="0" borderId="2" xfId="0" applyNumberFormat="1" applyBorder="1"/>
    <xf numFmtId="168" fontId="6" fillId="0" borderId="2" xfId="0" applyNumberFormat="1" applyFont="1" applyBorder="1"/>
    <xf numFmtId="0" fontId="17" fillId="0" borderId="9" xfId="0" applyFont="1" applyBorder="1"/>
    <xf numFmtId="0" fontId="17" fillId="0" borderId="10" xfId="0" quotePrefix="1" applyFont="1" applyBorder="1"/>
    <xf numFmtId="0" fontId="16" fillId="32" borderId="28" xfId="0" applyFont="1" applyFill="1" applyBorder="1"/>
    <xf numFmtId="169" fontId="17" fillId="0" borderId="2" xfId="0" applyNumberFormat="1" applyFont="1" applyBorder="1"/>
    <xf numFmtId="0" fontId="0" fillId="0" borderId="2" xfId="0" applyBorder="1" applyAlignment="1">
      <alignment horizontal="right" wrapText="1"/>
    </xf>
    <xf numFmtId="0" fontId="0" fillId="0" borderId="2" xfId="0" applyBorder="1" applyAlignment="1">
      <alignment horizontal="left" wrapText="1"/>
    </xf>
    <xf numFmtId="0" fontId="0" fillId="0" borderId="19" xfId="0" applyBorder="1" applyAlignment="1">
      <alignment horizontal="left" wrapText="1"/>
    </xf>
    <xf numFmtId="173" fontId="17" fillId="0" borderId="14" xfId="0" applyNumberFormat="1" applyFont="1" applyBorder="1"/>
    <xf numFmtId="0" fontId="6" fillId="41" borderId="2" xfId="0" applyFont="1" applyFill="1" applyBorder="1" applyAlignment="1">
      <alignment wrapText="1"/>
    </xf>
    <xf numFmtId="169" fontId="47" fillId="0" borderId="0" xfId="0" applyNumberFormat="1" applyFont="1"/>
    <xf numFmtId="0" fontId="37" fillId="42" borderId="8" xfId="9" applyFont="1" applyFill="1" applyBorder="1" applyAlignment="1">
      <alignment wrapText="1"/>
    </xf>
    <xf numFmtId="0" fontId="37" fillId="42" borderId="9" xfId="9" applyFont="1" applyFill="1" applyBorder="1" applyAlignment="1">
      <alignment horizontal="left" wrapText="1"/>
    </xf>
    <xf numFmtId="0" fontId="37" fillId="42" borderId="9" xfId="9" applyFont="1" applyFill="1" applyBorder="1" applyAlignment="1">
      <alignment horizontal="right" wrapText="1"/>
    </xf>
    <xf numFmtId="0" fontId="37" fillId="42" borderId="10" xfId="9" applyFont="1" applyFill="1" applyBorder="1" applyAlignment="1">
      <alignment horizontal="right" wrapText="1"/>
    </xf>
    <xf numFmtId="3" fontId="57" fillId="0" borderId="28" xfId="9" applyNumberFormat="1" applyFont="1" applyBorder="1"/>
    <xf numFmtId="3" fontId="38" fillId="0" borderId="2" xfId="9" applyNumberFormat="1" applyFont="1" applyBorder="1" applyAlignment="1">
      <alignment horizontal="right" wrapText="1"/>
    </xf>
    <xf numFmtId="0" fontId="38" fillId="0" borderId="2" xfId="0" applyFont="1" applyBorder="1" applyAlignment="1">
      <alignment wrapText="1"/>
    </xf>
    <xf numFmtId="0" fontId="38" fillId="0" borderId="2" xfId="0" quotePrefix="1" applyFont="1" applyBorder="1" applyAlignment="1">
      <alignment wrapText="1"/>
    </xf>
    <xf numFmtId="0" fontId="38" fillId="0" borderId="19" xfId="0" applyFont="1" applyBorder="1" applyAlignment="1">
      <alignment wrapText="1"/>
    </xf>
    <xf numFmtId="0" fontId="37" fillId="16" borderId="4" xfId="0" applyFont="1" applyFill="1" applyBorder="1" applyAlignment="1">
      <alignment wrapText="1"/>
    </xf>
    <xf numFmtId="0" fontId="38" fillId="0" borderId="5" xfId="0" applyFont="1" applyBorder="1" applyAlignment="1">
      <alignment wrapText="1"/>
    </xf>
    <xf numFmtId="3" fontId="0" fillId="0" borderId="7" xfId="0" applyNumberFormat="1" applyBorder="1"/>
    <xf numFmtId="3" fontId="0" fillId="0" borderId="21" xfId="0" applyNumberFormat="1" applyBorder="1"/>
    <xf numFmtId="0" fontId="0" fillId="29" borderId="29" xfId="0" applyFill="1" applyBorder="1" applyAlignment="1">
      <alignment wrapText="1"/>
    </xf>
    <xf numFmtId="0" fontId="0" fillId="29" borderId="0" xfId="0" applyFill="1" applyAlignment="1">
      <alignment wrapText="1"/>
    </xf>
    <xf numFmtId="0" fontId="0" fillId="29" borderId="38" xfId="0" applyFill="1" applyBorder="1" applyAlignment="1">
      <alignment wrapText="1"/>
    </xf>
    <xf numFmtId="3" fontId="38" fillId="0" borderId="14" xfId="9" applyNumberFormat="1" applyFont="1" applyBorder="1" applyAlignment="1">
      <alignment horizontal="right" wrapText="1"/>
    </xf>
    <xf numFmtId="0" fontId="38" fillId="0" borderId="14" xfId="0" applyFont="1" applyBorder="1" applyAlignment="1">
      <alignment wrapText="1"/>
    </xf>
    <xf numFmtId="0" fontId="38" fillId="0" borderId="14" xfId="0" quotePrefix="1" applyFont="1" applyBorder="1" applyAlignment="1">
      <alignment wrapText="1"/>
    </xf>
    <xf numFmtId="0" fontId="38" fillId="0" borderId="15" xfId="0" applyFont="1" applyBorder="1" applyAlignment="1">
      <alignment wrapText="1"/>
    </xf>
    <xf numFmtId="0" fontId="0" fillId="0" borderId="22" xfId="0" applyBorder="1" applyAlignment="1">
      <alignment wrapText="1"/>
    </xf>
    <xf numFmtId="0" fontId="37" fillId="0" borderId="0" xfId="0" applyFont="1" applyAlignment="1">
      <alignment wrapText="1"/>
    </xf>
    <xf numFmtId="0" fontId="38" fillId="0" borderId="0" xfId="0" applyFont="1" applyAlignment="1">
      <alignment wrapText="1"/>
    </xf>
    <xf numFmtId="0" fontId="6" fillId="16" borderId="46" xfId="0" applyFont="1" applyFill="1" applyBorder="1"/>
    <xf numFmtId="0" fontId="37" fillId="16" borderId="5" xfId="0" applyFont="1" applyFill="1" applyBorder="1" applyAlignment="1">
      <alignment wrapText="1"/>
    </xf>
    <xf numFmtId="0" fontId="80" fillId="0" borderId="0" xfId="15"/>
    <xf numFmtId="0" fontId="14" fillId="0" borderId="0" xfId="15" applyFont="1"/>
    <xf numFmtId="0" fontId="80" fillId="26" borderId="16" xfId="15" applyFill="1" applyBorder="1" applyAlignment="1">
      <alignment horizontal="center"/>
    </xf>
    <xf numFmtId="168" fontId="80" fillId="0" borderId="40" xfId="15" applyNumberFormat="1" applyBorder="1"/>
    <xf numFmtId="0" fontId="80" fillId="0" borderId="42" xfId="15" applyBorder="1"/>
    <xf numFmtId="0" fontId="80" fillId="26" borderId="18" xfId="15" applyFill="1" applyBorder="1" applyAlignment="1">
      <alignment horizontal="center"/>
    </xf>
    <xf numFmtId="0" fontId="80" fillId="26" borderId="20" xfId="15" applyFill="1" applyBorder="1" applyAlignment="1">
      <alignment horizontal="center"/>
    </xf>
    <xf numFmtId="0" fontId="6" fillId="28" borderId="8" xfId="15" applyFont="1" applyFill="1" applyBorder="1"/>
    <xf numFmtId="0" fontId="80" fillId="29" borderId="29" xfId="15" applyFill="1" applyBorder="1"/>
    <xf numFmtId="0" fontId="80" fillId="29" borderId="30" xfId="15" applyFill="1" applyBorder="1"/>
    <xf numFmtId="0" fontId="6" fillId="28" borderId="31" xfId="15" applyFont="1" applyFill="1" applyBorder="1"/>
    <xf numFmtId="167" fontId="80" fillId="0" borderId="32" xfId="15" applyNumberFormat="1" applyBorder="1" applyAlignment="1">
      <alignment horizontal="right"/>
    </xf>
    <xf numFmtId="0" fontId="80" fillId="0" borderId="33" xfId="15" applyBorder="1" applyAlignment="1">
      <alignment horizontal="left"/>
    </xf>
    <xf numFmtId="0" fontId="80" fillId="29" borderId="0" xfId="15" applyFill="1"/>
    <xf numFmtId="0" fontId="80" fillId="29" borderId="34" xfId="15" applyFill="1" applyBorder="1"/>
    <xf numFmtId="0" fontId="6" fillId="28" borderId="13" xfId="15" applyFont="1" applyFill="1" applyBorder="1"/>
    <xf numFmtId="0" fontId="80" fillId="29" borderId="37" xfId="15" applyFill="1" applyBorder="1"/>
    <xf numFmtId="0" fontId="80" fillId="29" borderId="38" xfId="15" applyFill="1" applyBorder="1"/>
    <xf numFmtId="0" fontId="80" fillId="29" borderId="39" xfId="15" applyFill="1" applyBorder="1"/>
    <xf numFmtId="0" fontId="80" fillId="31" borderId="16" xfId="15" applyFill="1" applyBorder="1" applyAlignment="1">
      <alignment vertical="center" wrapText="1"/>
    </xf>
    <xf numFmtId="0" fontId="80" fillId="31" borderId="18" xfId="15" applyFill="1" applyBorder="1" applyAlignment="1">
      <alignment vertical="center" wrapText="1"/>
    </xf>
    <xf numFmtId="0" fontId="80" fillId="31" borderId="20" xfId="15" applyFill="1" applyBorder="1" applyAlignment="1">
      <alignment vertical="center" wrapText="1"/>
    </xf>
    <xf numFmtId="0" fontId="6" fillId="0" borderId="0" xfId="15" applyFont="1"/>
    <xf numFmtId="0" fontId="80" fillId="32" borderId="46" xfId="15" applyFill="1" applyBorder="1"/>
    <xf numFmtId="0" fontId="80" fillId="14" borderId="30" xfId="15" applyFill="1" applyBorder="1" applyAlignment="1">
      <alignment horizontal="center"/>
    </xf>
    <xf numFmtId="0" fontId="80" fillId="32" borderId="81" xfId="15" applyFill="1" applyBorder="1"/>
    <xf numFmtId="2" fontId="80" fillId="0" borderId="34" xfId="15" applyNumberFormat="1" applyBorder="1"/>
    <xf numFmtId="0" fontId="80" fillId="32" borderId="37" xfId="15" applyFill="1" applyBorder="1"/>
    <xf numFmtId="2" fontId="80" fillId="0" borderId="39" xfId="15" applyNumberFormat="1" applyBorder="1"/>
    <xf numFmtId="0" fontId="22" fillId="0" borderId="0" xfId="15" applyFont="1"/>
    <xf numFmtId="0" fontId="18" fillId="0" borderId="0" xfId="15" applyFont="1"/>
    <xf numFmtId="0" fontId="16" fillId="34" borderId="106" xfId="15" applyFont="1" applyFill="1" applyBorder="1" applyAlignment="1">
      <alignment horizontal="center" vertical="center"/>
    </xf>
    <xf numFmtId="0" fontId="16" fillId="17" borderId="107" xfId="15" applyFont="1" applyFill="1" applyBorder="1" applyAlignment="1">
      <alignment horizontal="center" vertical="center"/>
    </xf>
    <xf numFmtId="0" fontId="16" fillId="17" borderId="108" xfId="15" applyFont="1" applyFill="1" applyBorder="1" applyAlignment="1">
      <alignment horizontal="center" vertical="center"/>
    </xf>
    <xf numFmtId="0" fontId="80" fillId="0" borderId="0" xfId="15" quotePrefix="1"/>
    <xf numFmtId="3" fontId="16" fillId="34" borderId="109" xfId="15" applyNumberFormat="1" applyFont="1" applyFill="1" applyBorder="1" applyAlignment="1">
      <alignment horizontal="left" vertical="center"/>
    </xf>
    <xf numFmtId="3" fontId="16" fillId="17" borderId="110" xfId="15" applyNumberFormat="1" applyFont="1" applyFill="1" applyBorder="1" applyAlignment="1">
      <alignment horizontal="center" vertical="center"/>
    </xf>
    <xf numFmtId="3" fontId="16" fillId="17" borderId="111" xfId="15" applyNumberFormat="1" applyFont="1" applyFill="1" applyBorder="1" applyAlignment="1">
      <alignment horizontal="center" vertical="center"/>
    </xf>
    <xf numFmtId="3" fontId="9" fillId="34" borderId="112" xfId="15" applyNumberFormat="1" applyFont="1" applyFill="1" applyBorder="1" applyAlignment="1">
      <alignment horizontal="right" vertical="center"/>
    </xf>
    <xf numFmtId="3" fontId="9" fillId="17" borderId="113" xfId="15" applyNumberFormat="1" applyFont="1" applyFill="1" applyBorder="1" applyAlignment="1">
      <alignment horizontal="right" vertical="center"/>
    </xf>
    <xf numFmtId="3" fontId="9" fillId="17" borderId="114" xfId="15" applyNumberFormat="1" applyFont="1" applyFill="1" applyBorder="1" applyAlignment="1">
      <alignment horizontal="right" vertical="center"/>
    </xf>
    <xf numFmtId="3" fontId="16" fillId="34" borderId="112" xfId="15" applyNumberFormat="1" applyFont="1" applyFill="1" applyBorder="1" applyAlignment="1">
      <alignment horizontal="left" vertical="center"/>
    </xf>
    <xf numFmtId="3" fontId="16" fillId="17" borderId="113" xfId="15" applyNumberFormat="1" applyFont="1" applyFill="1" applyBorder="1" applyAlignment="1">
      <alignment horizontal="center" vertical="center"/>
    </xf>
    <xf numFmtId="3" fontId="16" fillId="17" borderId="114" xfId="15" applyNumberFormat="1" applyFont="1" applyFill="1" applyBorder="1" applyAlignment="1">
      <alignment horizontal="center" vertical="center"/>
    </xf>
    <xf numFmtId="0" fontId="58" fillId="12" borderId="106" xfId="15" applyFont="1" applyFill="1" applyBorder="1" applyAlignment="1">
      <alignment horizontal="center" vertical="center"/>
    </xf>
    <xf numFmtId="3" fontId="58" fillId="12" borderId="107" xfId="15" applyNumberFormat="1" applyFont="1" applyFill="1" applyBorder="1" applyAlignment="1">
      <alignment horizontal="center" vertical="center"/>
    </xf>
    <xf numFmtId="3" fontId="58" fillId="12" borderId="108" xfId="15" applyNumberFormat="1" applyFont="1" applyFill="1" applyBorder="1" applyAlignment="1">
      <alignment horizontal="center" vertical="center"/>
    </xf>
    <xf numFmtId="0" fontId="6" fillId="32" borderId="8" xfId="15" applyFont="1" applyFill="1" applyBorder="1" applyAlignment="1">
      <alignment horizontal="center" vertical="center" wrapText="1"/>
    </xf>
    <xf numFmtId="0" fontId="6" fillId="32" borderId="10" xfId="15" applyFont="1" applyFill="1" applyBorder="1" applyAlignment="1">
      <alignment horizontal="center" vertical="center" wrapText="1"/>
    </xf>
    <xf numFmtId="0" fontId="6" fillId="32" borderId="28" xfId="15" applyFont="1" applyFill="1" applyBorder="1"/>
    <xf numFmtId="0" fontId="80" fillId="0" borderId="19" xfId="15" applyBorder="1"/>
    <xf numFmtId="0" fontId="6" fillId="32" borderId="13" xfId="15" applyFont="1" applyFill="1" applyBorder="1"/>
    <xf numFmtId="0" fontId="80" fillId="0" borderId="15" xfId="15" applyBorder="1"/>
    <xf numFmtId="0" fontId="80" fillId="14" borderId="8" xfId="15" applyFill="1" applyBorder="1" applyAlignment="1">
      <alignment horizontal="center"/>
    </xf>
    <xf numFmtId="0" fontId="47" fillId="14" borderId="9" xfId="15" applyFont="1" applyFill="1" applyBorder="1" applyAlignment="1">
      <alignment horizontal="center"/>
    </xf>
    <xf numFmtId="0" fontId="80" fillId="14" borderId="10" xfId="15" applyFill="1" applyBorder="1" applyAlignment="1">
      <alignment horizontal="center"/>
    </xf>
    <xf numFmtId="0" fontId="80" fillId="0" borderId="28" xfId="15" applyBorder="1" applyAlignment="1">
      <alignment horizontal="center"/>
    </xf>
    <xf numFmtId="0" fontId="3" fillId="34" borderId="2" xfId="15" applyFont="1" applyFill="1" applyBorder="1"/>
    <xf numFmtId="0" fontId="3" fillId="34" borderId="19" xfId="15" applyFont="1" applyFill="1" applyBorder="1"/>
    <xf numFmtId="0" fontId="59" fillId="34" borderId="19" xfId="15" applyFont="1" applyFill="1" applyBorder="1"/>
    <xf numFmtId="0" fontId="60" fillId="34" borderId="19" xfId="15" applyFont="1" applyFill="1" applyBorder="1"/>
    <xf numFmtId="0" fontId="80" fillId="0" borderId="13" xfId="15" applyBorder="1" applyAlignment="1">
      <alignment horizontal="center"/>
    </xf>
    <xf numFmtId="0" fontId="3" fillId="34" borderId="14" xfId="15" applyFont="1" applyFill="1" applyBorder="1"/>
    <xf numFmtId="0" fontId="3" fillId="34" borderId="15" xfId="15" applyFont="1" applyFill="1" applyBorder="1"/>
    <xf numFmtId="0" fontId="33" fillId="0" borderId="0" xfId="15" applyFont="1"/>
    <xf numFmtId="0" fontId="80" fillId="0" borderId="23" xfId="15" applyBorder="1" applyAlignment="1">
      <alignment vertical="center"/>
    </xf>
    <xf numFmtId="0" fontId="80" fillId="0" borderId="23" xfId="15" applyBorder="1"/>
    <xf numFmtId="0" fontId="80" fillId="0" borderId="24" xfId="15" applyBorder="1"/>
    <xf numFmtId="0" fontId="80" fillId="0" borderId="34" xfId="15" applyBorder="1"/>
    <xf numFmtId="1" fontId="80" fillId="0" borderId="19" xfId="15" applyNumberFormat="1" applyBorder="1"/>
    <xf numFmtId="0" fontId="26" fillId="43" borderId="13" xfId="15" applyFont="1" applyFill="1" applyBorder="1" applyAlignment="1">
      <alignment horizontal="left" vertical="center"/>
    </xf>
    <xf numFmtId="1" fontId="80" fillId="0" borderId="15" xfId="15" applyNumberFormat="1" applyBorder="1"/>
    <xf numFmtId="0" fontId="26" fillId="43" borderId="8" xfId="15" applyFont="1" applyFill="1" applyBorder="1" applyAlignment="1">
      <alignment horizontal="center" vertical="center"/>
    </xf>
    <xf numFmtId="0" fontId="26" fillId="43" borderId="10" xfId="15" applyFont="1" applyFill="1" applyBorder="1" applyAlignment="1">
      <alignment horizontal="center" vertical="center" wrapText="1"/>
    </xf>
    <xf numFmtId="0" fontId="26" fillId="43" borderId="28" xfId="15" applyFont="1" applyFill="1" applyBorder="1" applyAlignment="1">
      <alignment vertical="center"/>
    </xf>
    <xf numFmtId="0" fontId="26" fillId="43" borderId="28" xfId="15" applyFont="1" applyFill="1" applyBorder="1" applyAlignment="1">
      <alignment horizontal="left" vertical="center"/>
    </xf>
    <xf numFmtId="0" fontId="26" fillId="43" borderId="13" xfId="15" applyFont="1" applyFill="1" applyBorder="1" applyAlignment="1">
      <alignment vertical="center"/>
    </xf>
    <xf numFmtId="169" fontId="6" fillId="0" borderId="0" xfId="15" applyNumberFormat="1" applyFont="1"/>
    <xf numFmtId="0" fontId="19" fillId="14" borderId="8" xfId="15" applyFont="1" applyFill="1" applyBorder="1" applyAlignment="1">
      <alignment horizontal="center" vertical="center"/>
    </xf>
    <xf numFmtId="0" fontId="19" fillId="14" borderId="10" xfId="15" applyFont="1" applyFill="1" applyBorder="1" applyAlignment="1">
      <alignment horizontal="center" vertical="center"/>
    </xf>
    <xf numFmtId="0" fontId="61" fillId="0" borderId="13" xfId="15" applyFont="1" applyBorder="1" applyAlignment="1">
      <alignment horizontal="center" vertical="center"/>
    </xf>
    <xf numFmtId="0" fontId="61" fillId="0" borderId="15" xfId="15" applyFont="1" applyBorder="1" applyAlignment="1">
      <alignment horizontal="center" vertical="center"/>
    </xf>
    <xf numFmtId="174" fontId="80" fillId="0" borderId="19" xfId="15" applyNumberFormat="1" applyBorder="1"/>
    <xf numFmtId="174" fontId="80" fillId="0" borderId="15" xfId="15" applyNumberFormat="1" applyBorder="1"/>
    <xf numFmtId="0" fontId="61" fillId="0" borderId="15" xfId="15" quotePrefix="1" applyFont="1" applyBorder="1" applyAlignment="1">
      <alignment horizontal="center" vertical="center"/>
    </xf>
    <xf numFmtId="2" fontId="80" fillId="0" borderId="19" xfId="15" applyNumberFormat="1" applyBorder="1"/>
    <xf numFmtId="2" fontId="80" fillId="0" borderId="15" xfId="15" applyNumberFormat="1" applyBorder="1"/>
    <xf numFmtId="0" fontId="0" fillId="28" borderId="2" xfId="0" applyFill="1" applyBorder="1" applyAlignment="1">
      <alignment horizontal="center" vertical="center" wrapText="1"/>
    </xf>
    <xf numFmtId="0" fontId="0" fillId="28" borderId="32" xfId="0" applyFill="1" applyBorder="1" applyAlignment="1">
      <alignment horizontal="center" vertical="center" wrapText="1"/>
    </xf>
    <xf numFmtId="0" fontId="0" fillId="31" borderId="8" xfId="0" applyFill="1" applyBorder="1" applyAlignment="1">
      <alignment horizontal="center" vertical="center" wrapText="1"/>
    </xf>
    <xf numFmtId="0" fontId="0" fillId="31" borderId="9" xfId="0" applyFill="1" applyBorder="1" applyAlignment="1">
      <alignment horizontal="center" vertical="center" wrapText="1"/>
    </xf>
    <xf numFmtId="0" fontId="0" fillId="31" borderId="10" xfId="0" applyFill="1" applyBorder="1" applyAlignment="1">
      <alignment horizontal="center" vertical="center" wrapText="1"/>
    </xf>
    <xf numFmtId="167" fontId="0" fillId="0" borderId="2" xfId="0" applyNumberFormat="1" applyBorder="1"/>
    <xf numFmtId="165" fontId="0" fillId="12" borderId="19" xfId="0" applyNumberFormat="1" applyFill="1" applyBorder="1"/>
    <xf numFmtId="0" fontId="0" fillId="12" borderId="19" xfId="0" applyFill="1" applyBorder="1"/>
    <xf numFmtId="167" fontId="0" fillId="0" borderId="32" xfId="0" applyNumberFormat="1" applyBorder="1" applyAlignment="1">
      <alignment horizontal="right"/>
    </xf>
    <xf numFmtId="0" fontId="0" fillId="31" borderId="16" xfId="0" applyFill="1" applyBorder="1" applyAlignment="1">
      <alignment horizontal="left" vertical="center" wrapText="1"/>
    </xf>
    <xf numFmtId="0" fontId="0" fillId="31" borderId="18" xfId="0" applyFill="1" applyBorder="1" applyAlignment="1">
      <alignment horizontal="left" vertical="center" wrapText="1"/>
    </xf>
    <xf numFmtId="0" fontId="0" fillId="31" borderId="20" xfId="0" applyFill="1" applyBorder="1" applyAlignment="1">
      <alignment horizontal="left" vertical="center" wrapText="1"/>
    </xf>
    <xf numFmtId="0" fontId="6" fillId="14" borderId="8" xfId="0" applyFont="1" applyFill="1" applyBorder="1" applyAlignment="1">
      <alignment horizontal="center"/>
    </xf>
    <xf numFmtId="0" fontId="6" fillId="33" borderId="9" xfId="0" applyFont="1" applyFill="1" applyBorder="1" applyAlignment="1">
      <alignment horizontal="center"/>
    </xf>
    <xf numFmtId="0" fontId="6" fillId="32" borderId="9" xfId="15" applyFont="1" applyFill="1" applyBorder="1" applyAlignment="1">
      <alignment horizontal="center" vertical="center" wrapText="1"/>
    </xf>
    <xf numFmtId="0" fontId="6" fillId="33" borderId="10" xfId="0" applyFont="1" applyFill="1" applyBorder="1" applyAlignment="1">
      <alignment horizontal="center"/>
    </xf>
    <xf numFmtId="0" fontId="80" fillId="0" borderId="2" xfId="15" applyBorder="1"/>
    <xf numFmtId="0" fontId="80" fillId="0" borderId="19" xfId="15" quotePrefix="1" applyBorder="1"/>
    <xf numFmtId="169" fontId="0" fillId="0" borderId="14" xfId="0" applyNumberFormat="1" applyBorder="1"/>
    <xf numFmtId="0" fontId="63" fillId="0" borderId="0" xfId="0" applyFont="1" applyAlignment="1">
      <alignment horizontal="left"/>
    </xf>
    <xf numFmtId="0" fontId="6" fillId="32" borderId="50" xfId="0" applyFont="1" applyFill="1" applyBorder="1" applyAlignment="1">
      <alignment horizontal="center" vertical="center" wrapText="1"/>
    </xf>
    <xf numFmtId="0" fontId="6" fillId="32" borderId="51" xfId="0" applyFont="1" applyFill="1" applyBorder="1" applyAlignment="1">
      <alignment horizontal="center" vertical="center" wrapText="1"/>
    </xf>
    <xf numFmtId="0" fontId="6" fillId="32" borderId="52" xfId="0" applyFont="1" applyFill="1" applyBorder="1" applyAlignment="1">
      <alignment horizontal="center" vertical="center" wrapText="1"/>
    </xf>
    <xf numFmtId="0" fontId="0" fillId="0" borderId="53" xfId="0" applyBorder="1"/>
    <xf numFmtId="0" fontId="48" fillId="0" borderId="2" xfId="0" applyFont="1" applyBorder="1" applyAlignment="1">
      <alignment horizontal="center" vertical="center" wrapText="1"/>
    </xf>
    <xf numFmtId="0" fontId="0" fillId="0" borderId="54" xfId="0" quotePrefix="1" applyBorder="1"/>
    <xf numFmtId="0" fontId="0" fillId="0" borderId="69" xfId="0" applyBorder="1"/>
    <xf numFmtId="0" fontId="0" fillId="0" borderId="70" xfId="0" applyBorder="1" applyAlignment="1">
      <alignment horizontal="center" vertical="center" wrapText="1"/>
    </xf>
    <xf numFmtId="0" fontId="6" fillId="16" borderId="22" xfId="0" applyFont="1" applyFill="1" applyBorder="1"/>
    <xf numFmtId="4" fontId="6" fillId="16" borderId="23" xfId="0" applyNumberFormat="1" applyFont="1" applyFill="1" applyBorder="1"/>
    <xf numFmtId="0" fontId="6" fillId="16" borderId="24" xfId="0" applyFont="1" applyFill="1" applyBorder="1" applyAlignment="1">
      <alignment horizontal="left"/>
    </xf>
    <xf numFmtId="0" fontId="16" fillId="14" borderId="8" xfId="0" applyFont="1" applyFill="1" applyBorder="1"/>
    <xf numFmtId="0" fontId="6" fillId="14" borderId="9" xfId="0" applyFont="1" applyFill="1" applyBorder="1" applyAlignment="1">
      <alignment horizontal="center"/>
    </xf>
    <xf numFmtId="0" fontId="6" fillId="14" borderId="10" xfId="0" applyFont="1" applyFill="1" applyBorder="1" applyAlignment="1">
      <alignment horizontal="center"/>
    </xf>
    <xf numFmtId="0" fontId="16" fillId="14" borderId="28" xfId="0" applyFont="1" applyFill="1" applyBorder="1" applyAlignment="1">
      <alignment horizontal="center"/>
    </xf>
    <xf numFmtId="0" fontId="16" fillId="14" borderId="13" xfId="0" applyFont="1" applyFill="1" applyBorder="1" applyAlignment="1">
      <alignment horizontal="center"/>
    </xf>
    <xf numFmtId="0" fontId="6" fillId="14" borderId="13" xfId="0" applyFont="1" applyFill="1" applyBorder="1" applyAlignment="1">
      <alignment horizontal="center"/>
    </xf>
    <xf numFmtId="0" fontId="6" fillId="14" borderId="2" xfId="0" applyFont="1" applyFill="1" applyBorder="1" applyAlignment="1">
      <alignment horizontal="center"/>
    </xf>
    <xf numFmtId="0" fontId="0" fillId="0" borderId="116" xfId="0" applyBorder="1"/>
    <xf numFmtId="0" fontId="0" fillId="0" borderId="117" xfId="0" applyBorder="1"/>
    <xf numFmtId="0" fontId="0" fillId="0" borderId="118" xfId="0" applyBorder="1"/>
    <xf numFmtId="0" fontId="0" fillId="0" borderId="119" xfId="0" applyBorder="1"/>
    <xf numFmtId="0" fontId="26" fillId="32" borderId="59" xfId="0" applyFont="1" applyFill="1" applyBorder="1" applyAlignment="1">
      <alignment vertical="top" wrapText="1"/>
    </xf>
    <xf numFmtId="0" fontId="4" fillId="0" borderId="59" xfId="0" applyFont="1" applyBorder="1" applyAlignment="1">
      <alignment vertical="top" wrapText="1"/>
    </xf>
    <xf numFmtId="0" fontId="0" fillId="0" borderId="60" xfId="0" quotePrefix="1" applyBorder="1"/>
    <xf numFmtId="0" fontId="26" fillId="32" borderId="65" xfId="0" applyFont="1" applyFill="1" applyBorder="1" applyAlignment="1">
      <alignment vertical="top" wrapText="1"/>
    </xf>
    <xf numFmtId="0" fontId="4" fillId="0" borderId="65" xfId="0" applyFont="1" applyBorder="1" applyAlignment="1">
      <alignment vertical="top" wrapText="1"/>
    </xf>
    <xf numFmtId="0" fontId="0" fillId="0" borderId="66" xfId="0" quotePrefix="1" applyBorder="1"/>
    <xf numFmtId="0" fontId="0" fillId="0" borderId="120" xfId="0" applyBorder="1"/>
    <xf numFmtId="0" fontId="0" fillId="0" borderId="121" xfId="0" applyBorder="1"/>
    <xf numFmtId="0" fontId="0" fillId="0" borderId="122" xfId="0" applyBorder="1"/>
    <xf numFmtId="0" fontId="0" fillId="0" borderId="125" xfId="0" applyBorder="1" applyAlignment="1">
      <alignment horizontal="left"/>
    </xf>
    <xf numFmtId="0" fontId="6" fillId="0" borderId="89" xfId="0" applyFont="1" applyBorder="1" applyAlignment="1">
      <alignment horizontal="left"/>
    </xf>
    <xf numFmtId="0" fontId="6" fillId="0" borderId="126" xfId="0" applyFont="1" applyBorder="1"/>
    <xf numFmtId="4" fontId="0" fillId="16" borderId="89" xfId="0" applyNumberFormat="1" applyFill="1" applyBorder="1"/>
    <xf numFmtId="0" fontId="0" fillId="0" borderId="127" xfId="0" applyBorder="1"/>
    <xf numFmtId="0" fontId="6" fillId="32" borderId="56" xfId="0" applyFont="1" applyFill="1" applyBorder="1" applyAlignment="1">
      <alignment wrapText="1"/>
    </xf>
    <xf numFmtId="0" fontId="64" fillId="32" borderId="56" xfId="0" applyFont="1" applyFill="1" applyBorder="1" applyAlignment="1">
      <alignment horizontal="center" wrapText="1"/>
    </xf>
    <xf numFmtId="0" fontId="6" fillId="32" borderId="57" xfId="0" applyFont="1" applyFill="1" applyBorder="1" applyAlignment="1">
      <alignment wrapText="1"/>
    </xf>
    <xf numFmtId="0" fontId="6" fillId="0" borderId="128" xfId="0" applyFont="1" applyBorder="1"/>
    <xf numFmtId="4" fontId="0" fillId="16" borderId="129" xfId="0" applyNumberFormat="1" applyFill="1" applyBorder="1"/>
    <xf numFmtId="0" fontId="0" fillId="0" borderId="130" xfId="0" applyBorder="1"/>
    <xf numFmtId="0" fontId="64" fillId="0" borderId="59" xfId="0" applyFont="1" applyBorder="1" applyAlignment="1">
      <alignment horizontal="left"/>
    </xf>
    <xf numFmtId="0" fontId="0" fillId="0" borderId="60" xfId="0" applyBorder="1"/>
    <xf numFmtId="0" fontId="24" fillId="0" borderId="59" xfId="0" applyFont="1" applyBorder="1" applyAlignment="1">
      <alignment horizontal="left"/>
    </xf>
    <xf numFmtId="0" fontId="6" fillId="32" borderId="58" xfId="0" applyFont="1" applyFill="1" applyBorder="1" applyAlignment="1">
      <alignment wrapText="1"/>
    </xf>
    <xf numFmtId="0" fontId="0" fillId="0" borderId="65" xfId="0" applyBorder="1" applyAlignment="1">
      <alignment wrapText="1"/>
    </xf>
    <xf numFmtId="0" fontId="0" fillId="0" borderId="66" xfId="0" applyBorder="1"/>
    <xf numFmtId="0" fontId="65" fillId="32" borderId="59" xfId="0" applyFont="1" applyFill="1" applyBorder="1" applyAlignment="1">
      <alignment horizontal="left" vertical="center" wrapText="1"/>
    </xf>
    <xf numFmtId="0" fontId="65" fillId="32" borderId="59" xfId="0" applyFont="1" applyFill="1" applyBorder="1" applyAlignment="1">
      <alignment horizontal="center" vertical="center" wrapText="1"/>
    </xf>
    <xf numFmtId="0" fontId="40" fillId="32" borderId="59" xfId="0" applyFont="1" applyFill="1" applyBorder="1" applyAlignment="1">
      <alignment vertical="center" wrapText="1"/>
    </xf>
    <xf numFmtId="0" fontId="65" fillId="32" borderId="59" xfId="0" applyFont="1" applyFill="1" applyBorder="1" applyAlignment="1">
      <alignment vertical="center" wrapText="1"/>
    </xf>
    <xf numFmtId="3" fontId="66" fillId="0" borderId="59" xfId="5" applyNumberFormat="1" applyFont="1" applyBorder="1" applyAlignment="1">
      <alignment vertical="center" wrapText="1"/>
    </xf>
    <xf numFmtId="3" fontId="39" fillId="34" borderId="59" xfId="5" applyNumberFormat="1" applyFont="1" applyFill="1" applyBorder="1" applyAlignment="1">
      <alignment vertical="center" wrapText="1"/>
    </xf>
    <xf numFmtId="3" fontId="67" fillId="0" borderId="59" xfId="5" applyNumberFormat="1" applyFont="1" applyBorder="1" applyAlignment="1">
      <alignment vertical="center" wrapText="1"/>
    </xf>
    <xf numFmtId="3" fontId="40" fillId="34" borderId="59" xfId="5" applyNumberFormat="1" applyFont="1" applyFill="1" applyBorder="1" applyAlignment="1">
      <alignment vertical="center" wrapText="1"/>
    </xf>
    <xf numFmtId="0" fontId="40" fillId="32" borderId="55" xfId="0" applyFont="1" applyFill="1" applyBorder="1" applyAlignment="1">
      <alignment vertical="center" wrapText="1"/>
    </xf>
    <xf numFmtId="0" fontId="40" fillId="32" borderId="57" xfId="0" applyFont="1" applyFill="1" applyBorder="1" applyAlignment="1">
      <alignment vertical="center" wrapText="1"/>
    </xf>
    <xf numFmtId="0" fontId="37" fillId="32" borderId="58" xfId="0" applyFont="1" applyFill="1" applyBorder="1" applyAlignment="1">
      <alignment vertical="center" wrapText="1"/>
    </xf>
    <xf numFmtId="3" fontId="39" fillId="34" borderId="60" xfId="5" applyNumberFormat="1" applyFont="1" applyFill="1" applyBorder="1" applyAlignment="1">
      <alignment vertical="center" wrapText="1"/>
    </xf>
    <xf numFmtId="0" fontId="37" fillId="32" borderId="76" xfId="0" applyFont="1" applyFill="1" applyBorder="1" applyAlignment="1">
      <alignment vertical="center" wrapText="1"/>
    </xf>
    <xf numFmtId="3" fontId="40" fillId="34" borderId="66" xfId="5" applyNumberFormat="1" applyFont="1" applyFill="1" applyBorder="1" applyAlignment="1">
      <alignment vertical="center" wrapText="1"/>
    </xf>
    <xf numFmtId="0" fontId="37" fillId="32" borderId="59" xfId="0" applyFont="1" applyFill="1" applyBorder="1" applyAlignment="1">
      <alignment vertical="center" wrapText="1"/>
    </xf>
    <xf numFmtId="3" fontId="40" fillId="16" borderId="59" xfId="5" applyNumberFormat="1" applyFont="1" applyFill="1" applyBorder="1" applyAlignment="1">
      <alignment vertical="center" wrapText="1"/>
    </xf>
    <xf numFmtId="0" fontId="34" fillId="34" borderId="0" xfId="0" applyFont="1" applyFill="1" applyAlignment="1">
      <alignment horizontal="left"/>
    </xf>
    <xf numFmtId="0" fontId="35" fillId="34" borderId="0" xfId="0" applyFont="1" applyFill="1"/>
    <xf numFmtId="0" fontId="35" fillId="34" borderId="0" xfId="0" applyFont="1" applyFill="1" applyAlignment="1">
      <alignment horizontal="left"/>
    </xf>
    <xf numFmtId="0" fontId="37" fillId="32" borderId="59" xfId="0" applyFont="1" applyFill="1" applyBorder="1" applyAlignment="1">
      <alignment horizontal="left" vertical="center" wrapText="1"/>
    </xf>
    <xf numFmtId="0" fontId="37" fillId="32" borderId="59" xfId="0" applyFont="1" applyFill="1" applyBorder="1" applyAlignment="1">
      <alignment horizontal="center" vertical="center" wrapText="1"/>
    </xf>
    <xf numFmtId="0" fontId="39" fillId="0" borderId="0" xfId="0" quotePrefix="1" applyFont="1"/>
    <xf numFmtId="3" fontId="37" fillId="0" borderId="59" xfId="0" applyNumberFormat="1" applyFont="1" applyBorder="1" applyAlignment="1">
      <alignment horizontal="center" vertical="center"/>
    </xf>
    <xf numFmtId="2" fontId="37" fillId="0" borderId="59" xfId="0" applyNumberFormat="1" applyFont="1" applyBorder="1" applyAlignment="1">
      <alignment horizontal="center" vertical="center" wrapText="1"/>
    </xf>
    <xf numFmtId="170" fontId="37" fillId="34" borderId="59" xfId="0" applyNumberFormat="1" applyFont="1" applyFill="1" applyBorder="1" applyAlignment="1">
      <alignment horizontal="center" vertical="center"/>
    </xf>
    <xf numFmtId="0" fontId="37" fillId="32" borderId="59" xfId="0" applyFont="1" applyFill="1" applyBorder="1" applyAlignment="1">
      <alignment horizontal="left" vertical="center"/>
    </xf>
    <xf numFmtId="3" fontId="38" fillId="0" borderId="59" xfId="0" applyNumberFormat="1" applyFont="1" applyBorder="1" applyAlignment="1">
      <alignment horizontal="center" vertical="center"/>
    </xf>
    <xf numFmtId="170" fontId="38" fillId="34" borderId="59" xfId="0" applyNumberFormat="1" applyFont="1" applyFill="1" applyBorder="1" applyAlignment="1">
      <alignment horizontal="center" vertical="center"/>
    </xf>
    <xf numFmtId="0" fontId="37" fillId="0" borderId="59" xfId="0" applyFont="1" applyBorder="1" applyAlignment="1">
      <alignment horizontal="center" vertical="center"/>
    </xf>
    <xf numFmtId="170" fontId="37" fillId="34" borderId="0" xfId="0" applyNumberFormat="1" applyFont="1" applyFill="1" applyAlignment="1">
      <alignment horizontal="center" vertical="center"/>
    </xf>
    <xf numFmtId="0" fontId="6" fillId="0" borderId="22" xfId="0" applyFont="1" applyBorder="1" applyAlignment="1">
      <alignment wrapText="1"/>
    </xf>
    <xf numFmtId="4" fontId="6" fillId="16" borderId="24" xfId="0" applyNumberFormat="1" applyFont="1" applyFill="1" applyBorder="1"/>
    <xf numFmtId="0" fontId="6" fillId="0" borderId="123" xfId="0" applyFont="1" applyBorder="1"/>
    <xf numFmtId="4" fontId="6" fillId="16" borderId="124" xfId="0" applyNumberFormat="1" applyFont="1" applyFill="1" applyBorder="1"/>
    <xf numFmtId="4" fontId="17" fillId="0" borderId="0" xfId="0" applyNumberFormat="1" applyFont="1"/>
    <xf numFmtId="0" fontId="6" fillId="32" borderId="115" xfId="0" applyFont="1" applyFill="1" applyBorder="1"/>
    <xf numFmtId="0" fontId="0" fillId="32" borderId="116" xfId="0" applyFill="1" applyBorder="1"/>
    <xf numFmtId="0" fontId="0" fillId="32" borderId="117" xfId="0" applyFill="1" applyBorder="1"/>
    <xf numFmtId="0" fontId="6" fillId="14" borderId="28" xfId="0" applyFont="1" applyFill="1" applyBorder="1" applyAlignment="1">
      <alignment horizontal="center"/>
    </xf>
    <xf numFmtId="4" fontId="17" fillId="0" borderId="14" xfId="0" applyNumberFormat="1" applyFont="1" applyBorder="1"/>
    <xf numFmtId="0" fontId="0" fillId="16" borderId="15" xfId="0" applyFill="1" applyBorder="1"/>
    <xf numFmtId="0" fontId="68" fillId="0" borderId="0" xfId="0" applyFont="1"/>
    <xf numFmtId="0" fontId="6" fillId="32" borderId="55" xfId="0" applyFont="1" applyFill="1" applyBorder="1" applyAlignment="1">
      <alignment horizontal="center" vertical="center"/>
    </xf>
    <xf numFmtId="0" fontId="6" fillId="32" borderId="56" xfId="0" applyFont="1" applyFill="1" applyBorder="1" applyAlignment="1">
      <alignment horizontal="center" vertical="center"/>
    </xf>
    <xf numFmtId="0" fontId="6" fillId="32" borderId="57" xfId="0" applyFont="1" applyFill="1" applyBorder="1" applyAlignment="1">
      <alignment horizontal="center" vertical="center"/>
    </xf>
    <xf numFmtId="0" fontId="6" fillId="32" borderId="58" xfId="0" applyFont="1" applyFill="1" applyBorder="1" applyAlignment="1">
      <alignment horizontal="center" vertical="center"/>
    </xf>
    <xf numFmtId="0" fontId="0" fillId="0" borderId="63"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168" fontId="6" fillId="0" borderId="60" xfId="0" applyNumberFormat="1" applyFont="1" applyBorder="1"/>
    <xf numFmtId="0" fontId="6" fillId="32" borderId="76" xfId="0" applyFont="1" applyFill="1" applyBorder="1" applyAlignment="1">
      <alignment horizontal="center" vertical="center"/>
    </xf>
    <xf numFmtId="4" fontId="6" fillId="0" borderId="0" xfId="0" applyNumberFormat="1" applyFont="1"/>
    <xf numFmtId="4" fontId="0" fillId="0" borderId="0" xfId="0" applyNumberFormat="1"/>
    <xf numFmtId="0" fontId="40" fillId="0" borderId="0" xfId="0" applyFont="1"/>
    <xf numFmtId="0" fontId="40" fillId="32" borderId="56" xfId="0" applyFont="1" applyFill="1" applyBorder="1" applyAlignment="1">
      <alignment horizontal="center" vertical="center" wrapText="1"/>
    </xf>
    <xf numFmtId="0" fontId="40" fillId="32" borderId="57" xfId="0" applyFont="1" applyFill="1" applyBorder="1" applyAlignment="1">
      <alignment horizontal="center" vertical="center" wrapText="1"/>
    </xf>
    <xf numFmtId="0" fontId="38" fillId="32" borderId="58" xfId="0" applyFont="1" applyFill="1" applyBorder="1" applyAlignment="1">
      <alignment horizontal="left" vertical="center" wrapText="1"/>
    </xf>
    <xf numFmtId="175" fontId="39" fillId="34" borderId="59" xfId="5" applyNumberFormat="1" applyFont="1" applyFill="1" applyBorder="1" applyAlignment="1">
      <alignment horizontal="right" vertical="center"/>
    </xf>
    <xf numFmtId="169" fontId="39" fillId="34" borderId="60" xfId="0" applyNumberFormat="1" applyFont="1" applyFill="1" applyBorder="1" applyAlignment="1">
      <alignment vertical="center"/>
    </xf>
    <xf numFmtId="169" fontId="39" fillId="34" borderId="60" xfId="19" applyNumberFormat="1" applyFont="1" applyFill="1" applyBorder="1" applyAlignment="1">
      <alignment vertical="center"/>
    </xf>
    <xf numFmtId="0" fontId="37" fillId="32" borderId="58" xfId="0" applyFont="1" applyFill="1" applyBorder="1" applyAlignment="1">
      <alignment horizontal="left" vertical="center" wrapText="1"/>
    </xf>
    <xf numFmtId="175" fontId="40" fillId="34" borderId="59" xfId="5" applyNumberFormat="1" applyFont="1" applyFill="1" applyBorder="1" applyAlignment="1">
      <alignment horizontal="right" vertical="center"/>
    </xf>
    <xf numFmtId="169" fontId="40" fillId="34" borderId="60" xfId="19" applyNumberFormat="1" applyFont="1" applyFill="1" applyBorder="1" applyAlignment="1">
      <alignment vertical="center"/>
    </xf>
    <xf numFmtId="0" fontId="39" fillId="34" borderId="60" xfId="0" applyFont="1" applyFill="1" applyBorder="1" applyAlignment="1">
      <alignment vertical="center"/>
    </xf>
    <xf numFmtId="175" fontId="40" fillId="34" borderId="65" xfId="5" applyNumberFormat="1" applyFont="1" applyFill="1" applyBorder="1" applyAlignment="1">
      <alignment horizontal="right" vertical="center"/>
    </xf>
    <xf numFmtId="0" fontId="40" fillId="34" borderId="66" xfId="0" applyFont="1" applyFill="1" applyBorder="1" applyAlignment="1">
      <alignment vertical="center"/>
    </xf>
    <xf numFmtId="169" fontId="39" fillId="0" borderId="0" xfId="0" applyNumberFormat="1" applyFont="1"/>
    <xf numFmtId="0" fontId="0" fillId="16" borderId="22" xfId="0" applyFill="1" applyBorder="1"/>
    <xf numFmtId="169" fontId="6" fillId="16" borderId="23" xfId="0" applyNumberFormat="1" applyFont="1" applyFill="1" applyBorder="1"/>
    <xf numFmtId="0" fontId="0" fillId="16" borderId="23" xfId="0" applyFill="1" applyBorder="1"/>
    <xf numFmtId="0" fontId="0" fillId="16" borderId="24" xfId="0" applyFill="1" applyBorder="1"/>
    <xf numFmtId="0" fontId="69" fillId="0" borderId="0" xfId="0" applyFont="1"/>
    <xf numFmtId="3" fontId="0" fillId="0" borderId="2" xfId="0" applyNumberFormat="1" applyBorder="1" applyAlignment="1">
      <alignment horizontal="center"/>
    </xf>
    <xf numFmtId="0" fontId="0" fillId="0" borderId="46" xfId="0" applyBorder="1" applyAlignment="1">
      <alignment wrapText="1"/>
    </xf>
    <xf numFmtId="3" fontId="0" fillId="0" borderId="30" xfId="0" applyNumberFormat="1" applyBorder="1"/>
    <xf numFmtId="0" fontId="0" fillId="0" borderId="37" xfId="0" applyBorder="1" applyAlignment="1">
      <alignment wrapText="1"/>
    </xf>
    <xf numFmtId="2" fontId="0" fillId="16" borderId="15" xfId="0" applyNumberFormat="1" applyFill="1" applyBorder="1"/>
    <xf numFmtId="0" fontId="0" fillId="14" borderId="8" xfId="0" applyFill="1" applyBorder="1" applyAlignment="1">
      <alignment horizontal="center" vertical="center" wrapText="1"/>
    </xf>
    <xf numFmtId="0" fontId="0" fillId="14" borderId="9" xfId="0" applyFill="1" applyBorder="1" applyAlignment="1">
      <alignment horizontal="center" vertical="center" wrapText="1"/>
    </xf>
    <xf numFmtId="0" fontId="0" fillId="14" borderId="10" xfId="0" applyFill="1" applyBorder="1" applyAlignment="1">
      <alignment horizontal="center" vertical="center" wrapText="1"/>
    </xf>
    <xf numFmtId="0" fontId="0" fillId="0" borderId="0" xfId="0" applyAlignment="1">
      <alignment horizontal="left" vertical="center"/>
    </xf>
    <xf numFmtId="4" fontId="0" fillId="0" borderId="13" xfId="0" applyNumberFormat="1" applyBorder="1" applyAlignment="1">
      <alignment horizontal="center"/>
    </xf>
    <xf numFmtId="4" fontId="0" fillId="16" borderId="14" xfId="0" applyNumberFormat="1" applyFill="1" applyBorder="1" applyAlignment="1">
      <alignment horizontal="center"/>
    </xf>
    <xf numFmtId="0" fontId="0" fillId="0" borderId="15" xfId="0" applyBorder="1" applyAlignment="1">
      <alignment horizontal="center"/>
    </xf>
    <xf numFmtId="0" fontId="17" fillId="0" borderId="0" xfId="1" quotePrefix="1" applyFont="1" applyAlignment="1" applyProtection="1"/>
    <xf numFmtId="0" fontId="6" fillId="16" borderId="14" xfId="0" applyFont="1" applyFill="1" applyBorder="1"/>
    <xf numFmtId="0" fontId="6" fillId="14" borderId="8" xfId="0" applyFont="1" applyFill="1" applyBorder="1"/>
    <xf numFmtId="0" fontId="6" fillId="14" borderId="10" xfId="0" applyFont="1" applyFill="1" applyBorder="1" applyAlignment="1">
      <alignment horizontal="left" wrapText="1"/>
    </xf>
    <xf numFmtId="4" fontId="0" fillId="0" borderId="19" xfId="0" applyNumberFormat="1" applyBorder="1"/>
    <xf numFmtId="0" fontId="6" fillId="14" borderId="48" xfId="0" applyFont="1" applyFill="1" applyBorder="1"/>
    <xf numFmtId="4" fontId="0" fillId="0" borderId="79" xfId="0" applyNumberFormat="1" applyBorder="1"/>
    <xf numFmtId="4" fontId="0" fillId="16" borderId="15" xfId="0" applyNumberFormat="1" applyFill="1" applyBorder="1"/>
    <xf numFmtId="0" fontId="6" fillId="14" borderId="16" xfId="0" applyFont="1" applyFill="1" applyBorder="1" applyAlignment="1">
      <alignment wrapText="1"/>
    </xf>
    <xf numFmtId="0" fontId="6" fillId="14" borderId="42" xfId="0" applyFont="1" applyFill="1" applyBorder="1" applyAlignment="1">
      <alignment horizontal="left" wrapText="1"/>
    </xf>
    <xf numFmtId="0" fontId="6" fillId="14" borderId="18" xfId="0" applyFont="1" applyFill="1" applyBorder="1"/>
    <xf numFmtId="4" fontId="0" fillId="0" borderId="33" xfId="0" applyNumberFormat="1" applyBorder="1"/>
    <xf numFmtId="0" fontId="6" fillId="14" borderId="20" xfId="0" applyFont="1" applyFill="1" applyBorder="1"/>
    <xf numFmtId="4" fontId="0" fillId="16" borderId="45" xfId="0" applyNumberFormat="1" applyFill="1" applyBorder="1"/>
    <xf numFmtId="168" fontId="0" fillId="0" borderId="25" xfId="0" applyNumberFormat="1" applyBorder="1"/>
    <xf numFmtId="0" fontId="6" fillId="32" borderId="2" xfId="0" applyFont="1" applyFill="1" applyBorder="1" applyAlignment="1">
      <alignment wrapText="1"/>
    </xf>
    <xf numFmtId="0" fontId="6" fillId="32" borderId="32" xfId="0" applyFont="1" applyFill="1" applyBorder="1" applyAlignment="1">
      <alignment wrapText="1"/>
    </xf>
    <xf numFmtId="0" fontId="6" fillId="32" borderId="2" xfId="0" applyFont="1" applyFill="1" applyBorder="1" applyAlignment="1">
      <alignment horizontal="center" vertical="center" wrapText="1"/>
    </xf>
    <xf numFmtId="0" fontId="6" fillId="32" borderId="19" xfId="0" applyFont="1" applyFill="1" applyBorder="1" applyAlignment="1">
      <alignment horizontal="center" vertical="center" wrapText="1"/>
    </xf>
    <xf numFmtId="168" fontId="0" fillId="0" borderId="14" xfId="0" applyNumberFormat="1" applyBorder="1"/>
    <xf numFmtId="168" fontId="6" fillId="0" borderId="15" xfId="0" applyNumberFormat="1" applyFont="1" applyBorder="1"/>
    <xf numFmtId="168" fontId="0" fillId="0" borderId="21" xfId="0" applyNumberFormat="1" applyBorder="1"/>
    <xf numFmtId="168" fontId="0" fillId="0" borderId="14" xfId="0" applyNumberFormat="1" applyBorder="1" applyAlignment="1">
      <alignment horizontal="center" vertical="center" wrapText="1"/>
    </xf>
    <xf numFmtId="168" fontId="6" fillId="0" borderId="15" xfId="0" applyNumberFormat="1" applyFont="1" applyBorder="1" applyAlignment="1">
      <alignment horizontal="center" vertical="center" wrapText="1"/>
    </xf>
    <xf numFmtId="2" fontId="0" fillId="0" borderId="14" xfId="0" applyNumberFormat="1" applyBorder="1"/>
    <xf numFmtId="168" fontId="0" fillId="0" borderId="0" xfId="0" applyNumberFormat="1"/>
    <xf numFmtId="0" fontId="6" fillId="14" borderId="8" xfId="0" applyFont="1" applyFill="1" applyBorder="1" applyAlignment="1">
      <alignment horizontal="center" vertical="center"/>
    </xf>
    <xf numFmtId="0" fontId="6" fillId="14" borderId="9"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0" fillId="0" borderId="0" xfId="0" quotePrefix="1" applyAlignment="1">
      <alignment horizontal="center" vertical="center" wrapText="1"/>
    </xf>
    <xf numFmtId="3" fontId="0" fillId="0" borderId="80" xfId="0" applyNumberFormat="1" applyBorder="1"/>
    <xf numFmtId="0" fontId="0" fillId="0" borderId="46" xfId="0" applyBorder="1"/>
    <xf numFmtId="0" fontId="63" fillId="0" borderId="0" xfId="0" applyFont="1"/>
    <xf numFmtId="0" fontId="6" fillId="32" borderId="8" xfId="0" applyFont="1" applyFill="1" applyBorder="1" applyAlignment="1">
      <alignment horizontal="center" vertical="center" wrapText="1"/>
    </xf>
    <xf numFmtId="0" fontId="21" fillId="0" borderId="2" xfId="1" quotePrefix="1" applyFont="1" applyBorder="1" applyAlignment="1" applyProtection="1">
      <alignment vertical="top"/>
    </xf>
    <xf numFmtId="0" fontId="21" fillId="0" borderId="14" xfId="1" quotePrefix="1" applyFont="1" applyBorder="1" applyAlignment="1" applyProtection="1">
      <alignment vertical="top"/>
    </xf>
    <xf numFmtId="0" fontId="6" fillId="32" borderId="2" xfId="0" applyFont="1" applyFill="1" applyBorder="1"/>
    <xf numFmtId="0" fontId="21" fillId="0" borderId="19" xfId="1" quotePrefix="1" applyFont="1" applyBorder="1" applyAlignment="1" applyProtection="1">
      <alignment vertical="top"/>
    </xf>
    <xf numFmtId="0" fontId="6" fillId="16" borderId="0" xfId="0" applyFont="1" applyFill="1"/>
    <xf numFmtId="2" fontId="0" fillId="0" borderId="32" xfId="0" applyNumberFormat="1" applyBorder="1" applyAlignment="1">
      <alignment horizontal="right"/>
    </xf>
    <xf numFmtId="0" fontId="6" fillId="32" borderId="8" xfId="0" applyFont="1" applyFill="1" applyBorder="1" applyAlignment="1">
      <alignment horizontal="center" vertical="center"/>
    </xf>
    <xf numFmtId="0" fontId="6" fillId="16" borderId="24" xfId="0" applyFont="1" applyFill="1" applyBorder="1"/>
    <xf numFmtId="0" fontId="6" fillId="32" borderId="8" xfId="0" applyFont="1" applyFill="1" applyBorder="1" applyAlignment="1">
      <alignment horizontal="left" vertical="center"/>
    </xf>
    <xf numFmtId="0" fontId="0" fillId="0" borderId="10" xfId="0" applyBorder="1" applyAlignment="1">
      <alignment horizontal="center" vertical="center"/>
    </xf>
    <xf numFmtId="0" fontId="0" fillId="0" borderId="0" xfId="0" quotePrefix="1" applyAlignment="1">
      <alignment horizontal="left" vertical="center" wrapText="1"/>
    </xf>
    <xf numFmtId="0" fontId="6" fillId="32" borderId="28" xfId="0" applyFont="1" applyFill="1" applyBorder="1" applyAlignment="1">
      <alignment horizontal="left" vertical="center"/>
    </xf>
    <xf numFmtId="0" fontId="0" fillId="0" borderId="19" xfId="0" applyBorder="1" applyAlignment="1">
      <alignment horizontal="center" vertical="center"/>
    </xf>
    <xf numFmtId="0" fontId="0" fillId="28" borderId="27" xfId="0" applyFill="1" applyBorder="1" applyAlignment="1">
      <alignment horizontal="center" vertical="center" wrapText="1"/>
    </xf>
    <xf numFmtId="165" fontId="0" fillId="15" borderId="2" xfId="0" applyNumberFormat="1" applyFill="1" applyBorder="1"/>
    <xf numFmtId="0" fontId="16" fillId="0" borderId="0" xfId="0" applyFont="1"/>
    <xf numFmtId="0" fontId="70" fillId="0" borderId="0" xfId="18" applyFont="1" applyAlignment="1">
      <alignment vertical="center"/>
    </xf>
    <xf numFmtId="0" fontId="71" fillId="32" borderId="8" xfId="18" applyFont="1" applyFill="1" applyBorder="1" applyAlignment="1">
      <alignment horizontal="center" vertical="center"/>
    </xf>
    <xf numFmtId="0" fontId="72" fillId="32" borderId="9" xfId="17" applyFont="1" applyFill="1" applyBorder="1" applyAlignment="1">
      <alignment vertical="center" wrapText="1"/>
    </xf>
    <xf numFmtId="0" fontId="72" fillId="32" borderId="10" xfId="17" applyFont="1" applyFill="1" applyBorder="1" applyAlignment="1">
      <alignment vertical="center" wrapText="1"/>
    </xf>
    <xf numFmtId="0" fontId="35" fillId="0" borderId="0" xfId="17" quotePrefix="1" applyFont="1" applyAlignment="1">
      <alignment vertical="center" wrapText="1"/>
    </xf>
    <xf numFmtId="0" fontId="40" fillId="0" borderId="0" xfId="17" applyFont="1" applyAlignment="1">
      <alignment vertical="center" wrapText="1"/>
    </xf>
    <xf numFmtId="0" fontId="72" fillId="32" borderId="28" xfId="0" applyFont="1" applyFill="1" applyBorder="1" applyAlignment="1">
      <alignment vertical="center"/>
    </xf>
    <xf numFmtId="3" fontId="72" fillId="0" borderId="2" xfId="0" applyNumberFormat="1" applyFont="1" applyBorder="1" applyAlignment="1">
      <alignment horizontal="right" vertical="center"/>
    </xf>
    <xf numFmtId="3" fontId="72" fillId="0" borderId="19" xfId="0" applyNumberFormat="1" applyFont="1" applyBorder="1" applyAlignment="1">
      <alignment horizontal="right" vertical="center"/>
    </xf>
    <xf numFmtId="169" fontId="1" fillId="0" borderId="0" xfId="1" applyNumberFormat="1" applyFont="1" applyAlignment="1" applyProtection="1">
      <alignment vertical="top"/>
    </xf>
    <xf numFmtId="169" fontId="40" fillId="0" borderId="0" xfId="19" applyNumberFormat="1" applyFont="1" applyAlignment="1">
      <alignment horizontal="right" vertical="center"/>
    </xf>
    <xf numFmtId="3" fontId="35" fillId="0" borderId="2" xfId="0" applyNumberFormat="1" applyFont="1" applyBorder="1" applyAlignment="1">
      <alignment horizontal="right" vertical="center"/>
    </xf>
    <xf numFmtId="169" fontId="39" fillId="0" borderId="0" xfId="19" applyNumberFormat="1" applyFont="1" applyAlignment="1">
      <alignment horizontal="right" vertical="center"/>
    </xf>
    <xf numFmtId="0" fontId="72" fillId="32" borderId="104" xfId="0" applyFont="1" applyFill="1" applyBorder="1" applyAlignment="1">
      <alignment vertical="center"/>
    </xf>
    <xf numFmtId="3" fontId="35" fillId="0" borderId="131" xfId="0" applyNumberFormat="1" applyFont="1" applyBorder="1" applyAlignment="1">
      <alignment horizontal="right" vertical="center"/>
    </xf>
    <xf numFmtId="3" fontId="72" fillId="0" borderId="105" xfId="0" applyNumberFormat="1" applyFont="1" applyBorder="1" applyAlignment="1">
      <alignment horizontal="right" vertical="center"/>
    </xf>
    <xf numFmtId="0" fontId="72" fillId="32" borderId="132" xfId="0" applyFont="1" applyFill="1" applyBorder="1" applyAlignment="1">
      <alignment vertical="center"/>
    </xf>
    <xf numFmtId="3" fontId="72" fillId="0" borderId="133" xfId="0" applyNumberFormat="1" applyFont="1" applyBorder="1" applyAlignment="1">
      <alignment horizontal="right" vertical="center"/>
    </xf>
    <xf numFmtId="3" fontId="72" fillId="0" borderId="134" xfId="0" applyNumberFormat="1" applyFont="1" applyBorder="1" applyAlignment="1">
      <alignment horizontal="right" vertical="center"/>
    </xf>
    <xf numFmtId="0" fontId="72" fillId="32" borderId="78" xfId="0" applyFont="1" applyFill="1" applyBorder="1" applyAlignment="1">
      <alignment vertical="center"/>
    </xf>
    <xf numFmtId="3" fontId="72" fillId="0" borderId="87" xfId="0" applyNumberFormat="1" applyFont="1" applyBorder="1" applyAlignment="1">
      <alignment horizontal="right" vertical="center"/>
    </xf>
    <xf numFmtId="3" fontId="72" fillId="0" borderId="86" xfId="0" applyNumberFormat="1" applyFont="1" applyBorder="1" applyAlignment="1">
      <alignment horizontal="right" vertical="center"/>
    </xf>
    <xf numFmtId="0" fontId="72" fillId="32" borderId="85" xfId="0" applyFont="1" applyFill="1" applyBorder="1" applyAlignment="1">
      <alignment vertical="center"/>
    </xf>
    <xf numFmtId="3" fontId="72" fillId="0" borderId="35" xfId="0" applyNumberFormat="1" applyFont="1" applyBorder="1" applyAlignment="1">
      <alignment horizontal="right" vertical="center"/>
    </xf>
    <xf numFmtId="3" fontId="72" fillId="0" borderId="36" xfId="0" applyNumberFormat="1" applyFont="1" applyBorder="1" applyAlignment="1">
      <alignment horizontal="right" vertical="center"/>
    </xf>
    <xf numFmtId="0" fontId="35" fillId="0" borderId="0" xfId="0" applyFont="1" applyAlignment="1">
      <alignment vertical="center"/>
    </xf>
    <xf numFmtId="0" fontId="16" fillId="32" borderId="3" xfId="0" applyFont="1" applyFill="1" applyBorder="1"/>
    <xf numFmtId="0" fontId="0" fillId="0" borderId="135" xfId="0" applyBorder="1"/>
    <xf numFmtId="0" fontId="16" fillId="32" borderId="8" xfId="0" applyFont="1" applyFill="1" applyBorder="1" applyAlignment="1">
      <alignment horizontal="center" vertical="center" wrapText="1"/>
    </xf>
    <xf numFmtId="0" fontId="16" fillId="32" borderId="9" xfId="0" applyFont="1" applyFill="1" applyBorder="1" applyAlignment="1">
      <alignment horizontal="center" vertical="center" wrapText="1"/>
    </xf>
    <xf numFmtId="0" fontId="16" fillId="32" borderId="10" xfId="0" applyFont="1" applyFill="1" applyBorder="1" applyAlignment="1">
      <alignment horizontal="center" vertical="center" wrapText="1"/>
    </xf>
    <xf numFmtId="0" fontId="17" fillId="0" borderId="0" xfId="0" applyFont="1" applyAlignment="1">
      <alignment horizontal="left" vertical="center"/>
    </xf>
    <xf numFmtId="0" fontId="16" fillId="32" borderId="13" xfId="0" applyFont="1" applyFill="1" applyBorder="1" applyAlignment="1">
      <alignment wrapText="1"/>
    </xf>
    <xf numFmtId="0" fontId="16" fillId="32" borderId="2" xfId="0" applyFont="1" applyFill="1" applyBorder="1" applyAlignment="1">
      <alignment wrapText="1"/>
    </xf>
    <xf numFmtId="0" fontId="0" fillId="0" borderId="7" xfId="0" applyBorder="1"/>
    <xf numFmtId="2" fontId="0" fillId="0" borderId="32" xfId="0" applyNumberFormat="1" applyBorder="1"/>
    <xf numFmtId="0" fontId="17" fillId="0" borderId="0" xfId="0" applyFont="1" applyAlignment="1">
      <alignment wrapText="1"/>
    </xf>
    <xf numFmtId="0" fontId="0" fillId="0" borderId="0" xfId="0" applyAlignment="1">
      <alignment vertical="top"/>
    </xf>
    <xf numFmtId="0" fontId="0" fillId="0" borderId="0" xfId="0" applyAlignment="1">
      <alignment vertical="top" wrapText="1"/>
    </xf>
    <xf numFmtId="0" fontId="6" fillId="32" borderId="10" xfId="0" applyFont="1" applyFill="1" applyBorder="1" applyAlignment="1">
      <alignment horizontal="center" vertical="center"/>
    </xf>
    <xf numFmtId="0" fontId="73" fillId="32" borderId="28" xfId="0" applyFont="1" applyFill="1" applyBorder="1"/>
    <xf numFmtId="2" fontId="0" fillId="0" borderId="19" xfId="0" applyNumberFormat="1" applyBorder="1" applyAlignment="1">
      <alignment vertical="top"/>
    </xf>
    <xf numFmtId="2" fontId="6" fillId="0" borderId="0" xfId="0" applyNumberFormat="1" applyFont="1"/>
    <xf numFmtId="0" fontId="15" fillId="0" borderId="0" xfId="0" applyFont="1"/>
    <xf numFmtId="0" fontId="0" fillId="32" borderId="10" xfId="0" applyFill="1" applyBorder="1" applyAlignment="1">
      <alignment horizontal="center" vertical="center"/>
    </xf>
    <xf numFmtId="168" fontId="0" fillId="0" borderId="15" xfId="0" applyNumberFormat="1" applyBorder="1" applyAlignment="1">
      <alignment vertical="top"/>
    </xf>
    <xf numFmtId="168" fontId="0" fillId="0" borderId="19" xfId="0" applyNumberFormat="1" applyBorder="1"/>
    <xf numFmtId="174" fontId="6" fillId="16" borderId="15" xfId="0" applyNumberFormat="1" applyFont="1" applyFill="1" applyBorder="1"/>
    <xf numFmtId="0" fontId="17" fillId="0" borderId="0" xfId="0" applyFont="1" applyAlignment="1">
      <alignment horizontal="center" vertical="center" wrapText="1"/>
    </xf>
    <xf numFmtId="0" fontId="17" fillId="0" borderId="0" xfId="0" applyFont="1" applyAlignment="1">
      <alignment horizontal="center"/>
    </xf>
    <xf numFmtId="10" fontId="17" fillId="0" borderId="2" xfId="0" applyNumberFormat="1" applyFont="1" applyBorder="1"/>
    <xf numFmtId="10" fontId="17" fillId="0" borderId="19" xfId="0" applyNumberFormat="1" applyFont="1" applyBorder="1"/>
    <xf numFmtId="10" fontId="0" fillId="0" borderId="0" xfId="0" quotePrefix="1" applyNumberFormat="1"/>
    <xf numFmtId="2" fontId="17" fillId="0" borderId="14" xfId="0" applyNumberFormat="1" applyFont="1" applyBorder="1"/>
    <xf numFmtId="168" fontId="0" fillId="0" borderId="14" xfId="0" applyNumberFormat="1" applyBorder="1" applyAlignment="1">
      <alignment wrapText="1"/>
    </xf>
    <xf numFmtId="176" fontId="16" fillId="16" borderId="15" xfId="0" applyNumberFormat="1" applyFont="1" applyFill="1" applyBorder="1" applyAlignment="1">
      <alignment horizontal="center" vertical="center" wrapText="1"/>
    </xf>
    <xf numFmtId="168" fontId="17" fillId="0" borderId="0" xfId="0" applyNumberFormat="1" applyFont="1" applyAlignment="1">
      <alignment horizontal="center" vertical="center" wrapText="1"/>
    </xf>
    <xf numFmtId="0" fontId="16" fillId="32" borderId="8" xfId="0" applyFont="1" applyFill="1" applyBorder="1" applyAlignment="1">
      <alignment horizontal="left" vertical="center" wrapText="1"/>
    </xf>
    <xf numFmtId="0" fontId="16" fillId="32" borderId="28" xfId="0" applyFont="1" applyFill="1" applyBorder="1" applyAlignment="1">
      <alignment horizontal="left" vertical="center" wrapText="1"/>
    </xf>
    <xf numFmtId="0" fontId="17" fillId="0" borderId="2"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0" xfId="0" quotePrefix="1" applyFont="1" applyAlignment="1">
      <alignment horizontal="left" vertical="center"/>
    </xf>
    <xf numFmtId="0" fontId="16" fillId="32" borderId="13" xfId="0" applyFont="1" applyFill="1" applyBorder="1" applyAlignment="1">
      <alignment horizontal="left"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0" xfId="0" applyFont="1" applyAlignment="1">
      <alignment horizontal="left" vertical="center" wrapText="1"/>
    </xf>
    <xf numFmtId="0" fontId="17" fillId="0" borderId="19" xfId="0" quotePrefix="1" applyFont="1" applyBorder="1" applyAlignment="1">
      <alignment horizontal="center" vertical="center" wrapText="1"/>
    </xf>
    <xf numFmtId="168" fontId="17" fillId="0" borderId="14" xfId="0" applyNumberFormat="1" applyFont="1" applyBorder="1" applyAlignment="1">
      <alignment horizontal="center" vertical="center" wrapText="1"/>
    </xf>
    <xf numFmtId="0" fontId="16" fillId="32" borderId="9" xfId="0" applyFont="1" applyFill="1" applyBorder="1" applyAlignment="1">
      <alignment horizontal="left" vertical="center" wrapText="1"/>
    </xf>
    <xf numFmtId="0" fontId="6" fillId="32" borderId="9" xfId="0" applyFont="1" applyFill="1" applyBorder="1" applyAlignment="1">
      <alignment horizontal="left" vertical="center"/>
    </xf>
    <xf numFmtId="0" fontId="6" fillId="32" borderId="9" xfId="0" applyFont="1" applyFill="1" applyBorder="1" applyAlignment="1">
      <alignment horizontal="left" vertical="center" wrapText="1"/>
    </xf>
    <xf numFmtId="0" fontId="6" fillId="32" borderId="10" xfId="0" applyFont="1" applyFill="1" applyBorder="1" applyAlignment="1">
      <alignment horizontal="left" vertical="center" wrapText="1"/>
    </xf>
    <xf numFmtId="0" fontId="16" fillId="0" borderId="2" xfId="0" applyFont="1" applyBorder="1" applyAlignment="1">
      <alignment horizontal="left" vertical="center" wrapText="1"/>
    </xf>
    <xf numFmtId="0" fontId="17" fillId="0" borderId="2" xfId="0" applyFont="1" applyBorder="1" applyAlignment="1">
      <alignment horizontal="left" vertical="center" wrapText="1"/>
    </xf>
    <xf numFmtId="176" fontId="0" fillId="0" borderId="2" xfId="0" applyNumberFormat="1" applyBorder="1" applyAlignment="1">
      <alignment horizontal="right"/>
    </xf>
    <xf numFmtId="0" fontId="0" fillId="0" borderId="19" xfId="0" applyBorder="1" applyAlignment="1">
      <alignment horizontal="left"/>
    </xf>
    <xf numFmtId="0" fontId="16" fillId="44" borderId="2" xfId="0" applyFont="1" applyFill="1" applyBorder="1" applyAlignment="1">
      <alignment horizontal="left" vertical="center" wrapText="1"/>
    </xf>
    <xf numFmtId="0" fontId="21" fillId="0" borderId="2" xfId="1" quotePrefix="1" applyFont="1" applyBorder="1" applyAlignment="1" applyProtection="1"/>
    <xf numFmtId="0" fontId="21" fillId="0" borderId="2" xfId="1" quotePrefix="1" applyFont="1" applyBorder="1" applyAlignment="1" applyProtection="1">
      <alignment vertical="center"/>
    </xf>
    <xf numFmtId="176" fontId="0" fillId="0" borderId="2" xfId="0" applyNumberFormat="1" applyBorder="1" applyAlignment="1">
      <alignment horizontal="right" wrapText="1"/>
    </xf>
    <xf numFmtId="176" fontId="6" fillId="0" borderId="2" xfId="0" applyNumberFormat="1" applyFont="1" applyBorder="1" applyAlignment="1">
      <alignment horizontal="right"/>
    </xf>
    <xf numFmtId="0" fontId="6" fillId="0" borderId="19" xfId="0" applyFont="1" applyBorder="1" applyAlignment="1">
      <alignment horizontal="left"/>
    </xf>
    <xf numFmtId="0" fontId="6" fillId="0" borderId="14" xfId="0" applyFont="1" applyBorder="1"/>
    <xf numFmtId="0" fontId="6" fillId="16" borderId="15" xfId="0" applyFont="1" applyFill="1" applyBorder="1" applyAlignment="1">
      <alignment horizontal="left"/>
    </xf>
    <xf numFmtId="0" fontId="16" fillId="0" borderId="0" xfId="0" applyFont="1" applyAlignment="1">
      <alignment horizontal="left" vertical="center" wrapText="1"/>
    </xf>
    <xf numFmtId="0" fontId="16" fillId="32" borderId="10" xfId="0" applyFont="1" applyFill="1" applyBorder="1" applyAlignment="1">
      <alignment horizontal="left" vertical="center" wrapText="1"/>
    </xf>
    <xf numFmtId="2" fontId="16" fillId="0" borderId="19" xfId="0" applyNumberFormat="1" applyFont="1" applyBorder="1" applyAlignment="1">
      <alignment horizontal="right" vertical="center" wrapText="1" indent="1"/>
    </xf>
    <xf numFmtId="0" fontId="0" fillId="32" borderId="28" xfId="0" quotePrefix="1" applyFill="1" applyBorder="1" applyAlignment="1">
      <alignment horizontal="left" indent="2"/>
    </xf>
    <xf numFmtId="2" fontId="17" fillId="0" borderId="19" xfId="0" applyNumberFormat="1" applyFont="1" applyBorder="1" applyAlignment="1">
      <alignment horizontal="right" vertical="center" wrapText="1" indent="1"/>
    </xf>
    <xf numFmtId="2" fontId="0" fillId="0" borderId="19" xfId="0" applyNumberFormat="1" applyBorder="1" applyAlignment="1">
      <alignment horizontal="right" indent="1"/>
    </xf>
    <xf numFmtId="0" fontId="17" fillId="32" borderId="28" xfId="0" quotePrefix="1" applyFont="1" applyFill="1" applyBorder="1" applyAlignment="1">
      <alignment horizontal="left" vertical="center" wrapText="1" indent="2"/>
    </xf>
    <xf numFmtId="0" fontId="16" fillId="32" borderId="48" xfId="0" quotePrefix="1" applyFont="1" applyFill="1" applyBorder="1" applyAlignment="1">
      <alignment horizontal="left" vertical="center" wrapText="1"/>
    </xf>
    <xf numFmtId="2" fontId="17" fillId="0" borderId="79" xfId="0" applyNumberFormat="1" applyFont="1" applyBorder="1" applyAlignment="1">
      <alignment horizontal="right" vertical="center" wrapText="1" indent="1"/>
    </xf>
    <xf numFmtId="2" fontId="16" fillId="0" borderId="15" xfId="0" applyNumberFormat="1" applyFont="1" applyBorder="1" applyAlignment="1">
      <alignment horizontal="right" vertical="center" wrapText="1" indent="1"/>
    </xf>
    <xf numFmtId="2" fontId="0" fillId="0" borderId="19" xfId="0" applyNumberFormat="1" applyBorder="1" applyAlignment="1">
      <alignment wrapText="1"/>
    </xf>
    <xf numFmtId="168" fontId="6" fillId="0" borderId="0" xfId="0" applyNumberFormat="1" applyFont="1"/>
    <xf numFmtId="2" fontId="6" fillId="15" borderId="15" xfId="0" applyNumberFormat="1" applyFont="1" applyFill="1" applyBorder="1" applyAlignment="1">
      <alignment wrapText="1"/>
    </xf>
    <xf numFmtId="2" fontId="6" fillId="0" borderId="0" xfId="0" applyNumberFormat="1" applyFont="1" applyAlignment="1">
      <alignment wrapText="1"/>
    </xf>
    <xf numFmtId="3" fontId="0" fillId="0" borderId="19" xfId="0" applyNumberFormat="1" applyBorder="1"/>
    <xf numFmtId="3" fontId="0" fillId="0" borderId="15" xfId="0" applyNumberFormat="1" applyBorder="1"/>
    <xf numFmtId="0" fontId="16" fillId="32" borderId="30" xfId="0" applyFont="1" applyFill="1" applyBorder="1" applyAlignment="1">
      <alignment horizontal="center" vertical="center" wrapText="1"/>
    </xf>
    <xf numFmtId="3" fontId="6" fillId="0" borderId="14" xfId="0" applyNumberFormat="1" applyFont="1" applyBorder="1"/>
    <xf numFmtId="3" fontId="6" fillId="0" borderId="15" xfId="0" applyNumberFormat="1" applyFont="1" applyBorder="1"/>
    <xf numFmtId="3" fontId="6" fillId="0" borderId="0" xfId="0" applyNumberFormat="1" applyFont="1"/>
    <xf numFmtId="0" fontId="16" fillId="32" borderId="3" xfId="0" applyFont="1" applyFill="1" applyBorder="1" applyAlignment="1">
      <alignment wrapText="1"/>
    </xf>
    <xf numFmtId="177" fontId="0" fillId="0" borderId="14" xfId="0" applyNumberFormat="1" applyBorder="1"/>
    <xf numFmtId="177" fontId="0" fillId="0" borderId="15" xfId="0" applyNumberFormat="1" applyBorder="1"/>
    <xf numFmtId="177" fontId="0" fillId="0" borderId="0" xfId="0" applyNumberFormat="1"/>
    <xf numFmtId="0" fontId="0" fillId="0" borderId="39" xfId="0" applyBorder="1" applyAlignment="1">
      <alignment wrapText="1"/>
    </xf>
    <xf numFmtId="0" fontId="16" fillId="0" borderId="0" xfId="0" applyFont="1" applyAlignment="1">
      <alignment horizontal="center" vertical="center"/>
    </xf>
    <xf numFmtId="0" fontId="16" fillId="0" borderId="0" xfId="0" applyFont="1" applyAlignment="1">
      <alignment horizontal="center" vertical="center" wrapText="1"/>
    </xf>
    <xf numFmtId="168" fontId="16" fillId="0" borderId="15" xfId="0" applyNumberFormat="1" applyFont="1" applyBorder="1" applyAlignment="1">
      <alignment horizontal="center" vertical="center" wrapText="1"/>
    </xf>
    <xf numFmtId="168" fontId="16" fillId="0" borderId="0" xfId="0" applyNumberFormat="1" applyFont="1" applyAlignment="1">
      <alignment horizontal="center" vertical="center" wrapText="1"/>
    </xf>
    <xf numFmtId="10" fontId="0" fillId="0" borderId="2" xfId="0" applyNumberFormat="1" applyBorder="1"/>
    <xf numFmtId="2" fontId="6" fillId="0" borderId="14" xfId="0" applyNumberFormat="1" applyFont="1" applyBorder="1"/>
    <xf numFmtId="0" fontId="6" fillId="0" borderId="15" xfId="0" applyFont="1" applyBorder="1"/>
    <xf numFmtId="0" fontId="17" fillId="0" borderId="10" xfId="0" applyFont="1" applyBorder="1" applyAlignment="1">
      <alignment horizontal="center" vertical="center" wrapText="1"/>
    </xf>
    <xf numFmtId="168" fontId="17" fillId="0" borderId="15" xfId="0" applyNumberFormat="1" applyFont="1" applyBorder="1" applyAlignment="1">
      <alignment horizontal="center" vertical="center" wrapText="1"/>
    </xf>
    <xf numFmtId="2" fontId="0" fillId="0" borderId="0" xfId="0" applyNumberFormat="1" applyAlignment="1">
      <alignment wrapText="1"/>
    </xf>
    <xf numFmtId="174" fontId="6" fillId="15" borderId="15" xfId="0" applyNumberFormat="1" applyFont="1" applyFill="1" applyBorder="1" applyAlignment="1">
      <alignment wrapText="1"/>
    </xf>
    <xf numFmtId="0" fontId="73" fillId="32" borderId="28" xfId="0" applyFont="1" applyFill="1" applyBorder="1" applyAlignment="1">
      <alignment wrapText="1"/>
    </xf>
    <xf numFmtId="1" fontId="0" fillId="0" borderId="15" xfId="0" applyNumberFormat="1" applyBorder="1" applyAlignment="1">
      <alignment wrapText="1"/>
    </xf>
    <xf numFmtId="0" fontId="74" fillId="0" borderId="0" xfId="0" applyFont="1"/>
    <xf numFmtId="1" fontId="0" fillId="0" borderId="79" xfId="0" applyNumberFormat="1" applyBorder="1"/>
    <xf numFmtId="0" fontId="6" fillId="32" borderId="77" xfId="0" applyFont="1" applyFill="1" applyBorder="1" applyAlignment="1">
      <alignment horizontal="center" vertical="center"/>
    </xf>
    <xf numFmtId="0" fontId="6" fillId="32" borderId="26" xfId="0" applyFont="1" applyFill="1" applyBorder="1" applyAlignment="1">
      <alignment horizontal="center" vertical="center"/>
    </xf>
    <xf numFmtId="0" fontId="6" fillId="32" borderId="27" xfId="0" applyFont="1" applyFill="1" applyBorder="1" applyAlignment="1">
      <alignment horizontal="center" vertical="center"/>
    </xf>
    <xf numFmtId="0" fontId="6" fillId="32" borderId="40" xfId="0" applyFont="1" applyFill="1" applyBorder="1" applyAlignment="1">
      <alignment wrapText="1"/>
    </xf>
    <xf numFmtId="0" fontId="0" fillId="0" borderId="87" xfId="0" applyBorder="1"/>
    <xf numFmtId="0" fontId="0" fillId="0" borderId="86" xfId="0" applyBorder="1"/>
    <xf numFmtId="2" fontId="6" fillId="0" borderId="15" xfId="0" applyNumberFormat="1" applyFont="1" applyBorder="1"/>
    <xf numFmtId="0" fontId="6" fillId="32" borderId="28" xfId="0" quotePrefix="1" applyFont="1" applyFill="1" applyBorder="1"/>
    <xf numFmtId="168" fontId="0" fillId="0" borderId="2" xfId="0" applyNumberFormat="1" applyBorder="1" applyAlignment="1">
      <alignment wrapText="1"/>
    </xf>
    <xf numFmtId="0" fontId="6" fillId="32" borderId="13" xfId="0" quotePrefix="1" applyFont="1" applyFill="1" applyBorder="1"/>
    <xf numFmtId="174" fontId="6" fillId="45" borderId="14" xfId="0" applyNumberFormat="1" applyFont="1" applyFill="1" applyBorder="1"/>
    <xf numFmtId="0" fontId="0" fillId="32" borderId="8" xfId="0" applyFill="1" applyBorder="1"/>
    <xf numFmtId="0" fontId="0" fillId="32" borderId="13" xfId="0" applyFill="1" applyBorder="1"/>
    <xf numFmtId="0" fontId="0" fillId="14" borderId="8" xfId="0" applyFill="1" applyBorder="1" applyAlignment="1">
      <alignment horizontal="center"/>
    </xf>
    <xf numFmtId="0" fontId="17" fillId="14" borderId="28" xfId="0" applyFont="1" applyFill="1" applyBorder="1" applyAlignment="1">
      <alignment horizontal="center" vertical="center"/>
    </xf>
    <xf numFmtId="0" fontId="17" fillId="14" borderId="13" xfId="0" applyFont="1" applyFill="1" applyBorder="1" applyAlignment="1">
      <alignment horizontal="center" vertical="center"/>
    </xf>
    <xf numFmtId="0" fontId="16" fillId="46" borderId="8" xfId="0" applyFont="1" applyFill="1" applyBorder="1" applyAlignment="1">
      <alignment horizontal="left" vertical="center" wrapText="1"/>
    </xf>
    <xf numFmtId="0" fontId="16" fillId="46" borderId="9" xfId="0" applyFont="1" applyFill="1" applyBorder="1" applyAlignment="1">
      <alignment horizontal="center" wrapText="1"/>
    </xf>
    <xf numFmtId="0" fontId="16" fillId="47" borderId="9" xfId="0" applyFont="1" applyFill="1" applyBorder="1" applyAlignment="1">
      <alignment horizontal="center" wrapText="1"/>
    </xf>
    <xf numFmtId="0" fontId="16" fillId="46" borderId="10" xfId="0" applyFont="1" applyFill="1" applyBorder="1" applyAlignment="1">
      <alignment horizontal="center" wrapText="1"/>
    </xf>
    <xf numFmtId="0" fontId="17" fillId="0" borderId="28" xfId="0" applyFont="1" applyBorder="1" applyAlignment="1">
      <alignment horizontal="left" vertical="center"/>
    </xf>
    <xf numFmtId="0" fontId="17" fillId="0" borderId="13" xfId="0" applyFont="1" applyBorder="1" applyAlignment="1">
      <alignment horizontal="left" vertical="center"/>
    </xf>
    <xf numFmtId="0" fontId="0" fillId="0" borderId="19" xfId="0" applyBorder="1" applyAlignment="1">
      <alignment horizontal="right"/>
    </xf>
    <xf numFmtId="0" fontId="17" fillId="0" borderId="13" xfId="0" applyFont="1" applyBorder="1" applyAlignment="1">
      <alignment horizontal="left"/>
    </xf>
    <xf numFmtId="0" fontId="6" fillId="0" borderId="0" xfId="0" applyFont="1" applyAlignment="1">
      <alignment horizontal="left" vertical="center"/>
    </xf>
    <xf numFmtId="0" fontId="0" fillId="0" borderId="8" xfId="0" applyBorder="1"/>
    <xf numFmtId="0" fontId="27" fillId="0" borderId="82" xfId="0" applyFont="1" applyBorder="1"/>
    <xf numFmtId="0" fontId="16" fillId="32" borderId="46" xfId="0" applyFont="1" applyFill="1" applyBorder="1"/>
    <xf numFmtId="0" fontId="16" fillId="32" borderId="29" xfId="0" applyFont="1" applyFill="1" applyBorder="1"/>
    <xf numFmtId="0" fontId="16" fillId="32" borderId="30" xfId="0" applyFont="1" applyFill="1" applyBorder="1"/>
    <xf numFmtId="0" fontId="17" fillId="0" borderId="81" xfId="0" applyFont="1" applyBorder="1" applyAlignment="1">
      <alignment horizontal="left"/>
    </xf>
    <xf numFmtId="0" fontId="0" fillId="0" borderId="34" xfId="0" applyBorder="1"/>
    <xf numFmtId="0" fontId="17" fillId="0" borderId="37" xfId="0" applyFont="1" applyBorder="1" applyAlignment="1">
      <alignment horizontal="left"/>
    </xf>
    <xf numFmtId="0" fontId="17" fillId="0" borderId="38" xfId="0" applyFont="1" applyBorder="1"/>
    <xf numFmtId="0" fontId="0" fillId="0" borderId="38" xfId="0" applyBorder="1"/>
    <xf numFmtId="0" fontId="16" fillId="0" borderId="22" xfId="0" applyFont="1" applyBorder="1"/>
    <xf numFmtId="4" fontId="16" fillId="0" borderId="24" xfId="0" applyNumberFormat="1" applyFont="1" applyBorder="1"/>
    <xf numFmtId="0" fontId="16" fillId="46" borderId="8" xfId="0" applyFont="1" applyFill="1" applyBorder="1" applyAlignment="1">
      <alignment horizontal="center" vertical="center" wrapText="1"/>
    </xf>
    <xf numFmtId="0" fontId="16" fillId="46" borderId="9" xfId="0" applyFont="1" applyFill="1" applyBorder="1" applyAlignment="1">
      <alignment horizontal="center" vertical="center" wrapText="1"/>
    </xf>
    <xf numFmtId="0" fontId="16" fillId="47" borderId="9" xfId="0" applyFont="1" applyFill="1" applyBorder="1" applyAlignment="1">
      <alignment horizontal="center" vertical="center" wrapText="1"/>
    </xf>
    <xf numFmtId="0" fontId="16" fillId="47" borderId="10" xfId="0" applyFont="1" applyFill="1" applyBorder="1" applyAlignment="1">
      <alignment horizontal="center" vertical="center" wrapText="1"/>
    </xf>
    <xf numFmtId="0" fontId="16" fillId="47" borderId="136" xfId="0" applyFont="1" applyFill="1" applyBorder="1" applyAlignment="1">
      <alignment horizontal="center" vertical="center" wrapText="1"/>
    </xf>
    <xf numFmtId="0" fontId="16" fillId="32" borderId="9" xfId="0" applyFont="1" applyFill="1" applyBorder="1"/>
    <xf numFmtId="0" fontId="16" fillId="32" borderId="10" xfId="0" applyFont="1" applyFill="1" applyBorder="1"/>
    <xf numFmtId="0" fontId="17" fillId="0" borderId="28" xfId="0" applyFont="1" applyBorder="1" applyAlignment="1">
      <alignment horizontal="left"/>
    </xf>
    <xf numFmtId="0" fontId="0" fillId="0" borderId="3" xfId="0" applyBorder="1" applyAlignment="1">
      <alignment wrapText="1"/>
    </xf>
    <xf numFmtId="0" fontId="1" fillId="0" borderId="0" xfId="0" applyFont="1" applyAlignment="1">
      <alignment horizontal="left"/>
    </xf>
    <xf numFmtId="0" fontId="75" fillId="14" borderId="2" xfId="0" applyFont="1" applyFill="1" applyBorder="1" applyAlignment="1">
      <alignment horizontal="center" vertical="center"/>
    </xf>
    <xf numFmtId="0" fontId="75" fillId="14" borderId="2" xfId="0" applyFont="1" applyFill="1" applyBorder="1" applyAlignment="1">
      <alignment horizontal="center" vertical="center" wrapText="1"/>
    </xf>
    <xf numFmtId="0" fontId="6" fillId="14" borderId="2" xfId="0" applyFont="1" applyFill="1" applyBorder="1" applyAlignment="1">
      <alignment horizontal="center" vertical="center" wrapText="1"/>
    </xf>
    <xf numFmtId="0" fontId="75" fillId="0" borderId="0" xfId="0" applyFont="1" applyAlignment="1">
      <alignment horizontal="center"/>
    </xf>
    <xf numFmtId="0" fontId="21" fillId="14" borderId="2" xfId="0" applyFont="1" applyFill="1" applyBorder="1" applyAlignment="1">
      <alignment horizontal="center"/>
    </xf>
    <xf numFmtId="0" fontId="21" fillId="0" borderId="2" xfId="0" applyFont="1" applyBorder="1" applyAlignment="1">
      <alignment horizontal="right"/>
    </xf>
    <xf numFmtId="0" fontId="21" fillId="0" borderId="2" xfId="0" quotePrefix="1" applyFont="1" applyBorder="1" applyAlignment="1">
      <alignment horizontal="right"/>
    </xf>
    <xf numFmtId="0" fontId="21" fillId="0" borderId="0" xfId="0" applyFont="1" applyAlignment="1">
      <alignment horizontal="right"/>
    </xf>
    <xf numFmtId="0" fontId="21" fillId="0" borderId="0" xfId="0" applyFont="1" applyAlignment="1">
      <alignment horizontal="left"/>
    </xf>
    <xf numFmtId="0" fontId="21" fillId="0" borderId="0" xfId="0" applyFont="1" applyAlignment="1">
      <alignment horizontal="center"/>
    </xf>
    <xf numFmtId="0" fontId="0" fillId="14" borderId="28" xfId="0" applyFill="1" applyBorder="1" applyAlignment="1">
      <alignment horizontal="center"/>
    </xf>
    <xf numFmtId="0" fontId="0" fillId="14" borderId="13" xfId="0" applyFill="1" applyBorder="1" applyAlignment="1">
      <alignment horizontal="center"/>
    </xf>
    <xf numFmtId="0" fontId="6" fillId="14" borderId="9" xfId="0" applyFont="1" applyFill="1" applyBorder="1" applyAlignment="1">
      <alignment horizontal="center" vertical="center"/>
    </xf>
    <xf numFmtId="0" fontId="6" fillId="14" borderId="10" xfId="0" applyFont="1" applyFill="1" applyBorder="1" applyAlignment="1">
      <alignment horizontal="center" vertical="center"/>
    </xf>
    <xf numFmtId="0" fontId="6" fillId="32" borderId="137" xfId="0" applyFont="1" applyFill="1" applyBorder="1"/>
    <xf numFmtId="0" fontId="0" fillId="0" borderId="129" xfId="0" applyBorder="1"/>
    <xf numFmtId="0" fontId="75" fillId="14" borderId="8" xfId="0" applyFont="1" applyFill="1" applyBorder="1" applyAlignment="1">
      <alignment horizontal="center" vertical="center"/>
    </xf>
    <xf numFmtId="0" fontId="75" fillId="14" borderId="9" xfId="0" applyFont="1" applyFill="1" applyBorder="1" applyAlignment="1">
      <alignment horizontal="center" vertical="center"/>
    </xf>
    <xf numFmtId="0" fontId="75" fillId="14" borderId="9" xfId="0" applyFont="1" applyFill="1" applyBorder="1" applyAlignment="1">
      <alignment horizontal="center" vertical="center" wrapText="1"/>
    </xf>
    <xf numFmtId="0" fontId="75" fillId="14" borderId="9" xfId="0" applyFont="1" applyFill="1" applyBorder="1" applyAlignment="1">
      <alignment horizontal="center"/>
    </xf>
    <xf numFmtId="0" fontId="75" fillId="14" borderId="10" xfId="0" applyFont="1" applyFill="1" applyBorder="1" applyAlignment="1">
      <alignment horizontal="center"/>
    </xf>
    <xf numFmtId="0" fontId="21" fillId="14" borderId="28" xfId="0" applyFont="1" applyFill="1" applyBorder="1" applyAlignment="1">
      <alignment horizontal="center"/>
    </xf>
    <xf numFmtId="0" fontId="21" fillId="0" borderId="19" xfId="0" applyFont="1" applyBorder="1" applyAlignment="1">
      <alignment horizontal="left"/>
    </xf>
    <xf numFmtId="0" fontId="21" fillId="14" borderId="13" xfId="0" applyFont="1" applyFill="1" applyBorder="1" applyAlignment="1">
      <alignment horizontal="center"/>
    </xf>
    <xf numFmtId="0" fontId="21" fillId="0" borderId="14" xfId="0" applyFont="1" applyBorder="1" applyAlignment="1">
      <alignment horizontal="right"/>
    </xf>
    <xf numFmtId="0" fontId="21" fillId="0" borderId="49" xfId="0" applyFont="1" applyBorder="1" applyAlignment="1">
      <alignment horizontal="right"/>
    </xf>
    <xf numFmtId="0" fontId="21" fillId="0" borderId="79" xfId="0" applyFont="1" applyBorder="1" applyAlignment="1">
      <alignment horizontal="left"/>
    </xf>
    <xf numFmtId="0" fontId="21" fillId="14" borderId="22" xfId="0" applyFont="1" applyFill="1" applyBorder="1" applyAlignment="1">
      <alignment horizontal="center"/>
    </xf>
    <xf numFmtId="0" fontId="21" fillId="0" borderId="23" xfId="0" applyFont="1" applyBorder="1" applyAlignment="1">
      <alignment horizontal="right"/>
    </xf>
    <xf numFmtId="0" fontId="21" fillId="0" borderId="4" xfId="0" applyFont="1" applyBorder="1" applyAlignment="1">
      <alignment horizontal="right"/>
    </xf>
    <xf numFmtId="0" fontId="21" fillId="0" borderId="24" xfId="0" applyFont="1" applyBorder="1" applyAlignment="1">
      <alignment horizontal="left"/>
    </xf>
    <xf numFmtId="0" fontId="0" fillId="44" borderId="0" xfId="0" applyFill="1"/>
    <xf numFmtId="0" fontId="0" fillId="12" borderId="0" xfId="0" applyFill="1"/>
    <xf numFmtId="0" fontId="0" fillId="15" borderId="0" xfId="0" applyFill="1"/>
    <xf numFmtId="0" fontId="0" fillId="16" borderId="0" xfId="0" applyFill="1"/>
    <xf numFmtId="0" fontId="6" fillId="42" borderId="46" xfId="0" applyFont="1" applyFill="1" applyBorder="1" applyAlignment="1">
      <alignment wrapText="1"/>
    </xf>
    <xf numFmtId="0" fontId="6" fillId="42" borderId="30" xfId="0" applyFont="1" applyFill="1" applyBorder="1" applyAlignment="1">
      <alignment wrapText="1"/>
    </xf>
    <xf numFmtId="0" fontId="1" fillId="0" borderId="19" xfId="1" applyFont="1" applyBorder="1" applyAlignment="1" applyProtection="1">
      <alignment wrapText="1"/>
    </xf>
    <xf numFmtId="0" fontId="6" fillId="42" borderId="2" xfId="0" applyFont="1" applyFill="1" applyBorder="1" applyAlignment="1">
      <alignment wrapText="1"/>
    </xf>
    <xf numFmtId="0" fontId="6" fillId="42" borderId="2" xfId="0" applyFont="1" applyFill="1" applyBorder="1" applyAlignment="1">
      <alignment horizontal="left" wrapText="1"/>
    </xf>
    <xf numFmtId="0" fontId="6" fillId="42" borderId="28" xfId="0" applyFont="1" applyFill="1" applyBorder="1" applyAlignment="1">
      <alignment horizontal="left" wrapText="1"/>
    </xf>
    <xf numFmtId="3" fontId="0" fillId="0" borderId="2" xfId="0" applyNumberFormat="1" applyBorder="1" applyAlignment="1">
      <alignment wrapText="1"/>
    </xf>
    <xf numFmtId="1" fontId="6" fillId="16" borderId="14" xfId="0" applyNumberFormat="1" applyFont="1" applyFill="1" applyBorder="1" applyAlignment="1">
      <alignment wrapText="1"/>
    </xf>
    <xf numFmtId="0" fontId="6" fillId="42" borderId="8" xfId="0" applyFont="1" applyFill="1" applyBorder="1" applyAlignment="1">
      <alignment wrapText="1"/>
    </xf>
    <xf numFmtId="0" fontId="6" fillId="42" borderId="9" xfId="0" applyFont="1" applyFill="1" applyBorder="1" applyAlignment="1">
      <alignment wrapText="1"/>
    </xf>
    <xf numFmtId="0" fontId="6" fillId="42" borderId="10" xfId="0" applyFont="1" applyFill="1" applyBorder="1" applyAlignment="1">
      <alignment wrapText="1"/>
    </xf>
    <xf numFmtId="0" fontId="6" fillId="42" borderId="28" xfId="0" applyFont="1" applyFill="1" applyBorder="1" applyAlignment="1">
      <alignment wrapText="1"/>
    </xf>
    <xf numFmtId="0" fontId="1" fillId="0" borderId="19" xfId="1" applyFont="1" applyBorder="1" applyAlignment="1" applyProtection="1">
      <alignment vertical="top"/>
    </xf>
    <xf numFmtId="10" fontId="0" fillId="0" borderId="2" xfId="0" applyNumberFormat="1" applyBorder="1" applyAlignment="1">
      <alignment wrapText="1"/>
    </xf>
    <xf numFmtId="0" fontId="6" fillId="42" borderId="13" xfId="0" applyFont="1" applyFill="1" applyBorder="1" applyAlignment="1">
      <alignment wrapText="1"/>
    </xf>
    <xf numFmtId="10" fontId="6" fillId="0" borderId="14" xfId="0" applyNumberFormat="1" applyFont="1" applyBorder="1" applyAlignment="1">
      <alignment wrapText="1"/>
    </xf>
    <xf numFmtId="0" fontId="6" fillId="42" borderId="3" xfId="0" applyFont="1" applyFill="1" applyBorder="1" applyAlignment="1">
      <alignment wrapText="1"/>
    </xf>
    <xf numFmtId="0" fontId="6" fillId="0" borderId="5" xfId="0" applyFont="1" applyBorder="1" applyAlignment="1">
      <alignment wrapText="1"/>
    </xf>
    <xf numFmtId="1" fontId="0" fillId="0" borderId="14" xfId="0" applyNumberFormat="1" applyBorder="1" applyAlignment="1">
      <alignment wrapText="1"/>
    </xf>
    <xf numFmtId="1" fontId="6" fillId="16" borderId="15" xfId="0" applyNumberFormat="1" applyFont="1" applyFill="1" applyBorder="1" applyAlignment="1">
      <alignment wrapText="1"/>
    </xf>
    <xf numFmtId="0" fontId="3" fillId="0" borderId="0" xfId="10" applyFont="1"/>
    <xf numFmtId="0" fontId="14" fillId="0" borderId="0" xfId="10" applyFont="1"/>
    <xf numFmtId="0" fontId="3" fillId="26" borderId="16" xfId="10" applyFont="1" applyFill="1" applyBorder="1" applyAlignment="1">
      <alignment horizontal="center"/>
    </xf>
    <xf numFmtId="168" fontId="3" fillId="0" borderId="40" xfId="10" applyNumberFormat="1" applyFont="1" applyBorder="1"/>
    <xf numFmtId="0" fontId="3" fillId="0" borderId="42" xfId="10" applyFont="1" applyBorder="1"/>
    <xf numFmtId="0" fontId="3" fillId="26" borderId="18" xfId="10" applyFont="1" applyFill="1" applyBorder="1" applyAlignment="1">
      <alignment horizontal="center"/>
    </xf>
    <xf numFmtId="0" fontId="3" fillId="26" borderId="20" xfId="10" applyFont="1" applyFill="1" applyBorder="1" applyAlignment="1">
      <alignment horizontal="center"/>
    </xf>
    <xf numFmtId="0" fontId="3" fillId="0" borderId="0" xfId="10" applyFont="1" applyAlignment="1">
      <alignment horizontal="center"/>
    </xf>
    <xf numFmtId="0" fontId="3" fillId="29" borderId="8" xfId="10" applyFont="1" applyFill="1" applyBorder="1" applyAlignment="1">
      <alignment vertical="top" wrapText="1"/>
    </xf>
    <xf numFmtId="1" fontId="0" fillId="0" borderId="9" xfId="6" applyNumberFormat="1" applyFont="1" applyBorder="1" applyAlignment="1">
      <alignment horizontal="center" vertical="top" wrapText="1"/>
    </xf>
    <xf numFmtId="0" fontId="3" fillId="0" borderId="10" xfId="10" applyFont="1" applyBorder="1" applyAlignment="1">
      <alignment vertical="top" wrapText="1"/>
    </xf>
    <xf numFmtId="0" fontId="3" fillId="29" borderId="78" xfId="10" applyFont="1" applyFill="1" applyBorder="1" applyAlignment="1">
      <alignment vertical="top" wrapText="1"/>
    </xf>
    <xf numFmtId="1" fontId="0" fillId="0" borderId="87" xfId="6" applyNumberFormat="1" applyFont="1" applyBorder="1" applyAlignment="1">
      <alignment horizontal="center" vertical="top" wrapText="1"/>
    </xf>
    <xf numFmtId="0" fontId="3" fillId="0" borderId="86" xfId="10" applyFont="1" applyBorder="1" applyAlignment="1">
      <alignment vertical="top" wrapText="1"/>
    </xf>
    <xf numFmtId="0" fontId="6" fillId="49" borderId="3" xfId="10" applyFont="1" applyFill="1" applyBorder="1" applyAlignment="1">
      <alignment horizontal="center" vertical="center" wrapText="1"/>
    </xf>
    <xf numFmtId="0" fontId="6" fillId="49" borderId="4" xfId="10" applyFont="1" applyFill="1" applyBorder="1" applyAlignment="1">
      <alignment horizontal="center" wrapText="1"/>
    </xf>
    <xf numFmtId="0" fontId="6" fillId="49" borderId="5" xfId="10" applyFont="1" applyFill="1" applyBorder="1" applyAlignment="1">
      <alignment horizontal="center" vertical="center" wrapText="1"/>
    </xf>
    <xf numFmtId="0" fontId="3" fillId="29" borderId="78" xfId="10" applyFont="1" applyFill="1" applyBorder="1"/>
    <xf numFmtId="4" fontId="3" fillId="0" borderId="87" xfId="10" applyNumberFormat="1" applyFont="1" applyBorder="1"/>
    <xf numFmtId="10" fontId="3" fillId="0" borderId="86" xfId="10" applyNumberFormat="1" applyFont="1" applyBorder="1"/>
    <xf numFmtId="0" fontId="3" fillId="29" borderId="28" xfId="10" applyFont="1" applyFill="1" applyBorder="1" applyAlignment="1">
      <alignment vertical="top" wrapText="1"/>
    </xf>
    <xf numFmtId="0" fontId="3" fillId="0" borderId="2" xfId="10" applyFont="1" applyBorder="1" applyAlignment="1">
      <alignment horizontal="center" vertical="center"/>
    </xf>
    <xf numFmtId="0" fontId="3" fillId="29" borderId="28" xfId="10" applyFont="1" applyFill="1" applyBorder="1"/>
    <xf numFmtId="4" fontId="3" fillId="0" borderId="2" xfId="10" applyNumberFormat="1" applyFont="1" applyBorder="1"/>
    <xf numFmtId="10" fontId="3" fillId="0" borderId="19" xfId="10" applyNumberFormat="1" applyFont="1" applyBorder="1"/>
    <xf numFmtId="0" fontId="17" fillId="0" borderId="2" xfId="10" applyFont="1" applyBorder="1" applyAlignment="1">
      <alignment horizontal="center" vertical="center"/>
    </xf>
    <xf numFmtId="0" fontId="6" fillId="17" borderId="13" xfId="10" applyFont="1" applyFill="1" applyBorder="1"/>
    <xf numFmtId="4" fontId="6" fillId="0" borderId="14" xfId="10" applyNumberFormat="1" applyFont="1" applyBorder="1"/>
    <xf numFmtId="10" fontId="6" fillId="0" borderId="15" xfId="10" applyNumberFormat="1" applyFont="1" applyBorder="1"/>
    <xf numFmtId="0" fontId="6" fillId="17" borderId="48" xfId="10" applyFont="1" applyFill="1" applyBorder="1" applyAlignment="1">
      <alignment vertical="top" wrapText="1"/>
    </xf>
    <xf numFmtId="2" fontId="6" fillId="15" borderId="49" xfId="10" applyNumberFormat="1" applyFont="1" applyFill="1" applyBorder="1" applyAlignment="1">
      <alignment vertical="top" wrapText="1"/>
    </xf>
    <xf numFmtId="0" fontId="3" fillId="0" borderId="79" xfId="10" applyFont="1" applyBorder="1" applyAlignment="1">
      <alignment vertical="top" wrapText="1"/>
    </xf>
    <xf numFmtId="10" fontId="3" fillId="0" borderId="0" xfId="10" applyNumberFormat="1" applyFont="1"/>
    <xf numFmtId="0" fontId="0" fillId="34" borderId="28" xfId="10" quotePrefix="1" applyFont="1" applyFill="1" applyBorder="1" applyAlignment="1">
      <alignment horizontal="left" vertical="top"/>
    </xf>
    <xf numFmtId="0" fontId="0" fillId="34" borderId="2" xfId="10" applyFont="1" applyFill="1" applyBorder="1" applyAlignment="1">
      <alignment horizontal="left" vertical="top" wrapText="1"/>
    </xf>
    <xf numFmtId="0" fontId="0" fillId="34" borderId="19" xfId="10" applyFont="1" applyFill="1" applyBorder="1" applyAlignment="1">
      <alignment horizontal="left" vertical="top" wrapText="1"/>
    </xf>
    <xf numFmtId="0" fontId="0" fillId="34" borderId="13" xfId="10" quotePrefix="1" applyFont="1" applyFill="1" applyBorder="1" applyAlignment="1">
      <alignment horizontal="left" vertical="top"/>
    </xf>
    <xf numFmtId="0" fontId="0" fillId="34" borderId="14" xfId="10" applyFont="1" applyFill="1" applyBorder="1" applyAlignment="1">
      <alignment horizontal="left" vertical="top" wrapText="1"/>
    </xf>
    <xf numFmtId="0" fontId="0" fillId="34" borderId="15" xfId="10" applyFont="1" applyFill="1" applyBorder="1" applyAlignment="1">
      <alignment horizontal="left" vertical="top" wrapText="1"/>
    </xf>
    <xf numFmtId="10" fontId="3" fillId="0" borderId="2" xfId="10" applyNumberFormat="1" applyFont="1" applyBorder="1" applyAlignment="1">
      <alignment horizontal="center" vertical="center"/>
    </xf>
    <xf numFmtId="0" fontId="3" fillId="0" borderId="19" xfId="10" applyFont="1" applyBorder="1" applyAlignment="1">
      <alignment vertical="top" wrapText="1"/>
    </xf>
    <xf numFmtId="1" fontId="0" fillId="0" borderId="2" xfId="6" applyNumberFormat="1" applyFont="1" applyBorder="1" applyAlignment="1">
      <alignment horizontal="center" vertical="center" wrapText="1"/>
    </xf>
    <xf numFmtId="1" fontId="3" fillId="0" borderId="2" xfId="10" applyNumberFormat="1" applyFont="1" applyBorder="1" applyAlignment="1">
      <alignment horizontal="center" vertical="center"/>
    </xf>
    <xf numFmtId="0" fontId="3" fillId="0" borderId="19" xfId="10" applyFont="1" applyBorder="1"/>
    <xf numFmtId="10" fontId="16" fillId="0" borderId="15" xfId="0" applyNumberFormat="1" applyFont="1" applyBorder="1"/>
    <xf numFmtId="0" fontId="6" fillId="17" borderId="28" xfId="10" applyFont="1" applyFill="1" applyBorder="1" applyAlignment="1">
      <alignment vertical="top" wrapText="1"/>
    </xf>
    <xf numFmtId="168" fontId="6" fillId="15" borderId="2" xfId="10" applyNumberFormat="1" applyFont="1" applyFill="1" applyBorder="1" applyAlignment="1">
      <alignment horizontal="center" vertical="center" wrapText="1"/>
    </xf>
    <xf numFmtId="10" fontId="6" fillId="15" borderId="2" xfId="10" applyNumberFormat="1" applyFont="1" applyFill="1" applyBorder="1" applyAlignment="1">
      <alignment horizontal="center" vertical="center" wrapText="1"/>
    </xf>
    <xf numFmtId="0" fontId="6" fillId="17" borderId="13" xfId="10" applyFont="1" applyFill="1" applyBorder="1" applyAlignment="1">
      <alignment vertical="top" wrapText="1"/>
    </xf>
    <xf numFmtId="9" fontId="3" fillId="15" borderId="38" xfId="10" applyNumberFormat="1" applyFont="1" applyFill="1" applyBorder="1" applyAlignment="1">
      <alignment horizontal="center" vertical="center"/>
    </xf>
    <xf numFmtId="0" fontId="3" fillId="0" borderId="39" xfId="10" applyFont="1" applyBorder="1"/>
    <xf numFmtId="0" fontId="76" fillId="49" borderId="46" xfId="10" applyFont="1" applyFill="1" applyBorder="1"/>
    <xf numFmtId="0" fontId="76" fillId="49" borderId="29" xfId="10" applyFont="1" applyFill="1" applyBorder="1" applyAlignment="1">
      <alignment horizontal="center" vertical="center" wrapText="1"/>
    </xf>
    <xf numFmtId="0" fontId="76" fillId="49" borderId="30" xfId="10" applyFont="1" applyFill="1" applyBorder="1" applyAlignment="1">
      <alignment horizontal="center" vertical="center" wrapText="1"/>
    </xf>
    <xf numFmtId="0" fontId="76" fillId="49" borderId="81" xfId="10" applyFont="1" applyFill="1" applyBorder="1" applyAlignment="1">
      <alignment horizontal="left" wrapText="1"/>
    </xf>
    <xf numFmtId="1" fontId="76" fillId="0" borderId="0" xfId="10" applyNumberFormat="1" applyFont="1" applyAlignment="1">
      <alignment horizontal="center" vertical="center"/>
    </xf>
    <xf numFmtId="1" fontId="3" fillId="0" borderId="0" xfId="10" applyNumberFormat="1" applyFont="1" applyAlignment="1">
      <alignment horizontal="center" vertical="center"/>
    </xf>
    <xf numFmtId="168" fontId="3" fillId="0" borderId="34" xfId="10" applyNumberFormat="1" applyFont="1" applyBorder="1" applyAlignment="1">
      <alignment horizontal="center" vertical="center"/>
    </xf>
    <xf numFmtId="0" fontId="76" fillId="49" borderId="81" xfId="10" applyFont="1" applyFill="1" applyBorder="1" applyAlignment="1">
      <alignment wrapText="1"/>
    </xf>
    <xf numFmtId="0" fontId="76" fillId="49" borderId="37" xfId="10" applyFont="1" applyFill="1" applyBorder="1"/>
    <xf numFmtId="1" fontId="76" fillId="0" borderId="38" xfId="10" applyNumberFormat="1" applyFont="1" applyBorder="1" applyAlignment="1">
      <alignment horizontal="center" vertical="center"/>
    </xf>
    <xf numFmtId="1" fontId="47" fillId="0" borderId="38" xfId="10" applyNumberFormat="1" applyFont="1" applyBorder="1" applyAlignment="1">
      <alignment horizontal="center" vertical="center"/>
    </xf>
    <xf numFmtId="168" fontId="3" fillId="0" borderId="39" xfId="10" applyNumberFormat="1" applyFont="1" applyBorder="1" applyAlignment="1">
      <alignment horizontal="center" vertical="center"/>
    </xf>
    <xf numFmtId="0" fontId="80" fillId="0" borderId="0" xfId="11" applyAlignment="1">
      <alignment wrapText="1"/>
    </xf>
    <xf numFmtId="0" fontId="35" fillId="0" borderId="0" xfId="10" applyFont="1"/>
    <xf numFmtId="0" fontId="72" fillId="0" borderId="0" xfId="10" applyFont="1"/>
    <xf numFmtId="0" fontId="35" fillId="26" borderId="16" xfId="10" applyFont="1" applyFill="1" applyBorder="1" applyAlignment="1">
      <alignment horizontal="center"/>
    </xf>
    <xf numFmtId="169" fontId="35" fillId="0" borderId="40" xfId="10" applyNumberFormat="1" applyFont="1" applyBorder="1"/>
    <xf numFmtId="0" fontId="35" fillId="0" borderId="42" xfId="10" applyFont="1" applyBorder="1"/>
    <xf numFmtId="168" fontId="35" fillId="0" borderId="40" xfId="10" applyNumberFormat="1" applyFont="1" applyBorder="1"/>
    <xf numFmtId="0" fontId="35" fillId="26" borderId="18" xfId="10" applyFont="1" applyFill="1" applyBorder="1" applyAlignment="1">
      <alignment horizontal="center"/>
    </xf>
    <xf numFmtId="0" fontId="35" fillId="26" borderId="20" xfId="10" applyFont="1" applyFill="1" applyBorder="1" applyAlignment="1">
      <alignment horizontal="center"/>
    </xf>
    <xf numFmtId="0" fontId="35" fillId="0" borderId="0" xfId="10" applyFont="1" applyAlignment="1">
      <alignment horizontal="center"/>
    </xf>
    <xf numFmtId="0" fontId="35" fillId="29" borderId="8" xfId="10" applyFont="1" applyFill="1" applyBorder="1" applyAlignment="1">
      <alignment vertical="top" wrapText="1"/>
    </xf>
    <xf numFmtId="1" fontId="35" fillId="0" borderId="9" xfId="6" applyNumberFormat="1" applyFont="1" applyBorder="1" applyAlignment="1">
      <alignment vertical="top" wrapText="1"/>
    </xf>
    <xf numFmtId="0" fontId="35" fillId="0" borderId="10" xfId="10" applyFont="1" applyBorder="1" applyAlignment="1">
      <alignment vertical="top" wrapText="1"/>
    </xf>
    <xf numFmtId="0" fontId="35" fillId="0" borderId="2" xfId="10" applyFont="1" applyBorder="1"/>
    <xf numFmtId="0" fontId="35" fillId="29" borderId="28" xfId="10" applyFont="1" applyFill="1" applyBorder="1" applyAlignment="1">
      <alignment vertical="top" wrapText="1"/>
    </xf>
    <xf numFmtId="0" fontId="35" fillId="0" borderId="2" xfId="10" applyFont="1" applyBorder="1" applyAlignment="1">
      <alignment vertical="top" wrapText="1"/>
    </xf>
    <xf numFmtId="0" fontId="35" fillId="0" borderId="19" xfId="10" applyFont="1" applyBorder="1" applyAlignment="1">
      <alignment vertical="top" wrapText="1"/>
    </xf>
    <xf numFmtId="0" fontId="72" fillId="17" borderId="28" xfId="10" applyFont="1" applyFill="1" applyBorder="1" applyAlignment="1">
      <alignment vertical="top" wrapText="1"/>
    </xf>
    <xf numFmtId="2" fontId="72" fillId="15" borderId="2" xfId="10" applyNumberFormat="1" applyFont="1" applyFill="1" applyBorder="1" applyAlignment="1">
      <alignment vertical="top" wrapText="1"/>
    </xf>
    <xf numFmtId="9" fontId="35" fillId="0" borderId="2" xfId="10" applyNumberFormat="1" applyFont="1" applyBorder="1" applyAlignment="1">
      <alignment vertical="top" wrapText="1"/>
    </xf>
    <xf numFmtId="9" fontId="35" fillId="0" borderId="0" xfId="10" applyNumberFormat="1" applyFont="1"/>
    <xf numFmtId="0" fontId="72" fillId="17" borderId="13" xfId="10" applyFont="1" applyFill="1" applyBorder="1" applyAlignment="1">
      <alignment vertical="top" wrapText="1"/>
    </xf>
    <xf numFmtId="10" fontId="72" fillId="15" borderId="14" xfId="10" applyNumberFormat="1" applyFont="1" applyFill="1" applyBorder="1" applyAlignment="1">
      <alignment vertical="top" wrapText="1"/>
    </xf>
    <xf numFmtId="0" fontId="35" fillId="0" borderId="15" xfId="10" applyFont="1" applyBorder="1" applyAlignment="1">
      <alignment vertical="top" wrapText="1"/>
    </xf>
    <xf numFmtId="2" fontId="35" fillId="0" borderId="0" xfId="10" applyNumberFormat="1" applyFont="1"/>
    <xf numFmtId="0" fontId="35" fillId="0" borderId="0" xfId="10" applyFont="1" applyAlignment="1">
      <alignment horizontal="right"/>
    </xf>
    <xf numFmtId="2" fontId="35" fillId="0" borderId="40" xfId="10" applyNumberFormat="1" applyFont="1" applyBorder="1"/>
    <xf numFmtId="0" fontId="77" fillId="0" borderId="0" xfId="10" applyFont="1" applyAlignment="1">
      <alignment horizontal="center" vertical="center"/>
    </xf>
    <xf numFmtId="0" fontId="3" fillId="0" borderId="0" xfId="10" applyFont="1" applyAlignment="1">
      <alignment horizontal="left" vertical="center" wrapText="1"/>
    </xf>
    <xf numFmtId="1" fontId="0" fillId="0" borderId="9" xfId="6" applyNumberFormat="1" applyFont="1" applyBorder="1" applyAlignment="1">
      <alignment vertical="top" wrapText="1"/>
    </xf>
    <xf numFmtId="1" fontId="0" fillId="0" borderId="87" xfId="6" applyNumberFormat="1" applyFont="1" applyBorder="1" applyAlignment="1">
      <alignment vertical="top" wrapText="1"/>
    </xf>
    <xf numFmtId="0" fontId="3" fillId="0" borderId="2" xfId="10" applyFont="1" applyBorder="1" applyAlignment="1">
      <alignment vertical="top" wrapText="1"/>
    </xf>
    <xf numFmtId="2" fontId="6" fillId="15" borderId="2" xfId="10" applyNumberFormat="1" applyFont="1" applyFill="1" applyBorder="1" applyAlignment="1">
      <alignment vertical="top" wrapText="1"/>
    </xf>
    <xf numFmtId="9" fontId="3" fillId="0" borderId="2" xfId="10" applyNumberFormat="1" applyFont="1" applyBorder="1" applyAlignment="1">
      <alignment vertical="top" wrapText="1"/>
    </xf>
    <xf numFmtId="10" fontId="6" fillId="15" borderId="14" xfId="10" applyNumberFormat="1" applyFont="1" applyFill="1" applyBorder="1" applyAlignment="1">
      <alignment vertical="top" wrapText="1"/>
    </xf>
    <xf numFmtId="0" fontId="3" fillId="0" borderId="15" xfId="10" applyFont="1" applyBorder="1" applyAlignment="1">
      <alignment vertical="top" wrapText="1"/>
    </xf>
    <xf numFmtId="0" fontId="76" fillId="49" borderId="29" xfId="10" applyFont="1" applyFill="1" applyBorder="1" applyAlignment="1">
      <alignment horizontal="center" vertical="center"/>
    </xf>
    <xf numFmtId="0" fontId="76" fillId="49" borderId="30" xfId="10" applyFont="1" applyFill="1" applyBorder="1" applyAlignment="1">
      <alignment horizontal="center" vertical="center"/>
    </xf>
    <xf numFmtId="0" fontId="76" fillId="49" borderId="81" xfId="10" applyFont="1" applyFill="1" applyBorder="1"/>
    <xf numFmtId="1" fontId="76" fillId="0" borderId="0" xfId="10" applyNumberFormat="1" applyFont="1" applyAlignment="1">
      <alignment horizontal="center"/>
    </xf>
    <xf numFmtId="168" fontId="76" fillId="0" borderId="0" xfId="10" applyNumberFormat="1" applyFont="1" applyAlignment="1">
      <alignment horizontal="right"/>
    </xf>
    <xf numFmtId="0" fontId="3" fillId="0" borderId="34" xfId="10" applyFont="1" applyBorder="1"/>
    <xf numFmtId="0" fontId="76" fillId="49" borderId="139" xfId="10" applyFont="1" applyFill="1" applyBorder="1"/>
    <xf numFmtId="1" fontId="76" fillId="0" borderId="140" xfId="10" applyNumberFormat="1" applyFont="1" applyBorder="1" applyAlignment="1">
      <alignment horizontal="center"/>
    </xf>
    <xf numFmtId="168" fontId="76" fillId="0" borderId="140" xfId="10" applyNumberFormat="1" applyFont="1" applyBorder="1"/>
    <xf numFmtId="0" fontId="3" fillId="0" borderId="141" xfId="10" applyFont="1" applyBorder="1"/>
    <xf numFmtId="168" fontId="76" fillId="0" borderId="0" xfId="10" applyNumberFormat="1" applyFont="1"/>
    <xf numFmtId="1" fontId="76" fillId="0" borderId="38" xfId="10" applyNumberFormat="1" applyFont="1" applyBorder="1" applyAlignment="1">
      <alignment horizontal="center"/>
    </xf>
    <xf numFmtId="168" fontId="76" fillId="0" borderId="38" xfId="10" applyNumberFormat="1" applyFont="1" applyBorder="1"/>
    <xf numFmtId="0" fontId="76" fillId="49" borderId="28" xfId="10" applyFont="1" applyFill="1" applyBorder="1" applyAlignment="1">
      <alignment wrapText="1"/>
    </xf>
    <xf numFmtId="0" fontId="3" fillId="0" borderId="2" xfId="10" applyFont="1" applyBorder="1"/>
    <xf numFmtId="0" fontId="3" fillId="0" borderId="19" xfId="10" applyFont="1" applyBorder="1" applyAlignment="1">
      <alignment wrapText="1"/>
    </xf>
    <xf numFmtId="0" fontId="76" fillId="49" borderId="13" xfId="10" applyFont="1" applyFill="1" applyBorder="1" applyAlignment="1">
      <alignment wrapText="1"/>
    </xf>
    <xf numFmtId="10" fontId="3" fillId="0" borderId="14" xfId="10" applyNumberFormat="1" applyFont="1" applyBorder="1"/>
    <xf numFmtId="0" fontId="3" fillId="0" borderId="14" xfId="10" applyFont="1" applyBorder="1"/>
    <xf numFmtId="0" fontId="3" fillId="0" borderId="15" xfId="10" applyFont="1" applyBorder="1"/>
    <xf numFmtId="0" fontId="3" fillId="29" borderId="2" xfId="10" applyFont="1" applyFill="1" applyBorder="1" applyAlignment="1">
      <alignment vertical="top" wrapText="1"/>
    </xf>
    <xf numFmtId="166" fontId="3" fillId="0" borderId="2" xfId="10" applyNumberFormat="1" applyFont="1" applyBorder="1"/>
    <xf numFmtId="3" fontId="3" fillId="0" borderId="0" xfId="10" applyNumberFormat="1" applyFont="1"/>
    <xf numFmtId="3" fontId="3" fillId="0" borderId="2" xfId="10" applyNumberFormat="1" applyFont="1" applyBorder="1"/>
    <xf numFmtId="0" fontId="3" fillId="0" borderId="0" xfId="10" applyFont="1" applyAlignment="1">
      <alignment horizontal="center" vertical="center"/>
    </xf>
    <xf numFmtId="2" fontId="6" fillId="15" borderId="2" xfId="10" applyNumberFormat="1" applyFont="1" applyFill="1" applyBorder="1" applyAlignment="1">
      <alignment horizontal="center" vertical="center" wrapText="1"/>
    </xf>
    <xf numFmtId="178" fontId="3" fillId="0" borderId="0" xfId="10" applyNumberFormat="1" applyFont="1" applyAlignment="1">
      <alignment horizontal="center" vertical="center"/>
    </xf>
    <xf numFmtId="168" fontId="6" fillId="15" borderId="2" xfId="10" applyNumberFormat="1" applyFont="1" applyFill="1" applyBorder="1" applyAlignment="1">
      <alignment vertical="top" wrapText="1"/>
    </xf>
    <xf numFmtId="174" fontId="3" fillId="0" borderId="0" xfId="10" applyNumberFormat="1" applyFont="1" applyAlignment="1">
      <alignment horizontal="center" vertical="center"/>
    </xf>
    <xf numFmtId="167" fontId="3" fillId="0" borderId="2" xfId="10" applyNumberFormat="1" applyFont="1" applyBorder="1"/>
    <xf numFmtId="166" fontId="3" fillId="0" borderId="19" xfId="10" applyNumberFormat="1" applyFont="1" applyBorder="1"/>
    <xf numFmtId="2" fontId="6" fillId="0" borderId="0" xfId="10" applyNumberFormat="1" applyFont="1" applyAlignment="1">
      <alignment vertical="top" wrapText="1"/>
    </xf>
    <xf numFmtId="168" fontId="3" fillId="0" borderId="0" xfId="10" applyNumberFormat="1" applyFont="1" applyAlignment="1">
      <alignment horizontal="center" vertical="center"/>
    </xf>
    <xf numFmtId="4" fontId="3" fillId="0" borderId="2" xfId="10" applyNumberFormat="1" applyFont="1" applyBorder="1" applyAlignment="1">
      <alignment horizontal="center"/>
    </xf>
    <xf numFmtId="167" fontId="3" fillId="0" borderId="2" xfId="10" applyNumberFormat="1" applyFont="1" applyBorder="1" applyAlignment="1">
      <alignment horizontal="center"/>
    </xf>
    <xf numFmtId="168" fontId="3" fillId="0" borderId="2" xfId="10" applyNumberFormat="1" applyFont="1" applyBorder="1" applyAlignment="1">
      <alignment horizontal="center"/>
    </xf>
    <xf numFmtId="0" fontId="0" fillId="0" borderId="32" xfId="0" applyBorder="1" applyAlignment="1">
      <alignment wrapText="1"/>
    </xf>
    <xf numFmtId="0" fontId="0" fillId="34" borderId="31" xfId="10" quotePrefix="1" applyFont="1" applyFill="1" applyBorder="1" applyAlignment="1">
      <alignment horizontal="left" vertical="top"/>
    </xf>
    <xf numFmtId="0" fontId="0" fillId="34" borderId="6" xfId="10" applyFont="1" applyFill="1" applyBorder="1" applyAlignment="1">
      <alignment horizontal="left" vertical="top" wrapText="1"/>
    </xf>
    <xf numFmtId="0" fontId="0" fillId="34" borderId="33" xfId="10" applyFont="1" applyFill="1" applyBorder="1" applyAlignment="1">
      <alignment horizontal="left" vertical="top" wrapText="1"/>
    </xf>
    <xf numFmtId="0" fontId="78" fillId="0" borderId="0" xfId="0" applyFont="1"/>
    <xf numFmtId="9" fontId="0" fillId="0" borderId="0" xfId="0" applyNumberFormat="1"/>
    <xf numFmtId="176" fontId="3" fillId="0" borderId="2" xfId="10" applyNumberFormat="1" applyFont="1" applyBorder="1" applyAlignment="1">
      <alignment horizontal="center" vertical="center"/>
    </xf>
    <xf numFmtId="3" fontId="3" fillId="0" borderId="2" xfId="10" applyNumberFormat="1" applyFont="1" applyBorder="1" applyAlignment="1">
      <alignment vertical="top" wrapText="1"/>
    </xf>
    <xf numFmtId="0" fontId="79" fillId="26" borderId="18" xfId="10" applyFont="1" applyFill="1" applyBorder="1" applyAlignment="1">
      <alignment horizontal="center" wrapText="1"/>
    </xf>
    <xf numFmtId="2" fontId="3" fillId="0" borderId="2" xfId="10" applyNumberFormat="1" applyFont="1" applyBorder="1" applyAlignment="1">
      <alignment horizontal="right"/>
    </xf>
    <xf numFmtId="0" fontId="3" fillId="0" borderId="2" xfId="10" applyFont="1" applyBorder="1" applyAlignment="1">
      <alignment horizontal="right"/>
    </xf>
    <xf numFmtId="0" fontId="0" fillId="0" borderId="19" xfId="0" applyBorder="1" applyAlignment="1">
      <alignment vertical="center" wrapText="1"/>
    </xf>
    <xf numFmtId="2" fontId="3" fillId="0" borderId="14" xfId="10" applyNumberFormat="1" applyFont="1" applyBorder="1" applyAlignment="1">
      <alignment horizontal="right"/>
    </xf>
    <xf numFmtId="0" fontId="0" fillId="0" borderId="0" xfId="0" applyAlignment="1">
      <alignment horizontal="left" vertical="center" indent="4"/>
    </xf>
    <xf numFmtId="0" fontId="0" fillId="34" borderId="2" xfId="10" applyFont="1" applyFill="1" applyBorder="1" applyAlignment="1">
      <alignment horizontal="left" vertical="top"/>
    </xf>
    <xf numFmtId="0" fontId="0" fillId="34" borderId="19" xfId="10" applyFont="1" applyFill="1" applyBorder="1" applyAlignment="1">
      <alignment horizontal="left" vertical="top"/>
    </xf>
    <xf numFmtId="0" fontId="3" fillId="44" borderId="0" xfId="10" applyFont="1" applyFill="1"/>
    <xf numFmtId="10" fontId="3" fillId="0" borderId="2" xfId="10" applyNumberFormat="1" applyFont="1" applyBorder="1" applyAlignment="1">
      <alignment vertical="top" wrapText="1"/>
    </xf>
    <xf numFmtId="0" fontId="3" fillId="44" borderId="0" xfId="10" applyFont="1" applyFill="1" applyAlignment="1">
      <alignment wrapText="1"/>
    </xf>
    <xf numFmtId="0" fontId="10" fillId="8" borderId="2" xfId="0" applyFont="1" applyFill="1" applyBorder="1" applyAlignment="1">
      <alignment horizontal="center" vertical="center"/>
    </xf>
    <xf numFmtId="0" fontId="10" fillId="13" borderId="2"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7" borderId="2" xfId="0" applyFont="1" applyFill="1" applyBorder="1" applyAlignment="1">
      <alignment horizontal="center" vertical="center" wrapText="1"/>
    </xf>
    <xf numFmtId="0" fontId="80" fillId="19" borderId="3" xfId="16" applyFill="1" applyBorder="1" applyAlignment="1">
      <alignment horizontal="center"/>
    </xf>
    <xf numFmtId="0" fontId="80" fillId="19" borderId="4" xfId="16" applyFill="1" applyBorder="1" applyAlignment="1">
      <alignment horizontal="center"/>
    </xf>
    <xf numFmtId="0" fontId="80" fillId="19" borderId="5" xfId="16" applyFill="1" applyBorder="1" applyAlignment="1">
      <alignment horizontal="center"/>
    </xf>
    <xf numFmtId="0" fontId="80" fillId="0" borderId="9" xfId="16" applyBorder="1" applyAlignment="1">
      <alignment wrapText="1"/>
    </xf>
    <xf numFmtId="0" fontId="80" fillId="0" borderId="10" xfId="16" applyBorder="1" applyAlignment="1">
      <alignment wrapText="1"/>
    </xf>
    <xf numFmtId="0" fontId="80" fillId="0" borderId="14" xfId="16" applyBorder="1" applyAlignment="1">
      <alignment wrapText="1"/>
    </xf>
    <xf numFmtId="0" fontId="80" fillId="0" borderId="15" xfId="16" applyBorder="1" applyAlignment="1">
      <alignment wrapText="1"/>
    </xf>
    <xf numFmtId="0" fontId="80" fillId="22" borderId="3" xfId="16" applyFill="1" applyBorder="1" applyAlignment="1">
      <alignment horizontal="center"/>
    </xf>
    <xf numFmtId="0" fontId="80" fillId="22" borderId="4" xfId="16" applyFill="1" applyBorder="1" applyAlignment="1">
      <alignment horizontal="center"/>
    </xf>
    <xf numFmtId="0" fontId="80" fillId="22" borderId="5" xfId="16" applyFill="1" applyBorder="1" applyAlignment="1">
      <alignment horizontal="center"/>
    </xf>
    <xf numFmtId="0" fontId="15" fillId="0" borderId="17" xfId="16" applyFont="1" applyBorder="1"/>
    <xf numFmtId="0" fontId="15" fillId="0" borderId="9" xfId="16" applyFont="1" applyBorder="1"/>
    <xf numFmtId="0" fontId="15" fillId="0" borderId="10" xfId="16" applyFont="1" applyBorder="1"/>
    <xf numFmtId="0" fontId="15" fillId="0" borderId="7" xfId="16" applyFont="1" applyBorder="1"/>
    <xf numFmtId="0" fontId="15" fillId="0" borderId="2" xfId="16" applyFont="1" applyBorder="1"/>
    <xf numFmtId="0" fontId="15" fillId="0" borderId="19" xfId="16" applyFont="1" applyBorder="1"/>
    <xf numFmtId="0" fontId="80" fillId="0" borderId="7" xfId="16" applyBorder="1"/>
    <xf numFmtId="0" fontId="80" fillId="0" borderId="2" xfId="16" applyBorder="1"/>
    <xf numFmtId="0" fontId="80" fillId="0" borderId="19" xfId="16" applyBorder="1"/>
    <xf numFmtId="0" fontId="80" fillId="0" borderId="21" xfId="16" applyBorder="1"/>
    <xf numFmtId="0" fontId="80" fillId="0" borderId="14" xfId="16" applyBorder="1"/>
    <xf numFmtId="0" fontId="80" fillId="0" borderId="15" xfId="16" applyBorder="1"/>
    <xf numFmtId="0" fontId="6" fillId="0" borderId="0" xfId="0" applyFont="1" applyAlignment="1">
      <alignment horizontal="center"/>
    </xf>
    <xf numFmtId="0" fontId="6" fillId="0" borderId="77" xfId="14" applyFont="1" applyBorder="1" applyAlignment="1">
      <alignment horizontal="center"/>
    </xf>
    <xf numFmtId="0" fontId="6" fillId="0" borderId="85" xfId="14" applyFont="1" applyBorder="1" applyAlignment="1">
      <alignment horizontal="center"/>
    </xf>
    <xf numFmtId="0" fontId="6" fillId="16" borderId="22" xfId="0" applyFont="1" applyFill="1" applyBorder="1" applyAlignment="1">
      <alignment horizontal="center"/>
    </xf>
    <xf numFmtId="0" fontId="6" fillId="16" borderId="23" xfId="0" applyFont="1" applyFill="1" applyBorder="1" applyAlignment="1">
      <alignment horizontal="center"/>
    </xf>
    <xf numFmtId="0" fontId="6" fillId="16" borderId="68" xfId="0" applyFont="1" applyFill="1" applyBorder="1" applyAlignment="1">
      <alignment horizontal="center"/>
    </xf>
    <xf numFmtId="0" fontId="26" fillId="32" borderId="47" xfId="0" applyFont="1" applyFill="1" applyBorder="1" applyAlignment="1">
      <alignment horizontal="center" vertical="center"/>
    </xf>
    <xf numFmtId="0" fontId="26" fillId="32" borderId="41" xfId="0" applyFont="1" applyFill="1" applyBorder="1" applyAlignment="1">
      <alignment horizontal="center" vertical="center"/>
    </xf>
    <xf numFmtId="0" fontId="26" fillId="32" borderId="42" xfId="0" applyFont="1" applyFill="1" applyBorder="1" applyAlignment="1">
      <alignment horizontal="center" vertical="center"/>
    </xf>
    <xf numFmtId="0" fontId="0" fillId="0" borderId="31" xfId="0" applyBorder="1" applyAlignment="1">
      <alignment horizontal="left" vertical="top" wrapText="1"/>
    </xf>
    <xf numFmtId="0" fontId="0" fillId="0" borderId="6" xfId="0" applyBorder="1" applyAlignment="1">
      <alignment horizontal="left" vertical="top" wrapText="1"/>
    </xf>
    <xf numFmtId="0" fontId="0" fillId="0" borderId="33" xfId="0" applyBorder="1" applyAlignment="1">
      <alignment horizontal="left" vertical="top" wrapText="1"/>
    </xf>
    <xf numFmtId="0" fontId="0" fillId="0" borderId="0" xfId="0" applyAlignment="1">
      <alignment horizontal="left" wrapText="1"/>
    </xf>
    <xf numFmtId="14" fontId="0" fillId="0" borderId="43" xfId="0" applyNumberFormat="1"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6" fillId="32" borderId="46" xfId="0" applyFont="1" applyFill="1" applyBorder="1" applyAlignment="1">
      <alignment horizontal="center" wrapText="1"/>
    </xf>
    <xf numFmtId="0" fontId="6" fillId="32" borderId="29" xfId="0" applyFont="1" applyFill="1" applyBorder="1" applyAlignment="1">
      <alignment horizontal="center" wrapText="1"/>
    </xf>
    <xf numFmtId="0" fontId="6" fillId="32" borderId="47" xfId="0" applyFont="1" applyFill="1" applyBorder="1" applyAlignment="1">
      <alignment horizontal="center" wrapText="1"/>
    </xf>
    <xf numFmtId="0" fontId="6" fillId="32" borderId="41" xfId="0" applyFont="1" applyFill="1" applyBorder="1" applyAlignment="1">
      <alignment horizontal="center" wrapText="1"/>
    </xf>
    <xf numFmtId="0" fontId="6" fillId="32" borderId="42" xfId="0" applyFont="1" applyFill="1" applyBorder="1" applyAlignment="1">
      <alignment horizontal="center" wrapText="1"/>
    </xf>
    <xf numFmtId="0" fontId="6" fillId="0" borderId="26" xfId="0" applyFont="1" applyBorder="1" applyAlignment="1">
      <alignment horizontal="center"/>
    </xf>
    <xf numFmtId="0" fontId="6" fillId="0" borderId="27" xfId="0" applyFont="1"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6" fillId="30" borderId="3" xfId="0" applyFont="1" applyFill="1" applyBorder="1" applyAlignment="1">
      <alignment horizontal="center"/>
    </xf>
    <xf numFmtId="0" fontId="6" fillId="30" borderId="4" xfId="0" applyFont="1" applyFill="1" applyBorder="1" applyAlignment="1">
      <alignment horizontal="center"/>
    </xf>
    <xf numFmtId="0" fontId="6" fillId="30" borderId="5" xfId="0" applyFont="1" applyFill="1" applyBorder="1" applyAlignment="1">
      <alignment horizontal="center"/>
    </xf>
    <xf numFmtId="0" fontId="0" fillId="0" borderId="40" xfId="0" applyBorder="1" applyAlignment="1">
      <alignment horizontal="left" vertical="top" wrapText="1"/>
    </xf>
    <xf numFmtId="0" fontId="0" fillId="0" borderId="41" xfId="0" applyBorder="1" applyAlignment="1">
      <alignment horizontal="left" vertical="top" wrapText="1"/>
    </xf>
    <xf numFmtId="0" fontId="0" fillId="0" borderId="42" xfId="0" applyBorder="1" applyAlignment="1">
      <alignment horizontal="left" vertical="top" wrapText="1"/>
    </xf>
    <xf numFmtId="0" fontId="16" fillId="24" borderId="22" xfId="0" applyFont="1" applyFill="1" applyBorder="1" applyAlignment="1">
      <alignment horizontal="center"/>
    </xf>
    <xf numFmtId="0" fontId="16" fillId="24" borderId="23" xfId="0" applyFont="1" applyFill="1" applyBorder="1" applyAlignment="1">
      <alignment horizontal="center"/>
    </xf>
    <xf numFmtId="0" fontId="16" fillId="24" borderId="24" xfId="0" applyFont="1" applyFill="1" applyBorder="1" applyAlignment="1">
      <alignment horizontal="center"/>
    </xf>
    <xf numFmtId="0" fontId="6" fillId="25" borderId="3" xfId="0" applyFont="1" applyFill="1" applyBorder="1" applyAlignment="1">
      <alignment horizontal="center"/>
    </xf>
    <xf numFmtId="0" fontId="6" fillId="25" borderId="4" xfId="0" applyFont="1" applyFill="1" applyBorder="1" applyAlignment="1">
      <alignment horizontal="center"/>
    </xf>
    <xf numFmtId="0" fontId="6" fillId="25" borderId="5" xfId="0" applyFont="1" applyFill="1" applyBorder="1" applyAlignment="1">
      <alignment horizontal="center"/>
    </xf>
    <xf numFmtId="0" fontId="0" fillId="27" borderId="8" xfId="0" applyFill="1" applyBorder="1" applyAlignment="1">
      <alignment horizontal="center" vertical="center" wrapText="1"/>
    </xf>
    <xf numFmtId="0" fontId="0" fillId="27" borderId="10" xfId="0" applyFill="1" applyBorder="1" applyAlignment="1">
      <alignment horizontal="center" vertical="center" wrapText="1"/>
    </xf>
    <xf numFmtId="0" fontId="0" fillId="0" borderId="17"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27" borderId="28" xfId="0" applyFill="1" applyBorder="1" applyAlignment="1">
      <alignment horizontal="center" vertical="center" wrapText="1"/>
    </xf>
    <xf numFmtId="0" fontId="0" fillId="27" borderId="19" xfId="0" applyFill="1" applyBorder="1" applyAlignment="1">
      <alignment horizontal="center" vertical="center" wrapText="1"/>
    </xf>
    <xf numFmtId="0" fontId="0" fillId="27" borderId="13" xfId="0" applyFill="1" applyBorder="1" applyAlignment="1">
      <alignment horizontal="center" vertical="center" wrapText="1"/>
    </xf>
    <xf numFmtId="0" fontId="0" fillId="27" borderId="15" xfId="0" applyFill="1" applyBorder="1" applyAlignment="1">
      <alignment horizontal="center" vertical="center" wrapText="1"/>
    </xf>
    <xf numFmtId="0" fontId="0" fillId="0" borderId="7" xfId="0" applyBorder="1" applyAlignment="1">
      <alignment horizontal="left" vertical="center" wrapText="1"/>
    </xf>
    <xf numFmtId="0" fontId="0" fillId="0" borderId="2" xfId="0" applyBorder="1" applyAlignment="1">
      <alignment horizontal="left" vertical="center" wrapText="1"/>
    </xf>
    <xf numFmtId="0" fontId="0" fillId="0" borderId="19" xfId="0" applyBorder="1" applyAlignment="1">
      <alignment horizontal="left" vertical="center" wrapText="1"/>
    </xf>
    <xf numFmtId="0" fontId="0" fillId="0" borderId="21"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165" fontId="0" fillId="0" borderId="7" xfId="0" applyNumberFormat="1" applyBorder="1" applyAlignment="1">
      <alignment horizontal="center"/>
    </xf>
    <xf numFmtId="165" fontId="0" fillId="0" borderId="2" xfId="0" applyNumberFormat="1" applyBorder="1" applyAlignment="1">
      <alignment horizontal="center"/>
    </xf>
    <xf numFmtId="0" fontId="0" fillId="0" borderId="40" xfId="0" applyBorder="1" applyAlignment="1">
      <alignment vertical="top" wrapText="1"/>
    </xf>
    <xf numFmtId="0" fontId="0" fillId="0" borderId="41" xfId="0" applyBorder="1" applyAlignment="1">
      <alignment vertical="top" wrapText="1"/>
    </xf>
    <xf numFmtId="0" fontId="0" fillId="0" borderId="42" xfId="0" applyBorder="1" applyAlignment="1">
      <alignment vertical="top" wrapText="1"/>
    </xf>
    <xf numFmtId="0" fontId="0" fillId="0" borderId="31" xfId="0" applyBorder="1" applyAlignment="1">
      <alignment vertical="top" wrapText="1"/>
    </xf>
    <xf numFmtId="0" fontId="0" fillId="0" borderId="6" xfId="0" applyBorder="1" applyAlignment="1">
      <alignment vertical="top" wrapText="1"/>
    </xf>
    <xf numFmtId="0" fontId="0" fillId="0" borderId="33" xfId="0" applyBorder="1" applyAlignment="1">
      <alignment vertical="top" wrapText="1"/>
    </xf>
    <xf numFmtId="14" fontId="0" fillId="0" borderId="43" xfId="0" applyNumberFormat="1" applyBorder="1" applyAlignment="1">
      <alignment vertical="top" wrapText="1"/>
    </xf>
    <xf numFmtId="0" fontId="0" fillId="0" borderId="44" xfId="0" applyBorder="1" applyAlignment="1">
      <alignment vertical="top" wrapText="1"/>
    </xf>
    <xf numFmtId="0" fontId="0" fillId="0" borderId="45" xfId="0" applyBorder="1" applyAlignment="1">
      <alignment vertical="top" wrapText="1"/>
    </xf>
    <xf numFmtId="0" fontId="6" fillId="32" borderId="40" xfId="0" applyFont="1" applyFill="1" applyBorder="1" applyAlignment="1">
      <alignment horizontal="center" wrapText="1"/>
    </xf>
    <xf numFmtId="0" fontId="6" fillId="16" borderId="37" xfId="0" applyFont="1" applyFill="1" applyBorder="1" applyAlignment="1">
      <alignment horizontal="center"/>
    </xf>
    <xf numFmtId="0" fontId="6" fillId="16" borderId="38" xfId="0" applyFont="1" applyFill="1" applyBorder="1" applyAlignment="1">
      <alignment horizontal="center"/>
    </xf>
    <xf numFmtId="0" fontId="6" fillId="16" borderId="39" xfId="0" applyFont="1" applyFill="1" applyBorder="1" applyAlignment="1">
      <alignment horizontal="center"/>
    </xf>
    <xf numFmtId="165" fontId="0" fillId="16" borderId="13" xfId="0" applyNumberFormat="1" applyFill="1" applyBorder="1" applyAlignment="1">
      <alignment horizontal="center"/>
    </xf>
    <xf numFmtId="165" fontId="0" fillId="16" borderId="15" xfId="0" applyNumberFormat="1" applyFill="1" applyBorder="1" applyAlignment="1">
      <alignment horizontal="center"/>
    </xf>
    <xf numFmtId="0" fontId="6" fillId="32" borderId="22" xfId="0" applyFont="1" applyFill="1" applyBorder="1" applyAlignment="1">
      <alignment horizontal="center" wrapText="1"/>
    </xf>
    <xf numFmtId="0" fontId="6" fillId="32" borderId="24" xfId="0" applyFont="1" applyFill="1" applyBorder="1" applyAlignment="1">
      <alignment horizontal="center" wrapText="1"/>
    </xf>
    <xf numFmtId="0" fontId="6" fillId="16" borderId="24" xfId="0" applyFont="1" applyFill="1" applyBorder="1" applyAlignment="1">
      <alignment horizontal="center"/>
    </xf>
    <xf numFmtId="0" fontId="0" fillId="17" borderId="91" xfId="0" applyFill="1" applyBorder="1" applyAlignment="1">
      <alignment horizontal="center" wrapText="1"/>
    </xf>
    <xf numFmtId="0" fontId="0" fillId="17" borderId="92" xfId="0" applyFill="1" applyBorder="1" applyAlignment="1">
      <alignment horizontal="center" wrapText="1"/>
    </xf>
    <xf numFmtId="0" fontId="0" fillId="25" borderId="3" xfId="0" applyFill="1" applyBorder="1" applyAlignment="1">
      <alignment horizontal="center"/>
    </xf>
    <xf numFmtId="0" fontId="0" fillId="25" borderId="4" xfId="0" applyFill="1" applyBorder="1" applyAlignment="1">
      <alignment horizontal="center"/>
    </xf>
    <xf numFmtId="0" fontId="0" fillId="25" borderId="5" xfId="0" applyFill="1" applyBorder="1" applyAlignment="1">
      <alignment horizontal="center"/>
    </xf>
    <xf numFmtId="0" fontId="0" fillId="0" borderId="17" xfId="0" quotePrefix="1" applyBorder="1" applyAlignment="1">
      <alignment horizontal="left" vertical="center" wrapText="1"/>
    </xf>
    <xf numFmtId="0" fontId="0" fillId="0" borderId="7" xfId="0" applyBorder="1" applyAlignment="1">
      <alignment horizontal="center"/>
    </xf>
    <xf numFmtId="0" fontId="0" fillId="0" borderId="2" xfId="0" applyBorder="1" applyAlignment="1">
      <alignment horizontal="center"/>
    </xf>
    <xf numFmtId="0" fontId="0" fillId="0" borderId="7" xfId="0" quotePrefix="1" applyBorder="1" applyAlignment="1">
      <alignment horizontal="left" vertical="center" wrapText="1"/>
    </xf>
    <xf numFmtId="14" fontId="0" fillId="0" borderId="44" xfId="0" applyNumberFormat="1" applyBorder="1" applyAlignment="1">
      <alignment horizontal="left" vertical="top" wrapText="1"/>
    </xf>
    <xf numFmtId="14" fontId="0" fillId="0" borderId="45" xfId="0" applyNumberFormat="1" applyBorder="1" applyAlignment="1">
      <alignment horizontal="left" vertical="top" wrapText="1"/>
    </xf>
    <xf numFmtId="0" fontId="0" fillId="0" borderId="80" xfId="0" applyBorder="1" applyAlignment="1">
      <alignment horizontal="center"/>
    </xf>
    <xf numFmtId="0" fontId="0" fillId="0" borderId="45" xfId="0" applyBorder="1" applyAlignment="1">
      <alignment horizontal="center"/>
    </xf>
    <xf numFmtId="0" fontId="6" fillId="30" borderId="22" xfId="0" applyFont="1" applyFill="1" applyBorder="1" applyAlignment="1">
      <alignment horizontal="center"/>
    </xf>
    <xf numFmtId="0" fontId="6" fillId="30" borderId="23" xfId="0" applyFont="1" applyFill="1" applyBorder="1" applyAlignment="1">
      <alignment horizontal="center"/>
    </xf>
    <xf numFmtId="0" fontId="6" fillId="30" borderId="24" xfId="0" applyFont="1" applyFill="1" applyBorder="1" applyAlignment="1">
      <alignment horizontal="center"/>
    </xf>
    <xf numFmtId="0" fontId="6" fillId="0" borderId="47" xfId="0" applyFont="1" applyBorder="1" applyAlignment="1">
      <alignment horizontal="center"/>
    </xf>
    <xf numFmtId="0" fontId="6" fillId="0" borderId="42" xfId="0" applyFont="1" applyBorder="1" applyAlignment="1">
      <alignment horizontal="center"/>
    </xf>
    <xf numFmtId="0" fontId="6" fillId="25" borderId="22" xfId="0" applyFont="1" applyFill="1" applyBorder="1" applyAlignment="1">
      <alignment horizontal="center"/>
    </xf>
    <xf numFmtId="0" fontId="6" fillId="25" borderId="23" xfId="0" applyFont="1" applyFill="1" applyBorder="1" applyAlignment="1">
      <alignment horizontal="center"/>
    </xf>
    <xf numFmtId="0" fontId="6" fillId="25" borderId="24" xfId="0" applyFont="1" applyFill="1" applyBorder="1" applyAlignment="1">
      <alignment horizontal="center"/>
    </xf>
    <xf numFmtId="0" fontId="0" fillId="27" borderId="40" xfId="0" applyFill="1" applyBorder="1" applyAlignment="1">
      <alignment horizontal="center" vertical="center" wrapText="1"/>
    </xf>
    <xf numFmtId="0" fontId="0" fillId="27" borderId="42" xfId="0" applyFill="1" applyBorder="1" applyAlignment="1">
      <alignment horizontal="center" vertical="center" wrapText="1"/>
    </xf>
    <xf numFmtId="0" fontId="0" fillId="0" borderId="40" xfId="0" quotePrefix="1"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6" fillId="0" borderId="46" xfId="0" applyFont="1" applyBorder="1" applyAlignment="1">
      <alignment horizontal="center"/>
    </xf>
    <xf numFmtId="0" fontId="6" fillId="0" borderId="30" xfId="0" applyFont="1" applyBorder="1" applyAlignment="1">
      <alignment horizontal="center"/>
    </xf>
    <xf numFmtId="0" fontId="0" fillId="27" borderId="95" xfId="0" applyFill="1" applyBorder="1" applyAlignment="1">
      <alignment horizontal="center" vertical="center" wrapText="1"/>
    </xf>
    <xf numFmtId="0" fontId="0" fillId="27" borderId="96" xfId="0" applyFill="1" applyBorder="1" applyAlignment="1">
      <alignment horizontal="center" vertical="center" wrapText="1"/>
    </xf>
    <xf numFmtId="0" fontId="0" fillId="27" borderId="37" xfId="0" applyFill="1" applyBorder="1" applyAlignment="1">
      <alignment horizontal="center" vertical="center" wrapText="1"/>
    </xf>
    <xf numFmtId="0" fontId="0" fillId="27" borderId="39" xfId="0" applyFill="1" applyBorder="1" applyAlignment="1">
      <alignment horizontal="center"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0" fillId="0" borderId="37" xfId="0" applyBorder="1" applyAlignment="1">
      <alignment horizontal="center"/>
    </xf>
    <xf numFmtId="0" fontId="0" fillId="0" borderId="39" xfId="0" applyBorder="1" applyAlignment="1">
      <alignment horizontal="center"/>
    </xf>
    <xf numFmtId="0" fontId="80" fillId="0" borderId="0" xfId="15" applyAlignment="1">
      <alignment horizontal="left" vertical="top" wrapText="1"/>
    </xf>
    <xf numFmtId="0" fontId="80" fillId="0" borderId="0" xfId="15" applyAlignment="1">
      <alignment horizontal="left" vertical="top"/>
    </xf>
    <xf numFmtId="0" fontId="62" fillId="0" borderId="0" xfId="15" applyFont="1" applyAlignment="1">
      <alignment horizontal="left" vertical="top"/>
    </xf>
    <xf numFmtId="0" fontId="80" fillId="0" borderId="22" xfId="15" applyBorder="1" applyAlignment="1">
      <alignment horizontal="left" vertical="top" wrapText="1"/>
    </xf>
    <xf numFmtId="0" fontId="80" fillId="0" borderId="23" xfId="15" applyBorder="1" applyAlignment="1">
      <alignment horizontal="left" vertical="top" wrapText="1"/>
    </xf>
    <xf numFmtId="0" fontId="80" fillId="0" borderId="31" xfId="15" applyBorder="1" applyAlignment="1">
      <alignment horizontal="left" vertical="top" wrapText="1"/>
    </xf>
    <xf numFmtId="0" fontId="80" fillId="0" borderId="6" xfId="15" applyBorder="1" applyAlignment="1">
      <alignment horizontal="left" vertical="top" wrapText="1"/>
    </xf>
    <xf numFmtId="0" fontId="80" fillId="0" borderId="33" xfId="15" applyBorder="1" applyAlignment="1">
      <alignment horizontal="left" vertical="top" wrapText="1"/>
    </xf>
    <xf numFmtId="14" fontId="80" fillId="0" borderId="43" xfId="15" applyNumberFormat="1" applyBorder="1" applyAlignment="1">
      <alignment horizontal="left" vertical="top" wrapText="1"/>
    </xf>
    <xf numFmtId="0" fontId="80" fillId="0" borderId="44" xfId="15" applyBorder="1" applyAlignment="1">
      <alignment horizontal="left" vertical="top" wrapText="1"/>
    </xf>
    <xf numFmtId="0" fontId="80" fillId="0" borderId="45" xfId="15" applyBorder="1" applyAlignment="1">
      <alignment horizontal="left" vertical="top" wrapText="1"/>
    </xf>
    <xf numFmtId="0" fontId="17" fillId="0" borderId="31" xfId="15" applyFont="1" applyBorder="1" applyAlignment="1">
      <alignment horizontal="left" vertical="top" wrapText="1"/>
    </xf>
    <xf numFmtId="0" fontId="17" fillId="0" borderId="6" xfId="15" applyFont="1" applyBorder="1" applyAlignment="1">
      <alignment horizontal="left" vertical="top" wrapText="1"/>
    </xf>
    <xf numFmtId="0" fontId="17" fillId="0" borderId="33" xfId="15" applyFont="1" applyBorder="1" applyAlignment="1">
      <alignment horizontal="left" vertical="top" wrapText="1"/>
    </xf>
    <xf numFmtId="0" fontId="6" fillId="0" borderId="26" xfId="15" applyFont="1" applyBorder="1" applyAlignment="1">
      <alignment horizontal="center"/>
    </xf>
    <xf numFmtId="0" fontId="6" fillId="0" borderId="27" xfId="15" applyFont="1" applyBorder="1" applyAlignment="1">
      <alignment horizontal="center"/>
    </xf>
    <xf numFmtId="0" fontId="80" fillId="0" borderId="35" xfId="15" applyBorder="1" applyAlignment="1">
      <alignment horizontal="center"/>
    </xf>
    <xf numFmtId="0" fontId="80" fillId="0" borderId="36" xfId="15" applyBorder="1" applyAlignment="1">
      <alignment horizontal="center"/>
    </xf>
    <xf numFmtId="0" fontId="6" fillId="30" borderId="3" xfId="15" applyFont="1" applyFill="1" applyBorder="1" applyAlignment="1">
      <alignment horizontal="center"/>
    </xf>
    <xf numFmtId="0" fontId="6" fillId="30" borderId="4" xfId="15" applyFont="1" applyFill="1" applyBorder="1" applyAlignment="1">
      <alignment horizontal="center"/>
    </xf>
    <xf numFmtId="0" fontId="6" fillId="30" borderId="5" xfId="15" applyFont="1" applyFill="1" applyBorder="1" applyAlignment="1">
      <alignment horizontal="center"/>
    </xf>
    <xf numFmtId="0" fontId="80" fillId="0" borderId="40" xfId="15" applyBorder="1" applyAlignment="1">
      <alignment horizontal="left" vertical="top" wrapText="1"/>
    </xf>
    <xf numFmtId="0" fontId="80" fillId="0" borderId="41" xfId="15" applyBorder="1" applyAlignment="1">
      <alignment horizontal="left" vertical="top" wrapText="1"/>
    </xf>
    <xf numFmtId="0" fontId="80" fillId="0" borderId="42" xfId="15" applyBorder="1" applyAlignment="1">
      <alignment horizontal="left" vertical="top" wrapText="1"/>
    </xf>
    <xf numFmtId="0" fontId="16" fillId="24" borderId="22" xfId="15" applyFont="1" applyFill="1" applyBorder="1" applyAlignment="1">
      <alignment horizontal="center"/>
    </xf>
    <xf numFmtId="0" fontId="16" fillId="24" borderId="23" xfId="15" applyFont="1" applyFill="1" applyBorder="1" applyAlignment="1">
      <alignment horizontal="center"/>
    </xf>
    <xf numFmtId="0" fontId="16" fillId="24" borderId="24" xfId="15" applyFont="1" applyFill="1" applyBorder="1" applyAlignment="1">
      <alignment horizontal="center"/>
    </xf>
    <xf numFmtId="0" fontId="6" fillId="25" borderId="3" xfId="15" applyFont="1" applyFill="1" applyBorder="1" applyAlignment="1">
      <alignment horizontal="center"/>
    </xf>
    <xf numFmtId="0" fontId="6" fillId="25" borderId="4" xfId="15" applyFont="1" applyFill="1" applyBorder="1" applyAlignment="1">
      <alignment horizontal="center"/>
    </xf>
    <xf numFmtId="0" fontId="6" fillId="25" borderId="5" xfId="15" applyFont="1" applyFill="1" applyBorder="1" applyAlignment="1">
      <alignment horizontal="center"/>
    </xf>
    <xf numFmtId="0" fontId="80" fillId="27" borderId="8" xfId="15" applyFill="1" applyBorder="1" applyAlignment="1">
      <alignment horizontal="center" vertical="center" wrapText="1"/>
    </xf>
    <xf numFmtId="0" fontId="80" fillId="27" borderId="10" xfId="15" applyFill="1" applyBorder="1" applyAlignment="1">
      <alignment horizontal="center" vertical="center" wrapText="1"/>
    </xf>
    <xf numFmtId="0" fontId="80" fillId="0" borderId="17" xfId="15" applyBorder="1" applyAlignment="1">
      <alignment horizontal="left" vertical="center" wrapText="1"/>
    </xf>
    <xf numFmtId="0" fontId="80" fillId="0" borderId="9" xfId="15" applyBorder="1" applyAlignment="1">
      <alignment horizontal="left" vertical="center" wrapText="1"/>
    </xf>
    <xf numFmtId="0" fontId="80" fillId="0" borderId="10" xfId="15" applyBorder="1" applyAlignment="1">
      <alignment horizontal="left" vertical="center" wrapText="1"/>
    </xf>
    <xf numFmtId="0" fontId="80" fillId="27" borderId="28" xfId="15" applyFill="1" applyBorder="1" applyAlignment="1">
      <alignment horizontal="center" vertical="center" wrapText="1"/>
    </xf>
    <xf numFmtId="0" fontId="80" fillId="27" borderId="19" xfId="15" applyFill="1" applyBorder="1" applyAlignment="1">
      <alignment horizontal="center" vertical="center" wrapText="1"/>
    </xf>
    <xf numFmtId="0" fontId="80" fillId="27" borderId="13" xfId="15" applyFill="1" applyBorder="1" applyAlignment="1">
      <alignment horizontal="center" vertical="center" wrapText="1"/>
    </xf>
    <xf numFmtId="0" fontId="80" fillId="27" borderId="15" xfId="15" applyFill="1" applyBorder="1" applyAlignment="1">
      <alignment horizontal="center" vertical="center" wrapText="1"/>
    </xf>
    <xf numFmtId="0" fontId="80" fillId="0" borderId="7" xfId="15" applyBorder="1" applyAlignment="1">
      <alignment horizontal="left" vertical="center" wrapText="1"/>
    </xf>
    <xf numFmtId="0" fontId="80" fillId="0" borderId="2" xfId="15" applyBorder="1" applyAlignment="1">
      <alignment horizontal="left" vertical="center" wrapText="1"/>
    </xf>
    <xf numFmtId="0" fontId="80" fillId="0" borderId="19" xfId="15" applyBorder="1" applyAlignment="1">
      <alignment horizontal="left" vertical="center" wrapText="1"/>
    </xf>
    <xf numFmtId="0" fontId="80" fillId="0" borderId="21" xfId="15" applyBorder="1" applyAlignment="1">
      <alignment horizontal="left" vertical="center" wrapText="1"/>
    </xf>
    <xf numFmtId="0" fontId="80" fillId="0" borderId="14" xfId="15" applyBorder="1" applyAlignment="1">
      <alignment horizontal="left" vertical="center" wrapText="1"/>
    </xf>
    <xf numFmtId="0" fontId="80" fillId="0" borderId="15" xfId="15" applyBorder="1" applyAlignment="1">
      <alignment horizontal="left" vertical="center" wrapText="1"/>
    </xf>
    <xf numFmtId="0" fontId="0" fillId="17" borderId="22" xfId="0" applyFill="1" applyBorder="1" applyAlignment="1">
      <alignment horizontal="center" wrapText="1"/>
    </xf>
    <xf numFmtId="0" fontId="0" fillId="17" borderId="23" xfId="0" applyFill="1" applyBorder="1" applyAlignment="1">
      <alignment horizontal="center" wrapText="1"/>
    </xf>
    <xf numFmtId="0" fontId="0" fillId="17" borderId="24" xfId="0" applyFill="1" applyBorder="1" applyAlignment="1">
      <alignment horizontal="center" wrapText="1"/>
    </xf>
    <xf numFmtId="0" fontId="6" fillId="0" borderId="115" xfId="0" applyFont="1" applyBorder="1" applyAlignment="1">
      <alignment horizontal="center" wrapText="1"/>
    </xf>
    <xf numFmtId="0" fontId="6" fillId="0" borderId="116" xfId="0" applyFont="1" applyBorder="1" applyAlignment="1">
      <alignment horizontal="center" wrapText="1"/>
    </xf>
    <xf numFmtId="0" fontId="6" fillId="0" borderId="120" xfId="0" applyFont="1" applyBorder="1" applyAlignment="1">
      <alignment horizontal="center" wrapText="1"/>
    </xf>
    <xf numFmtId="0" fontId="6" fillId="0" borderId="121" xfId="0" applyFont="1" applyBorder="1" applyAlignment="1">
      <alignment horizontal="center" wrapText="1"/>
    </xf>
    <xf numFmtId="4" fontId="6" fillId="0" borderId="117" xfId="0" applyNumberFormat="1" applyFont="1" applyBorder="1" applyAlignment="1">
      <alignment horizontal="center"/>
    </xf>
    <xf numFmtId="4" fontId="6" fillId="0" borderId="122" xfId="0" applyNumberFormat="1" applyFont="1" applyBorder="1" applyAlignment="1">
      <alignment horizontal="center"/>
    </xf>
    <xf numFmtId="0" fontId="6" fillId="32" borderId="115" xfId="0" applyFont="1" applyFill="1" applyBorder="1" applyAlignment="1">
      <alignment horizontal="center"/>
    </xf>
    <xf numFmtId="0" fontId="6" fillId="32" borderId="116" xfId="0" applyFont="1" applyFill="1" applyBorder="1" applyAlignment="1">
      <alignment horizontal="center"/>
    </xf>
    <xf numFmtId="0" fontId="6" fillId="32" borderId="123" xfId="0" applyFont="1" applyFill="1" applyBorder="1" applyAlignment="1">
      <alignment horizontal="left"/>
    </xf>
    <xf numFmtId="0" fontId="6" fillId="32" borderId="124" xfId="0" applyFont="1" applyFill="1" applyBorder="1" applyAlignment="1">
      <alignment horizontal="left"/>
    </xf>
    <xf numFmtId="0" fontId="40" fillId="32" borderId="59" xfId="0" applyFont="1" applyFill="1" applyBorder="1" applyAlignment="1">
      <alignment horizontal="center" vertical="center" wrapText="1"/>
    </xf>
    <xf numFmtId="0" fontId="38" fillId="0" borderId="0" xfId="0" applyFont="1" applyAlignment="1">
      <alignment horizontal="left" vertical="center" wrapText="1"/>
    </xf>
    <xf numFmtId="0" fontId="27" fillId="0" borderId="40" xfId="0" applyFont="1" applyBorder="1" applyAlignment="1">
      <alignment horizontal="left" vertical="top" wrapText="1"/>
    </xf>
    <xf numFmtId="0" fontId="17" fillId="0" borderId="31" xfId="0" applyFont="1" applyBorder="1" applyAlignment="1">
      <alignment horizontal="left" vertical="top" wrapText="1"/>
    </xf>
    <xf numFmtId="0" fontId="17" fillId="0" borderId="6" xfId="0" applyFont="1" applyBorder="1" applyAlignment="1">
      <alignment horizontal="left" vertical="top" wrapText="1"/>
    </xf>
    <xf numFmtId="0" fontId="17" fillId="0" borderId="33" xfId="0" applyFont="1" applyBorder="1" applyAlignment="1">
      <alignment horizontal="left" vertical="top" wrapText="1"/>
    </xf>
    <xf numFmtId="14" fontId="0" fillId="0" borderId="43" xfId="0" applyNumberFormat="1" applyBorder="1" applyAlignment="1">
      <alignment horizontal="left" wrapText="1"/>
    </xf>
    <xf numFmtId="0" fontId="0" fillId="0" borderId="44" xfId="0" applyBorder="1" applyAlignment="1">
      <alignment horizontal="left" wrapText="1"/>
    </xf>
    <xf numFmtId="0" fontId="0" fillId="0" borderId="45" xfId="0" applyBorder="1" applyAlignment="1">
      <alignment horizontal="left" wrapText="1"/>
    </xf>
    <xf numFmtId="0" fontId="6" fillId="0" borderId="0" xfId="0" applyFont="1" applyAlignment="1">
      <alignment horizontal="center" wrapText="1"/>
    </xf>
    <xf numFmtId="0" fontId="6" fillId="32" borderId="8" xfId="0" applyFont="1" applyFill="1" applyBorder="1" applyAlignment="1">
      <alignment horizontal="center" wrapText="1"/>
    </xf>
    <xf numFmtId="0" fontId="6" fillId="32" borderId="9" xfId="0" applyFont="1" applyFill="1" applyBorder="1" applyAlignment="1">
      <alignment horizontal="center" wrapText="1"/>
    </xf>
    <xf numFmtId="0" fontId="6" fillId="32" borderId="10" xfId="0" applyFont="1" applyFill="1" applyBorder="1" applyAlignment="1">
      <alignment horizontal="center" wrapText="1"/>
    </xf>
    <xf numFmtId="0" fontId="16" fillId="32" borderId="28"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0" fillId="0" borderId="31" xfId="0" quotePrefix="1" applyBorder="1" applyAlignment="1">
      <alignment horizontal="left" vertical="top" wrapText="1"/>
    </xf>
    <xf numFmtId="0" fontId="17" fillId="0" borderId="0" xfId="0" applyFont="1" applyAlignment="1">
      <alignment horizontal="left" vertical="center" wrapText="1"/>
    </xf>
    <xf numFmtId="0" fontId="6" fillId="32" borderId="28" xfId="0" applyFont="1" applyFill="1" applyBorder="1" applyAlignment="1">
      <alignment horizontal="center" vertical="center" wrapText="1"/>
    </xf>
    <xf numFmtId="0" fontId="6" fillId="32" borderId="40" xfId="0" applyFont="1" applyFill="1" applyBorder="1" applyAlignment="1">
      <alignment horizontal="center"/>
    </xf>
    <xf numFmtId="0" fontId="6" fillId="32" borderId="41" xfId="0" applyFont="1" applyFill="1" applyBorder="1" applyAlignment="1">
      <alignment horizontal="center"/>
    </xf>
    <xf numFmtId="0" fontId="6" fillId="32" borderId="42" xfId="0" applyFont="1" applyFill="1" applyBorder="1" applyAlignment="1">
      <alignment horizontal="center"/>
    </xf>
    <xf numFmtId="0" fontId="0" fillId="0" borderId="0" xfId="0" applyAlignment="1">
      <alignment wrapText="1"/>
    </xf>
    <xf numFmtId="0" fontId="21" fillId="0" borderId="0" xfId="0" applyFont="1" applyAlignment="1">
      <alignment horizontal="left"/>
    </xf>
    <xf numFmtId="0" fontId="6" fillId="42" borderId="13" xfId="0" applyFont="1" applyFill="1" applyBorder="1" applyAlignment="1">
      <alignment horizontal="center" vertical="center" wrapText="1"/>
    </xf>
    <xf numFmtId="0" fontId="6" fillId="42" borderId="14" xfId="0" applyFont="1" applyFill="1" applyBorder="1" applyAlignment="1">
      <alignment horizontal="center" vertical="center" wrapText="1"/>
    </xf>
    <xf numFmtId="0" fontId="6" fillId="42" borderId="40" xfId="0" applyFont="1" applyFill="1" applyBorder="1" applyAlignment="1">
      <alignment horizontal="left" vertical="center" wrapText="1"/>
    </xf>
    <xf numFmtId="0" fontId="6" fillId="42" borderId="17" xfId="0" applyFont="1" applyFill="1" applyBorder="1" applyAlignment="1">
      <alignment horizontal="left" vertical="center" wrapText="1"/>
    </xf>
    <xf numFmtId="0" fontId="6" fillId="42" borderId="48" xfId="0" applyFont="1" applyFill="1" applyBorder="1" applyAlignment="1">
      <alignment horizontal="left" vertical="center" wrapText="1"/>
    </xf>
    <xf numFmtId="0" fontId="6" fillId="42" borderId="138" xfId="0" applyFont="1" applyFill="1" applyBorder="1" applyAlignment="1">
      <alignment horizontal="left" vertical="center" wrapText="1"/>
    </xf>
    <xf numFmtId="0" fontId="6" fillId="42" borderId="78" xfId="0" applyFont="1" applyFill="1" applyBorder="1" applyAlignment="1">
      <alignment horizontal="left" vertical="center" wrapText="1"/>
    </xf>
    <xf numFmtId="0" fontId="0" fillId="0" borderId="49" xfId="0" applyBorder="1" applyAlignment="1">
      <alignment horizontal="right" wrapText="1"/>
    </xf>
    <xf numFmtId="0" fontId="0" fillId="0" borderId="87" xfId="0" applyBorder="1" applyAlignment="1">
      <alignment horizontal="right" wrapText="1"/>
    </xf>
    <xf numFmtId="0" fontId="1" fillId="0" borderId="19" xfId="1" applyFont="1" applyBorder="1" applyAlignment="1" applyProtection="1">
      <alignment horizontal="center" wrapText="1"/>
    </xf>
    <xf numFmtId="0" fontId="0" fillId="0" borderId="19" xfId="0" applyBorder="1" applyAlignment="1">
      <alignment horizontal="center" wrapText="1"/>
    </xf>
    <xf numFmtId="0" fontId="6" fillId="42" borderId="28" xfId="0" applyFont="1" applyFill="1" applyBorder="1" applyAlignment="1">
      <alignment horizontal="left" vertical="center" wrapText="1"/>
    </xf>
    <xf numFmtId="0" fontId="6" fillId="49" borderId="28" xfId="10" applyFont="1" applyFill="1" applyBorder="1" applyAlignment="1">
      <alignment horizontal="center" vertical="top" wrapText="1"/>
    </xf>
    <xf numFmtId="0" fontId="6" fillId="49" borderId="2" xfId="10" applyFont="1" applyFill="1" applyBorder="1" applyAlignment="1">
      <alignment horizontal="center" vertical="top" wrapText="1"/>
    </xf>
    <xf numFmtId="0" fontId="6" fillId="49" borderId="19" xfId="10" applyFont="1" applyFill="1" applyBorder="1" applyAlignment="1">
      <alignment horizontal="center" vertical="top" wrapText="1"/>
    </xf>
    <xf numFmtId="0" fontId="6" fillId="48" borderId="37" xfId="10" applyFont="1" applyFill="1" applyBorder="1" applyAlignment="1">
      <alignment horizontal="center"/>
    </xf>
    <xf numFmtId="0" fontId="6" fillId="48" borderId="38" xfId="10" applyFont="1" applyFill="1" applyBorder="1" applyAlignment="1">
      <alignment horizontal="center"/>
    </xf>
    <xf numFmtId="0" fontId="6" fillId="49" borderId="40" xfId="10" applyFont="1" applyFill="1" applyBorder="1" applyAlignment="1">
      <alignment horizontal="center" vertical="top" wrapText="1"/>
    </xf>
    <xf numFmtId="0" fontId="6" fillId="49" borderId="41" xfId="10" applyFont="1" applyFill="1" applyBorder="1" applyAlignment="1">
      <alignment horizontal="center" vertical="top" wrapText="1"/>
    </xf>
    <xf numFmtId="0" fontId="6" fillId="49" borderId="42" xfId="10" applyFont="1" applyFill="1" applyBorder="1" applyAlignment="1">
      <alignment horizontal="center" vertical="top" wrapText="1"/>
    </xf>
    <xf numFmtId="0" fontId="6" fillId="48" borderId="77" xfId="10" applyFont="1" applyFill="1" applyBorder="1" applyAlignment="1">
      <alignment horizontal="center"/>
    </xf>
    <xf numFmtId="0" fontId="6" fillId="48" borderId="26" xfId="10" applyFont="1" applyFill="1" applyBorder="1" applyAlignment="1">
      <alignment horizontal="center"/>
    </xf>
    <xf numFmtId="0" fontId="6" fillId="48" borderId="27" xfId="10" applyFont="1" applyFill="1" applyBorder="1" applyAlignment="1">
      <alignment horizontal="center"/>
    </xf>
    <xf numFmtId="0" fontId="6" fillId="48" borderId="22" xfId="10" applyFont="1" applyFill="1" applyBorder="1" applyAlignment="1">
      <alignment horizontal="center"/>
    </xf>
    <xf numFmtId="0" fontId="6" fillId="48" borderId="23" xfId="10" applyFont="1" applyFill="1" applyBorder="1" applyAlignment="1">
      <alignment horizontal="center"/>
    </xf>
    <xf numFmtId="0" fontId="6" fillId="48" borderId="24" xfId="10" applyFont="1" applyFill="1" applyBorder="1" applyAlignment="1">
      <alignment horizontal="center"/>
    </xf>
    <xf numFmtId="0" fontId="16" fillId="24" borderId="22" xfId="10" applyFont="1" applyFill="1" applyBorder="1" applyAlignment="1">
      <alignment horizontal="center"/>
    </xf>
    <xf numFmtId="0" fontId="16" fillId="24" borderId="23" xfId="10" applyFont="1" applyFill="1" applyBorder="1" applyAlignment="1">
      <alignment horizontal="center"/>
    </xf>
    <xf numFmtId="0" fontId="16" fillId="24" borderId="24" xfId="10" applyFont="1" applyFill="1" applyBorder="1" applyAlignment="1">
      <alignment horizontal="center"/>
    </xf>
    <xf numFmtId="0" fontId="6" fillId="0" borderId="46" xfId="10" applyFont="1" applyBorder="1" applyAlignment="1">
      <alignment horizontal="center"/>
    </xf>
    <xf numFmtId="0" fontId="6" fillId="0" borderId="30" xfId="10" applyFont="1" applyBorder="1" applyAlignment="1">
      <alignment horizontal="center"/>
    </xf>
    <xf numFmtId="9" fontId="6" fillId="0" borderId="46" xfId="10" applyNumberFormat="1" applyFont="1" applyBorder="1" applyAlignment="1">
      <alignment horizontal="center"/>
    </xf>
    <xf numFmtId="0" fontId="3" fillId="0" borderId="37" xfId="10" applyFont="1" applyBorder="1" applyAlignment="1">
      <alignment horizontal="center"/>
    </xf>
    <xf numFmtId="0" fontId="3" fillId="0" borderId="39" xfId="10" applyFont="1" applyBorder="1" applyAlignment="1">
      <alignment horizontal="center"/>
    </xf>
    <xf numFmtId="0" fontId="35" fillId="34" borderId="28" xfId="10" quotePrefix="1" applyFont="1" applyFill="1" applyBorder="1" applyAlignment="1">
      <alignment horizontal="left" vertical="top" wrapText="1"/>
    </xf>
    <xf numFmtId="0" fontId="35" fillId="34" borderId="2" xfId="10" applyFont="1" applyFill="1" applyBorder="1" applyAlignment="1">
      <alignment horizontal="left" vertical="top" wrapText="1"/>
    </xf>
    <xf numFmtId="0" fontId="35" fillId="34" borderId="19" xfId="10" applyFont="1" applyFill="1" applyBorder="1" applyAlignment="1">
      <alignment horizontal="left" vertical="top" wrapText="1"/>
    </xf>
    <xf numFmtId="0" fontId="72" fillId="49" borderId="28" xfId="10" applyFont="1" applyFill="1" applyBorder="1" applyAlignment="1">
      <alignment horizontal="center" vertical="top" wrapText="1"/>
    </xf>
    <xf numFmtId="0" fontId="72" fillId="49" borderId="2" xfId="10" applyFont="1" applyFill="1" applyBorder="1" applyAlignment="1">
      <alignment horizontal="center" vertical="top" wrapText="1"/>
    </xf>
    <xf numFmtId="0" fontId="72" fillId="49" borderId="19" xfId="10" applyFont="1" applyFill="1" applyBorder="1" applyAlignment="1">
      <alignment horizontal="center" vertical="top" wrapText="1"/>
    </xf>
    <xf numFmtId="0" fontId="72" fillId="48" borderId="77" xfId="10" applyFont="1" applyFill="1" applyBorder="1" applyAlignment="1">
      <alignment horizontal="center"/>
    </xf>
    <xf numFmtId="0" fontId="72" fillId="48" borderId="26" xfId="10" applyFont="1" applyFill="1" applyBorder="1" applyAlignment="1">
      <alignment horizontal="center"/>
    </xf>
    <xf numFmtId="0" fontId="72" fillId="48" borderId="27" xfId="10" applyFont="1" applyFill="1" applyBorder="1" applyAlignment="1">
      <alignment horizontal="center"/>
    </xf>
    <xf numFmtId="0" fontId="70" fillId="24" borderId="22" xfId="10" applyFont="1" applyFill="1" applyBorder="1" applyAlignment="1">
      <alignment horizontal="center"/>
    </xf>
    <xf numFmtId="0" fontId="70" fillId="24" borderId="23" xfId="10" applyFont="1" applyFill="1" applyBorder="1" applyAlignment="1">
      <alignment horizontal="center"/>
    </xf>
    <xf numFmtId="0" fontId="70" fillId="24" borderId="24" xfId="10" applyFont="1" applyFill="1" applyBorder="1" applyAlignment="1">
      <alignment horizontal="center"/>
    </xf>
    <xf numFmtId="0" fontId="72" fillId="0" borderId="46" xfId="10" applyFont="1" applyBorder="1" applyAlignment="1">
      <alignment horizontal="center"/>
    </xf>
    <xf numFmtId="0" fontId="72" fillId="0" borderId="30" xfId="10" applyFont="1" applyBorder="1" applyAlignment="1">
      <alignment horizontal="center"/>
    </xf>
    <xf numFmtId="9" fontId="72" fillId="12" borderId="46" xfId="10" applyNumberFormat="1" applyFont="1" applyFill="1" applyBorder="1" applyAlignment="1">
      <alignment horizontal="center"/>
    </xf>
    <xf numFmtId="0" fontId="72" fillId="12" borderId="30" xfId="10" applyFont="1" applyFill="1" applyBorder="1" applyAlignment="1">
      <alignment horizontal="center"/>
    </xf>
    <xf numFmtId="0" fontId="35" fillId="0" borderId="37" xfId="10" applyFont="1" applyBorder="1" applyAlignment="1">
      <alignment horizontal="center"/>
    </xf>
    <xf numFmtId="0" fontId="35" fillId="0" borderId="39" xfId="10" applyFont="1" applyBorder="1" applyAlignment="1">
      <alignment horizontal="center"/>
    </xf>
    <xf numFmtId="9" fontId="72" fillId="0" borderId="46" xfId="10" applyNumberFormat="1" applyFont="1" applyBorder="1" applyAlignment="1">
      <alignment horizontal="center"/>
    </xf>
    <xf numFmtId="0" fontId="0" fillId="34" borderId="31" xfId="10" quotePrefix="1" applyFont="1" applyFill="1" applyBorder="1" applyAlignment="1">
      <alignment horizontal="left" vertical="top" wrapText="1"/>
    </xf>
    <xf numFmtId="0" fontId="0" fillId="34" borderId="6" xfId="10" quotePrefix="1" applyFont="1" applyFill="1" applyBorder="1" applyAlignment="1">
      <alignment horizontal="left" vertical="top" wrapText="1"/>
    </xf>
    <xf numFmtId="0" fontId="0" fillId="34" borderId="33" xfId="10" quotePrefix="1" applyFont="1" applyFill="1" applyBorder="1" applyAlignment="1">
      <alignment horizontal="left" vertical="top" wrapText="1"/>
    </xf>
    <xf numFmtId="0" fontId="6" fillId="48" borderId="81" xfId="10" applyFont="1" applyFill="1" applyBorder="1" applyAlignment="1">
      <alignment horizontal="center"/>
    </xf>
    <xf numFmtId="0" fontId="6" fillId="48" borderId="0" xfId="10" applyFont="1" applyFill="1" applyAlignment="1">
      <alignment horizontal="center"/>
    </xf>
    <xf numFmtId="0" fontId="0" fillId="34" borderId="28" xfId="10" quotePrefix="1" applyFont="1" applyFill="1" applyBorder="1" applyAlignment="1">
      <alignment horizontal="left" vertical="top" wrapText="1"/>
    </xf>
    <xf numFmtId="0" fontId="0" fillId="34" borderId="2" xfId="10" applyFont="1" applyFill="1" applyBorder="1" applyAlignment="1">
      <alignment horizontal="left" vertical="top" wrapText="1"/>
    </xf>
    <xf numFmtId="0" fontId="0" fillId="34" borderId="19" xfId="10" applyFont="1" applyFill="1" applyBorder="1" applyAlignment="1">
      <alignment horizontal="left" vertical="top" wrapText="1"/>
    </xf>
    <xf numFmtId="0" fontId="6" fillId="49" borderId="31" xfId="10" applyFont="1" applyFill="1" applyBorder="1" applyAlignment="1">
      <alignment horizontal="center" vertical="top" wrapText="1"/>
    </xf>
    <xf numFmtId="0" fontId="6" fillId="49" borderId="6" xfId="10" applyFont="1" applyFill="1" applyBorder="1" applyAlignment="1">
      <alignment horizontal="center" vertical="top" wrapText="1"/>
    </xf>
    <xf numFmtId="0" fontId="6" fillId="49" borderId="33" xfId="10" applyFont="1" applyFill="1" applyBorder="1" applyAlignment="1">
      <alignment horizontal="center" vertical="top" wrapText="1"/>
    </xf>
    <xf numFmtId="0" fontId="0" fillId="0" borderId="31" xfId="10" quotePrefix="1" applyFont="1" applyBorder="1" applyAlignment="1">
      <alignment horizontal="left" vertical="top" wrapText="1"/>
    </xf>
    <xf numFmtId="0" fontId="0" fillId="0" borderId="6" xfId="10" quotePrefix="1" applyFont="1" applyBorder="1" applyAlignment="1">
      <alignment horizontal="left" vertical="top" wrapText="1"/>
    </xf>
    <xf numFmtId="0" fontId="0" fillId="0" borderId="33" xfId="10" quotePrefix="1" applyFont="1" applyBorder="1" applyAlignment="1">
      <alignment horizontal="left" vertical="top" wrapText="1"/>
    </xf>
    <xf numFmtId="0" fontId="6" fillId="49" borderId="87" xfId="10" applyFont="1" applyFill="1" applyBorder="1" applyAlignment="1">
      <alignment horizontal="center" vertical="top" wrapText="1"/>
    </xf>
  </cellXfs>
  <cellStyles count="25">
    <cellStyle name="Lien hypertexte" xfId="1" builtinId="8"/>
    <cellStyle name="Lien hypertexte 2" xfId="2" xr:uid="{00000000-0005-0000-0000-000001000000}"/>
    <cellStyle name="Lien hypertexte 2 2" xfId="3" xr:uid="{00000000-0005-0000-0000-000002000000}"/>
    <cellStyle name="Lien hypertexte 3" xfId="4" xr:uid="{00000000-0005-0000-0000-000003000000}"/>
    <cellStyle name="Milliers" xfId="5" builtinId="3"/>
    <cellStyle name="Milliers 2" xfId="6" xr:uid="{00000000-0005-0000-0000-000005000000}"/>
    <cellStyle name="Milliers 2 2" xfId="7" xr:uid="{00000000-0005-0000-0000-000006000000}"/>
    <cellStyle name="Milliers 3" xfId="8" xr:uid="{00000000-0005-0000-0000-000007000000}"/>
    <cellStyle name="Motif" xfId="9" xr:uid="{00000000-0005-0000-0000-000008000000}"/>
    <cellStyle name="Normal" xfId="0" builtinId="0"/>
    <cellStyle name="Normal 2" xfId="10" xr:uid="{00000000-0005-0000-0000-00000A000000}"/>
    <cellStyle name="Normal 2 2" xfId="11" xr:uid="{00000000-0005-0000-0000-00000B000000}"/>
    <cellStyle name="Normal 2 2 2" xfId="12" xr:uid="{00000000-0005-0000-0000-00000C000000}"/>
    <cellStyle name="Normal 2 3" xfId="13" xr:uid="{00000000-0005-0000-0000-00000D000000}"/>
    <cellStyle name="Normal 3" xfId="14" xr:uid="{00000000-0005-0000-0000-00000E000000}"/>
    <cellStyle name="Normal 4" xfId="15" xr:uid="{00000000-0005-0000-0000-00000F000000}"/>
    <cellStyle name="Normal 5" xfId="16" xr:uid="{00000000-0005-0000-0000-000010000000}"/>
    <cellStyle name="Normal_Activité_09" xfId="17" xr:uid="{00000000-0005-0000-0000-000011000000}"/>
    <cellStyle name="Normal_Fiche 1.4 Hôpital Activité_2" xfId="18" xr:uid="{00000000-0005-0000-0000-000012000000}"/>
    <cellStyle name="Pourcentage" xfId="19" builtinId="5"/>
    <cellStyle name="Pourcentage 2" xfId="20" xr:uid="{00000000-0005-0000-0000-000014000000}"/>
    <cellStyle name="Pourcentage 2 2" xfId="21" xr:uid="{00000000-0005-0000-0000-000015000000}"/>
    <cellStyle name="Pourcentage 3" xfId="22" xr:uid="{00000000-0005-0000-0000-000016000000}"/>
    <cellStyle name="Texte explicatif" xfId="23" builtinId="53"/>
    <cellStyle name="Texte explicatif 2" xfId="24" xr:uid="{00000000-0005-0000-0000-000018000000}"/>
  </cellStyles>
  <dxfs count="976">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indexed="5"/>
          <bgColor indexed="5"/>
        </patternFill>
      </fill>
    </dxf>
    <dxf>
      <fill>
        <patternFill patternType="solid">
          <fgColor indexed="2"/>
          <bgColor indexed="2"/>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00B050"/>
          <bgColor rgb="FF00B050"/>
        </patternFill>
      </fill>
    </dxf>
    <dxf>
      <fill>
        <patternFill patternType="solid">
          <fgColor rgb="FF92D050"/>
          <bgColor rgb="FF92D050"/>
        </patternFill>
      </fill>
    </dxf>
    <dxf>
      <fill>
        <patternFill patternType="solid">
          <fgColor indexed="5"/>
          <bgColor indexed="5"/>
        </patternFill>
      </fill>
    </dxf>
    <dxf>
      <fill>
        <patternFill patternType="solid">
          <fgColor indexed="2"/>
          <bgColor indexed="2"/>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00B050"/>
          <bgColor rgb="FF00B050"/>
        </patternFill>
      </fill>
    </dxf>
    <dxf>
      <fill>
        <patternFill patternType="solid">
          <fgColor rgb="FF92D050"/>
          <bgColor rgb="FF92D050"/>
        </patternFill>
      </fill>
    </dxf>
    <dxf>
      <fill>
        <patternFill patternType="solid">
          <fgColor indexed="5"/>
          <bgColor indexed="5"/>
        </patternFill>
      </fill>
    </dxf>
    <dxf>
      <fill>
        <patternFill patternType="solid">
          <fgColor indexed="2"/>
          <bgColor indexed="2"/>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5"/>
          <bgColor indexed="5"/>
        </patternFill>
      </fill>
    </dxf>
    <dxf>
      <fill>
        <patternFill patternType="solid">
          <fgColor indexed="5"/>
          <bgColor indexed="5"/>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5"/>
          <bgColor indexed="5"/>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indexed="5"/>
          <bgColor indexed="5"/>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indexed="2"/>
          <bgColor indexed="2"/>
        </patternFill>
      </fill>
    </dxf>
    <dxf>
      <fill>
        <patternFill patternType="solid">
          <fgColor indexed="5"/>
          <bgColor indexed="5"/>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connections" Target="connections.xml"/><Relationship Id="rId45"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tyles" Target="styles.xml"/></Relationships>
</file>

<file path=xl/charts/_rels/chart1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prstGeom prst="rect">
              <a:avLst/>
            </a:prstGeom>
            <a:solidFill>
              <a:schemeClr val="accent5">
                <a:lumMod val="60000"/>
                <a:lumOff val="40000"/>
              </a:schemeClr>
            </a:solidFill>
            <a:ln>
              <a:noFill/>
            </a:ln>
            <a:effectLst/>
          </c:spPr>
          <c:invertIfNegative val="0"/>
          <c:dLbls>
            <c:dLbl>
              <c:idx val="0"/>
              <c:tx>
                <c:rich>
                  <a:bodyPr/>
                  <a:lstStyle/>
                  <a:p>
                    <a:fld id="{2AC03E73-E177-D64A-BA85-27E2CF2D6149}" type="VALUE">
                      <a:rPr lang="en-US" b="1"/>
                      <a:pPr/>
                      <a:t>[VALEUR]</a:t>
                    </a:fld>
                    <a:endParaRPr lang="fr-FR"/>
                  </a:p>
                </c:rich>
              </c:tx>
              <c:dLblPos val="inEnd"/>
              <c:showLegendKey val="0"/>
              <c:showVal val="1"/>
              <c:showCatName val="0"/>
              <c:showSerName val="0"/>
              <c:showPercent val="0"/>
              <c:showBubbleSize val="0"/>
              <c:extLst xmlns:c14="http://schemas.microsoft.com/office/drawing/2007/8/2/chart" xmlns:c15="http://schemas.microsoft.com/office/drawing/2012/chart" xmlns:mc="http://schemas.openxmlformats.org/markup-compatibility/2006">
                <c:ext xmlns:c15="http://schemas.microsoft.com/office/drawing/2012/chart" uri="{CE6537A1-D6FC-4f65-9D91-7224C49458BB}">
                  <c15:dlblFieldTable/>
                  <c15:showDataLabelsRange val="0"/>
                </c:ext>
                <c:ext xmlns:c16="http://schemas.microsoft.com/office/drawing/2014/chart" uri="{C3380CC4-5D6E-409C-BE32-E72D297353CC}">
                  <c16:uniqueId val="{00000000-D8B6-4DB9-950F-B5E7FD54E22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'1'!$B$29:$B$35</c:f>
              <c:strCache>
                <c:ptCount val="7"/>
                <c:pt idx="0">
                  <c:v>Etablissements d'officine</c:v>
                </c:pt>
                <c:pt idx="1">
                  <c:v>Médecine libérale (hors établissements d'officine)</c:v>
                </c:pt>
                <c:pt idx="2">
                  <c:v>établissements hospitaliers</c:v>
                </c:pt>
                <c:pt idx="3">
                  <c:v>établissements d'accueil pour personnes âgées</c:v>
                </c:pt>
                <c:pt idx="4">
                  <c:v>établissements d'accueil pour enfants handicapés</c:v>
                </c:pt>
                <c:pt idx="5">
                  <c:v>établissements d'accueil pour adultes handicapés</c:v>
                </c:pt>
                <c:pt idx="6">
                  <c:v>Administration publique et complémentaire santé</c:v>
                </c:pt>
              </c:strCache>
            </c:strRef>
          </c:cat>
          <c:val>
            <c:numRef>
              <c:f>'1'!$C$29:$C$35</c:f>
              <c:numCache>
                <c:formatCode>0.00</c:formatCode>
                <c:ptCount val="7"/>
                <c:pt idx="0">
                  <c:v>6.8162838289279257E-2</c:v>
                </c:pt>
                <c:pt idx="1">
                  <c:v>0.63595345572898232</c:v>
                </c:pt>
                <c:pt idx="2">
                  <c:v>1.7236478074902113</c:v>
                </c:pt>
                <c:pt idx="3">
                  <c:v>1.0510698384237374</c:v>
                </c:pt>
                <c:pt idx="4">
                  <c:v>0.18436120733481315</c:v>
                </c:pt>
                <c:pt idx="5">
                  <c:v>0.49135901576543778</c:v>
                </c:pt>
                <c:pt idx="6" formatCode="General">
                  <c:v>0.13974138307508768</c:v>
                </c:pt>
              </c:numCache>
            </c:numRef>
          </c:val>
          <c:extLst>
            <c:ext xmlns:c16="http://schemas.microsoft.com/office/drawing/2014/chart" uri="{C3380CC4-5D6E-409C-BE32-E72D297353CC}">
              <c16:uniqueId val="{00000001-D8B6-4DB9-950F-B5E7FD54E228}"/>
            </c:ext>
          </c:extLst>
        </c:ser>
        <c:dLbls>
          <c:showLegendKey val="0"/>
          <c:showVal val="1"/>
          <c:showCatName val="0"/>
          <c:showSerName val="0"/>
          <c:showPercent val="0"/>
          <c:showBubbleSize val="0"/>
        </c:dLbls>
        <c:gapWidth val="100"/>
        <c:overlap val="-24"/>
        <c:axId val="395060536"/>
        <c:axId val="395058184"/>
      </c:barChart>
      <c:catAx>
        <c:axId val="395060536"/>
        <c:scaling>
          <c:orientation val="minMax"/>
        </c:scaling>
        <c:delete val="0"/>
        <c:axPos val="b"/>
        <c:numFmt formatCode="General" sourceLinked="1"/>
        <c:majorTickMark val="none"/>
        <c:minorTickMark val="none"/>
        <c:tickLblPos val="nextTo"/>
        <c:spPr>
          <a:prstGeom prst="rect">
            <a:avLst/>
          </a:prstGeom>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100" b="0" i="0" u="none" strike="noStrike">
                <a:solidFill>
                  <a:schemeClr val="tx2"/>
                </a:solidFill>
                <a:latin typeface="+mn-lt"/>
                <a:ea typeface="+mn-ea"/>
                <a:cs typeface="+mn-cs"/>
              </a:defRPr>
            </a:pPr>
            <a:endParaRPr lang="fr-FR"/>
          </a:p>
        </c:txPr>
        <c:crossAx val="395058184"/>
        <c:crosses val="autoZero"/>
        <c:auto val="1"/>
        <c:lblAlgn val="ctr"/>
        <c:lblOffset val="100"/>
        <c:noMultiLvlLbl val="0"/>
      </c:catAx>
      <c:valAx>
        <c:axId val="395058184"/>
        <c:scaling>
          <c:orientation val="minMax"/>
        </c:scaling>
        <c:delete val="0"/>
        <c:axPos val="l"/>
        <c:majorGridlines>
          <c:spPr>
            <a:prstGeom prst="rect">
              <a:avLst/>
            </a:prstGeom>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1400" b="1" i="0" u="none" strike="noStrike">
                    <a:solidFill>
                      <a:schemeClr val="tx2"/>
                    </a:solidFill>
                    <a:latin typeface="+mn-lt"/>
                    <a:ea typeface="+mn-ea"/>
                    <a:cs typeface="+mn-cs"/>
                  </a:defRPr>
                </a:pPr>
                <a:r>
                  <a:rPr lang="fr-FR" sz="1400"/>
                  <a:t>MtCO2e</a:t>
                </a:r>
                <a:endParaRPr lang="fr-FR"/>
              </a:p>
            </c:rich>
          </c:tx>
          <c:layout>
            <c:manualLayout>
              <c:xMode val="edge"/>
              <c:yMode val="edge"/>
              <c:x val="1.5873999999999999E-2"/>
              <c:y val="0.36674200000000001"/>
            </c:manualLayout>
          </c:layout>
          <c:overlay val="0"/>
          <c:spPr>
            <a:prstGeom prst="rect">
              <a:avLst/>
            </a:prstGeom>
            <a:noFill/>
            <a:ln>
              <a:noFill/>
            </a:ln>
            <a:effectLst/>
          </c:spPr>
        </c:title>
        <c:numFmt formatCode="0.00" sourceLinked="1"/>
        <c:majorTickMark val="none"/>
        <c:minorTickMark val="none"/>
        <c:tickLblPos val="nextTo"/>
        <c:spPr>
          <a:prstGeom prst="rect">
            <a:avLst/>
          </a:prstGeom>
          <a:noFill/>
          <a:ln>
            <a:noFill/>
          </a:ln>
          <a:effectLst/>
        </c:spPr>
        <c:txPr>
          <a:bodyPr rot="-60000000" spcFirstLastPara="1" vertOverflow="ellipsis" vert="horz" wrap="square" anchor="ctr" anchorCtr="1"/>
          <a:lstStyle/>
          <a:p>
            <a:pPr>
              <a:defRPr sz="900" b="0" i="0" u="none" strike="noStrike">
                <a:solidFill>
                  <a:schemeClr val="tx2"/>
                </a:solidFill>
                <a:latin typeface="+mn-lt"/>
                <a:ea typeface="+mn-ea"/>
                <a:cs typeface="+mn-cs"/>
              </a:defRPr>
            </a:pPr>
            <a:endParaRPr lang="fr-FR"/>
          </a:p>
        </c:txPr>
        <c:crossAx val="395060536"/>
        <c:crosses val="autoZero"/>
        <c:crossBetween val="between"/>
      </c:valAx>
      <c:spPr>
        <a:prstGeom prst="rect">
          <a:avLst/>
        </a:prstGeom>
        <a:noFill/>
        <a:ln>
          <a:noFill/>
        </a:ln>
        <a:effectLst/>
      </c:spPr>
    </c:plotArea>
    <c:plotVisOnly val="1"/>
    <c:dispBlanksAs val="gap"/>
    <c:showDLblsOverMax val="0"/>
  </c:chart>
  <c:spPr>
    <a:xfrm>
      <a:off x="0" y="0"/>
      <a:ext cx="0" cy="0"/>
    </a:xfrm>
    <a:prstGeom prst="rect">
      <a:avLst/>
    </a:prstGeom>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spc="0">
                <a:solidFill>
                  <a:schemeClr val="tx1">
                    <a:lumMod val="65000"/>
                    <a:lumOff val="35000"/>
                  </a:schemeClr>
                </a:solidFill>
                <a:latin typeface="+mn-lt"/>
                <a:ea typeface="+mn-ea"/>
                <a:cs typeface="+mn-cs"/>
              </a:defRPr>
            </a:pPr>
            <a:r>
              <a:rPr lang="fr-FR" sz="1400" b="0" i="0" u="none" strike="noStrike"/>
              <a:t>Nombre de repas servi en fonction du nombre de lits et de places </a:t>
            </a:r>
            <a:endParaRPr lang="fr-FR"/>
          </a:p>
        </c:rich>
      </c:tx>
      <c:overlay val="0"/>
      <c:spPr>
        <a:prstGeom prst="rect">
          <a:avLst/>
        </a:prstGeom>
        <a:noFill/>
        <a:ln>
          <a:noFill/>
        </a:ln>
        <a:effectLst/>
      </c:spPr>
    </c:title>
    <c:autoTitleDeleted val="0"/>
    <c:plotArea>
      <c:layout/>
      <c:scatterChart>
        <c:scatterStyle val="lineMarker"/>
        <c:varyColors val="0"/>
        <c:ser>
          <c:idx val="0"/>
          <c:order val="0"/>
          <c:spPr>
            <a:prstGeom prst="rect">
              <a:avLst/>
            </a:prstGeom>
            <a:ln w="19050">
              <a:noFill/>
            </a:ln>
          </c:spPr>
          <c:marker>
            <c:symbol val="circle"/>
            <c:size val="5"/>
            <c:spPr>
              <a:prstGeom prst="rect">
                <a:avLst/>
              </a:prstGeom>
              <a:solidFill>
                <a:schemeClr val="accent1"/>
              </a:solidFill>
              <a:ln w="9525">
                <a:solidFill>
                  <a:schemeClr val="accent1"/>
                </a:solidFill>
              </a:ln>
              <a:effectLst/>
            </c:spPr>
          </c:marker>
          <c:trendline>
            <c:spPr>
              <a:prstGeom prst="rect">
                <a:avLst/>
              </a:prstGeom>
              <a:ln w="19050" cap="rnd">
                <a:solidFill>
                  <a:schemeClr val="accent1"/>
                </a:solidFill>
                <a:prstDash val="sysDot"/>
                <a:round/>
              </a:ln>
              <a:effectLst/>
            </c:spPr>
            <c:trendlineType val="linear"/>
            <c:intercept val="0"/>
            <c:dispRSqr val="1"/>
            <c:dispEq val="1"/>
            <c:trendlineLbl>
              <c:numFmt formatCode="General" sourceLinked="0"/>
              <c:spPr>
                <a:prstGeom prst="rect">
                  <a:avLst/>
                </a:prstGeom>
                <a:noFill/>
                <a:ln>
                  <a:noFill/>
                </a:ln>
                <a:effectLst/>
              </c:spPr>
              <c:txPr>
                <a:bodyPr rot="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fr-FR"/>
                </a:p>
              </c:txPr>
            </c:trendlineLbl>
          </c:trendline>
          <c:xVal>
            <c:numRef>
              <c:f>'9.alimentaire'!$Q$65:$Q$83</c:f>
              <c:numCache>
                <c:formatCode>General</c:formatCode>
                <c:ptCount val="19"/>
                <c:pt idx="0">
                  <c:v>872</c:v>
                </c:pt>
                <c:pt idx="1">
                  <c:v>1693</c:v>
                </c:pt>
                <c:pt idx="2">
                  <c:v>1147</c:v>
                </c:pt>
                <c:pt idx="3">
                  <c:v>828</c:v>
                </c:pt>
                <c:pt idx="4">
                  <c:v>703</c:v>
                </c:pt>
                <c:pt idx="5">
                  <c:v>996</c:v>
                </c:pt>
                <c:pt idx="6">
                  <c:v>1303</c:v>
                </c:pt>
                <c:pt idx="7">
                  <c:v>605</c:v>
                </c:pt>
                <c:pt idx="8">
                  <c:v>584</c:v>
                </c:pt>
                <c:pt idx="9">
                  <c:v>916</c:v>
                </c:pt>
                <c:pt idx="10">
                  <c:v>1272</c:v>
                </c:pt>
                <c:pt idx="11">
                  <c:v>455</c:v>
                </c:pt>
                <c:pt idx="12">
                  <c:v>1437</c:v>
                </c:pt>
                <c:pt idx="13">
                  <c:v>661</c:v>
                </c:pt>
                <c:pt idx="14">
                  <c:v>1156</c:v>
                </c:pt>
                <c:pt idx="16">
                  <c:v>464</c:v>
                </c:pt>
                <c:pt idx="17">
                  <c:v>778</c:v>
                </c:pt>
                <c:pt idx="18">
                  <c:v>2951</c:v>
                </c:pt>
              </c:numCache>
            </c:numRef>
          </c:xVal>
          <c:yVal>
            <c:numRef>
              <c:f>'9.alimentaire'!$P$65:$P$83</c:f>
              <c:numCache>
                <c:formatCode>General</c:formatCode>
                <c:ptCount val="19"/>
                <c:pt idx="0">
                  <c:v>704080</c:v>
                </c:pt>
                <c:pt idx="1">
                  <c:v>1340086</c:v>
                </c:pt>
                <c:pt idx="2">
                  <c:v>796543</c:v>
                </c:pt>
                <c:pt idx="3">
                  <c:v>605160</c:v>
                </c:pt>
                <c:pt idx="4">
                  <c:v>513767</c:v>
                </c:pt>
                <c:pt idx="5">
                  <c:v>616916</c:v>
                </c:pt>
                <c:pt idx="6">
                  <c:v>829846</c:v>
                </c:pt>
                <c:pt idx="7">
                  <c:v>340000</c:v>
                </c:pt>
                <c:pt idx="8">
                  <c:v>491730</c:v>
                </c:pt>
                <c:pt idx="9">
                  <c:v>595144</c:v>
                </c:pt>
                <c:pt idx="10">
                  <c:v>881042</c:v>
                </c:pt>
                <c:pt idx="11">
                  <c:v>484270</c:v>
                </c:pt>
                <c:pt idx="12">
                  <c:v>1061376</c:v>
                </c:pt>
                <c:pt idx="13">
                  <c:v>460194</c:v>
                </c:pt>
                <c:pt idx="14">
                  <c:v>797152</c:v>
                </c:pt>
                <c:pt idx="15">
                  <c:v>1991229</c:v>
                </c:pt>
                <c:pt idx="16">
                  <c:v>252327</c:v>
                </c:pt>
                <c:pt idx="17">
                  <c:v>614004</c:v>
                </c:pt>
                <c:pt idx="18">
                  <c:v>2505131</c:v>
                </c:pt>
              </c:numCache>
            </c:numRef>
          </c:yVal>
          <c:smooth val="0"/>
          <c:extLst>
            <c:ext xmlns:c16="http://schemas.microsoft.com/office/drawing/2014/chart" uri="{C3380CC4-5D6E-409C-BE32-E72D297353CC}">
              <c16:uniqueId val="{00000001-20F1-4578-B0F7-FCB297746EC7}"/>
            </c:ext>
          </c:extLst>
        </c:ser>
        <c:dLbls>
          <c:showLegendKey val="0"/>
          <c:showVal val="0"/>
          <c:showCatName val="0"/>
          <c:showSerName val="0"/>
          <c:showPercent val="0"/>
          <c:showBubbleSize val="0"/>
        </c:dLbls>
        <c:axId val="424283264"/>
        <c:axId val="424282088"/>
      </c:scatterChart>
      <c:valAx>
        <c:axId val="424283264"/>
        <c:scaling>
          <c:orientation val="minMax"/>
        </c:scaling>
        <c:delete val="0"/>
        <c:axPos val="b"/>
        <c:majorGridlines>
          <c:spPr>
            <a:prstGeom prst="rect">
              <a:avLst/>
            </a:prstGeom>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a:solidFill>
                      <a:schemeClr val="tx1">
                        <a:lumMod val="65000"/>
                        <a:lumOff val="35000"/>
                      </a:schemeClr>
                    </a:solidFill>
                    <a:latin typeface="+mn-lt"/>
                    <a:ea typeface="+mn-ea"/>
                    <a:cs typeface="+mn-cs"/>
                  </a:defRPr>
                </a:pPr>
                <a:r>
                  <a:rPr lang="fr-FR"/>
                  <a:t>Nombre de lits et places</a:t>
                </a:r>
                <a:endParaRPr/>
              </a:p>
            </c:rich>
          </c:tx>
          <c:overlay val="0"/>
          <c:spPr>
            <a:prstGeom prst="rect">
              <a:avLst/>
            </a:prstGeom>
            <a:noFill/>
            <a:ln>
              <a:noFill/>
            </a:ln>
            <a:effectLst/>
          </c:spPr>
        </c:title>
        <c:numFmt formatCode="General" sourceLinked="1"/>
        <c:majorTickMark val="none"/>
        <c:minorTickMark val="none"/>
        <c:tickLblPos val="nextTo"/>
        <c:spPr>
          <a:prstGeom prst="rect">
            <a:avLst/>
          </a:prstGeom>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fr-FR"/>
          </a:p>
        </c:txPr>
        <c:crossAx val="424282088"/>
        <c:crosses val="autoZero"/>
        <c:crossBetween val="midCat"/>
      </c:valAx>
      <c:valAx>
        <c:axId val="424282088"/>
        <c:scaling>
          <c:orientation val="minMax"/>
        </c:scaling>
        <c:delete val="0"/>
        <c:axPos val="l"/>
        <c:majorGridlines>
          <c:spPr>
            <a:prstGeom prst="rect">
              <a:avLst/>
            </a:prstGeom>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indent="0" algn="ctr" defTabSz="914400">
                  <a:lnSpc>
                    <a:spcPct val="100000"/>
                  </a:lnSpc>
                  <a:spcBef>
                    <a:spcPts val="0"/>
                  </a:spcBef>
                  <a:spcAft>
                    <a:spcPts val="0"/>
                  </a:spcAft>
                  <a:buClrTx/>
                  <a:buSzTx/>
                  <a:buFontTx/>
                  <a:buNone/>
                  <a:defRPr sz="1000" b="0" i="0" u="none" strike="noStrike">
                    <a:solidFill>
                      <a:sysClr val="windowText" lastClr="000000">
                        <a:lumMod val="65000"/>
                        <a:lumOff val="35000"/>
                      </a:sysClr>
                    </a:solidFill>
                    <a:latin typeface="+mn-lt"/>
                    <a:ea typeface="+mn-ea"/>
                    <a:cs typeface="+mn-cs"/>
                  </a:defRPr>
                </a:pPr>
                <a:r>
                  <a:rPr lang="fr-FR" sz="1000" b="0" i="0">
                    <a:solidFill>
                      <a:srgbClr val="595959"/>
                    </a:solidFill>
                  </a:rPr>
                  <a:t>Nombre de repas servis par an</a:t>
                </a:r>
                <a:endParaRPr lang="fr-FR"/>
              </a:p>
            </c:rich>
          </c:tx>
          <c:overlay val="0"/>
          <c:spPr>
            <a:prstGeom prst="rect">
              <a:avLst/>
            </a:prstGeom>
            <a:noFill/>
            <a:ln>
              <a:noFill/>
            </a:ln>
            <a:effectLst/>
          </c:spPr>
        </c:title>
        <c:numFmt formatCode="General" sourceLinked="1"/>
        <c:majorTickMark val="none"/>
        <c:minorTickMark val="none"/>
        <c:tickLblPos val="nextTo"/>
        <c:spPr>
          <a:prstGeom prst="rect">
            <a:avLst/>
          </a:prstGeom>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fr-FR"/>
          </a:p>
        </c:txPr>
        <c:crossAx val="424283264"/>
        <c:crosses val="autoZero"/>
        <c:crossBetween val="midCat"/>
      </c:valAx>
      <c:spPr>
        <a:prstGeom prst="rect">
          <a:avLst/>
        </a:prstGeom>
        <a:noFill/>
        <a:ln>
          <a:noFill/>
        </a:ln>
        <a:effectLst/>
      </c:spPr>
    </c:plotArea>
    <c:plotVisOnly val="1"/>
    <c:dispBlanksAs val="gap"/>
    <c:showDLblsOverMax val="0"/>
  </c:chart>
  <c:spPr>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prstGeom prst="rect">
              <a:avLst/>
            </a:prstGeom>
            <a:solidFill>
              <a:schemeClr val="accent5">
                <a:lumMod val="60000"/>
                <a:lumOff val="40000"/>
              </a:schemeClr>
            </a:solidFill>
            <a:ln>
              <a:noFill/>
            </a:ln>
            <a:effectLst/>
          </c:spPr>
          <c:invertIfNegative val="0"/>
          <c:dPt>
            <c:idx val="0"/>
            <c:invertIfNegative val="0"/>
            <c:bubble3D val="0"/>
            <c:extLst>
              <c:ext xmlns:c16="http://schemas.microsoft.com/office/drawing/2014/chart" uri="{C3380CC4-5D6E-409C-BE32-E72D297353CC}">
                <c16:uniqueId val="{00000000-8523-4561-B8DB-F618B6B68BBA}"/>
              </c:ext>
            </c:extLst>
          </c:dPt>
          <c:dPt>
            <c:idx val="1"/>
            <c:invertIfNegative val="0"/>
            <c:bubble3D val="0"/>
            <c:extLst>
              <c:ext xmlns:c16="http://schemas.microsoft.com/office/drawing/2014/chart" uri="{C3380CC4-5D6E-409C-BE32-E72D297353CC}">
                <c16:uniqueId val="{00000001-8523-4561-B8DB-F618B6B68BBA}"/>
              </c:ext>
            </c:extLst>
          </c:dPt>
          <c:dPt>
            <c:idx val="2"/>
            <c:invertIfNegative val="0"/>
            <c:bubble3D val="0"/>
            <c:extLst>
              <c:ext xmlns:c16="http://schemas.microsoft.com/office/drawing/2014/chart" uri="{C3380CC4-5D6E-409C-BE32-E72D297353CC}">
                <c16:uniqueId val="{00000002-8523-4561-B8DB-F618B6B68BBA}"/>
              </c:ext>
            </c:extLst>
          </c:dPt>
          <c:dPt>
            <c:idx val="3"/>
            <c:invertIfNegative val="0"/>
            <c:bubble3D val="0"/>
            <c:extLst>
              <c:ext xmlns:c16="http://schemas.microsoft.com/office/drawing/2014/chart" uri="{C3380CC4-5D6E-409C-BE32-E72D297353CC}">
                <c16:uniqueId val="{00000003-8523-4561-B8DB-F618B6B68BB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2"/>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'9.alimentaire'!$B$36:$B$41</c:f>
              <c:strCache>
                <c:ptCount val="6"/>
                <c:pt idx="0">
                  <c:v>Etablissements de santé </c:v>
                </c:pt>
                <c:pt idx="1">
                  <c:v>EHPA</c:v>
                </c:pt>
                <c:pt idx="2">
                  <c:v>ES "Handicap"</c:v>
                </c:pt>
                <c:pt idx="3">
                  <c:v>Professions libérales</c:v>
                </c:pt>
                <c:pt idx="4">
                  <c:v>Administration et complémentaire santé</c:v>
                </c:pt>
                <c:pt idx="5">
                  <c:v>Total</c:v>
                </c:pt>
              </c:strCache>
            </c:strRef>
          </c:cat>
          <c:val>
            <c:numRef>
              <c:f>'9.alimentaire'!$D$36:$D$41</c:f>
              <c:numCache>
                <c:formatCode>0.00</c:formatCode>
                <c:ptCount val="6"/>
                <c:pt idx="0">
                  <c:v>1.4572191453150001</c:v>
                </c:pt>
                <c:pt idx="1">
                  <c:v>1.9723263648675002</c:v>
                </c:pt>
                <c:pt idx="2">
                  <c:v>1.54684542045</c:v>
                </c:pt>
                <c:pt idx="3">
                  <c:v>0.22673406599999998</c:v>
                </c:pt>
                <c:pt idx="4">
                  <c:v>6.8170662426580556E-2</c:v>
                </c:pt>
                <c:pt idx="5">
                  <c:v>5.2712956590590805</c:v>
                </c:pt>
              </c:numCache>
            </c:numRef>
          </c:val>
          <c:extLst>
            <c:ext xmlns:c16="http://schemas.microsoft.com/office/drawing/2014/chart" uri="{C3380CC4-5D6E-409C-BE32-E72D297353CC}">
              <c16:uniqueId val="{00000004-8523-4561-B8DB-F618B6B68BBA}"/>
            </c:ext>
          </c:extLst>
        </c:ser>
        <c:dLbls>
          <c:showLegendKey val="0"/>
          <c:showVal val="0"/>
          <c:showCatName val="0"/>
          <c:showSerName val="0"/>
          <c:showPercent val="0"/>
          <c:showBubbleSize val="0"/>
        </c:dLbls>
        <c:gapWidth val="100"/>
        <c:axId val="424283656"/>
        <c:axId val="424285616"/>
      </c:barChart>
      <c:catAx>
        <c:axId val="424283656"/>
        <c:scaling>
          <c:orientation val="minMax"/>
        </c:scaling>
        <c:delete val="0"/>
        <c:axPos val="b"/>
        <c:numFmt formatCode="General" sourceLinked="1"/>
        <c:majorTickMark val="out"/>
        <c:minorTickMark val="none"/>
        <c:tickLblPos val="nextTo"/>
        <c:spPr>
          <a:prstGeom prst="rect">
            <a:avLst/>
          </a:prstGeom>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100" b="0" i="0" u="none" strike="noStrike">
                <a:solidFill>
                  <a:schemeClr val="tx2"/>
                </a:solidFill>
                <a:latin typeface="+mn-lt"/>
                <a:ea typeface="+mn-ea"/>
                <a:cs typeface="+mn-cs"/>
              </a:defRPr>
            </a:pPr>
            <a:endParaRPr lang="fr-FR"/>
          </a:p>
        </c:txPr>
        <c:crossAx val="424285616"/>
        <c:crosses val="autoZero"/>
        <c:auto val="1"/>
        <c:lblAlgn val="ctr"/>
        <c:lblOffset val="100"/>
        <c:noMultiLvlLbl val="0"/>
      </c:catAx>
      <c:valAx>
        <c:axId val="424285616"/>
        <c:scaling>
          <c:orientation val="minMax"/>
        </c:scaling>
        <c:delete val="0"/>
        <c:axPos val="l"/>
        <c:majorGridlines>
          <c:spPr>
            <a:prstGeom prst="rect">
              <a:avLst/>
            </a:prstGeom>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1400" b="1" i="0" u="none" strike="noStrike">
                    <a:solidFill>
                      <a:schemeClr val="tx2"/>
                    </a:solidFill>
                    <a:latin typeface="+mn-lt"/>
                    <a:ea typeface="+mn-ea"/>
                    <a:cs typeface="+mn-cs"/>
                  </a:defRPr>
                </a:pPr>
                <a:r>
                  <a:rPr lang="fr-FR" sz="1400"/>
                  <a:t>MtCO2e</a:t>
                </a:r>
                <a:endParaRPr lang="fr-FR"/>
              </a:p>
            </c:rich>
          </c:tx>
          <c:layout>
            <c:manualLayout>
              <c:xMode val="edge"/>
              <c:yMode val="edge"/>
              <c:x val="1.3993E-2"/>
              <c:y val="0.45757700000000001"/>
            </c:manualLayout>
          </c:layout>
          <c:overlay val="0"/>
          <c:spPr>
            <a:prstGeom prst="rect">
              <a:avLst/>
            </a:prstGeom>
            <a:noFill/>
            <a:ln>
              <a:noFill/>
            </a:ln>
            <a:effectLst/>
          </c:spPr>
        </c:title>
        <c:numFmt formatCode="0.00" sourceLinked="1"/>
        <c:majorTickMark val="out"/>
        <c:minorTickMark val="none"/>
        <c:tickLblPos val="nextTo"/>
        <c:spPr>
          <a:prstGeom prst="rect">
            <a:avLst/>
          </a:prstGeom>
          <a:noFill/>
          <a:ln>
            <a:noFill/>
          </a:ln>
          <a:effectLst/>
        </c:spPr>
        <c:txPr>
          <a:bodyPr rot="-60000000" spcFirstLastPara="1" vertOverflow="ellipsis" vert="horz" wrap="square" anchor="ctr" anchorCtr="1"/>
          <a:lstStyle/>
          <a:p>
            <a:pPr>
              <a:defRPr sz="900" b="0" i="0" u="none" strike="noStrike">
                <a:solidFill>
                  <a:schemeClr val="tx2"/>
                </a:solidFill>
                <a:latin typeface="+mn-lt"/>
                <a:ea typeface="+mn-ea"/>
                <a:cs typeface="+mn-cs"/>
              </a:defRPr>
            </a:pPr>
            <a:endParaRPr lang="fr-FR"/>
          </a:p>
        </c:txPr>
        <c:crossAx val="424283656"/>
        <c:crosses val="autoZero"/>
        <c:crossBetween val="between"/>
      </c:valAx>
      <c:spPr>
        <a:prstGeom prst="rect">
          <a:avLst/>
        </a:prstGeom>
        <a:noFill/>
        <a:ln>
          <a:noFill/>
        </a:ln>
        <a:effectLst/>
      </c:spPr>
    </c:plotArea>
    <c:plotVisOnly val="1"/>
    <c:dispBlanksAs val="zero"/>
    <c:showDLblsOverMax val="0"/>
  </c:chart>
  <c:spPr>
    <a:xfrm>
      <a:off x="0" y="0"/>
      <a:ext cx="0" cy="0"/>
    </a:xfrm>
    <a:prstGeom prst="rect">
      <a:avLst/>
    </a:prstGeom>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prstGeom prst="rect">
              <a:avLst/>
            </a:prstGeom>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'9.alimentaire'!$B$36:$B$41</c:f>
              <c:strCache>
                <c:ptCount val="6"/>
                <c:pt idx="0">
                  <c:v>Etablissements de santé </c:v>
                </c:pt>
                <c:pt idx="1">
                  <c:v>EHPA</c:v>
                </c:pt>
                <c:pt idx="2">
                  <c:v>ES "Handicap"</c:v>
                </c:pt>
                <c:pt idx="3">
                  <c:v>Professions libérales</c:v>
                </c:pt>
                <c:pt idx="4">
                  <c:v>Administration et complémentaire santé</c:v>
                </c:pt>
                <c:pt idx="5">
                  <c:v>Total</c:v>
                </c:pt>
              </c:strCache>
            </c:strRef>
          </c:cat>
          <c:val>
            <c:numRef>
              <c:f>'9.alimentaire'!$C$36:$C$41</c:f>
              <c:numCache>
                <c:formatCode>0</c:formatCode>
                <c:ptCount val="6"/>
                <c:pt idx="0">
                  <c:v>549.89401710000004</c:v>
                </c:pt>
                <c:pt idx="1">
                  <c:v>744.27409995000005</c:v>
                </c:pt>
                <c:pt idx="2">
                  <c:v>583.71525299999996</c:v>
                </c:pt>
                <c:pt idx="3">
                  <c:v>111.14415</c:v>
                </c:pt>
                <c:pt idx="4">
                  <c:v>33.416991385578697</c:v>
                </c:pt>
                <c:pt idx="5">
                  <c:v>2022.4445114355788</c:v>
                </c:pt>
              </c:numCache>
            </c:numRef>
          </c:val>
          <c:extLst>
            <c:ext xmlns:c16="http://schemas.microsoft.com/office/drawing/2014/chart" uri="{C3380CC4-5D6E-409C-BE32-E72D297353CC}">
              <c16:uniqueId val="{00000000-D8C5-4A6B-8AF6-C5196D9A8A75}"/>
            </c:ext>
          </c:extLst>
        </c:ser>
        <c:dLbls>
          <c:dLblPos val="inEnd"/>
          <c:showLegendKey val="0"/>
          <c:showVal val="1"/>
          <c:showCatName val="0"/>
          <c:showSerName val="0"/>
          <c:showPercent val="0"/>
          <c:showBubbleSize val="0"/>
        </c:dLbls>
        <c:gapWidth val="100"/>
        <c:overlap val="-24"/>
        <c:axId val="424284048"/>
        <c:axId val="424286400"/>
      </c:barChart>
      <c:catAx>
        <c:axId val="424284048"/>
        <c:scaling>
          <c:orientation val="minMax"/>
        </c:scaling>
        <c:delete val="0"/>
        <c:axPos val="b"/>
        <c:numFmt formatCode="General" sourceLinked="1"/>
        <c:majorTickMark val="none"/>
        <c:minorTickMark val="none"/>
        <c:tickLblPos val="nextTo"/>
        <c:spPr>
          <a:prstGeom prst="rect">
            <a:avLst/>
          </a:prstGeom>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a:solidFill>
                  <a:schemeClr val="tx2"/>
                </a:solidFill>
                <a:latin typeface="+mn-lt"/>
                <a:ea typeface="+mn-ea"/>
                <a:cs typeface="+mn-cs"/>
              </a:defRPr>
            </a:pPr>
            <a:endParaRPr lang="fr-FR"/>
          </a:p>
        </c:txPr>
        <c:crossAx val="424286400"/>
        <c:crosses val="autoZero"/>
        <c:auto val="1"/>
        <c:lblAlgn val="ctr"/>
        <c:lblOffset val="100"/>
        <c:noMultiLvlLbl val="0"/>
      </c:catAx>
      <c:valAx>
        <c:axId val="424286400"/>
        <c:scaling>
          <c:orientation val="minMax"/>
        </c:scaling>
        <c:delete val="0"/>
        <c:axPos val="l"/>
        <c:majorGridlines>
          <c:spPr>
            <a:prstGeom prst="rect">
              <a:avLst/>
            </a:prstGeom>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a:solidFill>
                      <a:schemeClr val="tx2"/>
                    </a:solidFill>
                    <a:latin typeface="+mn-lt"/>
                    <a:ea typeface="+mn-ea"/>
                    <a:cs typeface="+mn-cs"/>
                  </a:defRPr>
                </a:pPr>
                <a:r>
                  <a:rPr lang="fr-FR"/>
                  <a:t>Million de repas</a:t>
                </a:r>
                <a:endParaRPr/>
              </a:p>
            </c:rich>
          </c:tx>
          <c:overlay val="0"/>
          <c:spPr>
            <a:prstGeom prst="rect">
              <a:avLst/>
            </a:prstGeom>
            <a:noFill/>
            <a:ln>
              <a:noFill/>
            </a:ln>
            <a:effectLst/>
          </c:spPr>
        </c:title>
        <c:numFmt formatCode="0" sourceLinked="1"/>
        <c:majorTickMark val="none"/>
        <c:minorTickMark val="none"/>
        <c:tickLblPos val="nextTo"/>
        <c:spPr>
          <a:prstGeom prst="rect">
            <a:avLst/>
          </a:prstGeom>
          <a:noFill/>
          <a:ln>
            <a:noFill/>
          </a:ln>
          <a:effectLst/>
        </c:spPr>
        <c:txPr>
          <a:bodyPr rot="-60000000" spcFirstLastPara="1" vertOverflow="ellipsis" vert="horz" wrap="square" anchor="ctr" anchorCtr="1"/>
          <a:lstStyle/>
          <a:p>
            <a:pPr>
              <a:defRPr sz="900" b="0" i="0" u="none" strike="noStrike">
                <a:solidFill>
                  <a:schemeClr val="tx2"/>
                </a:solidFill>
                <a:latin typeface="+mn-lt"/>
                <a:ea typeface="+mn-ea"/>
                <a:cs typeface="+mn-cs"/>
              </a:defRPr>
            </a:pPr>
            <a:endParaRPr lang="fr-FR"/>
          </a:p>
        </c:txPr>
        <c:crossAx val="424284048"/>
        <c:crosses val="autoZero"/>
        <c:crossBetween val="between"/>
      </c:valAx>
      <c:spPr>
        <a:prstGeom prst="rect">
          <a:avLst/>
        </a:prstGeom>
        <a:noFill/>
        <a:ln>
          <a:noFill/>
        </a:ln>
        <a:effectLst/>
      </c:spPr>
    </c:plotArea>
    <c:plotVisOnly val="1"/>
    <c:dispBlanksAs val="gap"/>
    <c:showDLblsOverMax val="0"/>
  </c:chart>
  <c:spPr>
    <a:xfrm>
      <a:off x="0" y="0"/>
      <a:ext cx="0" cy="0"/>
    </a:xfrm>
    <a:prstGeom prst="rect">
      <a:avLst/>
    </a:prstGeom>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spc="0" baseline="0">
                <a:solidFill>
                  <a:schemeClr val="tx1">
                    <a:lumMod val="65000"/>
                    <a:lumOff val="35000"/>
                  </a:schemeClr>
                </a:solidFill>
                <a:latin typeface="+mn-lt"/>
                <a:ea typeface="+mn-ea"/>
                <a:cs typeface="+mn-cs"/>
              </a:defRPr>
            </a:pPr>
            <a:r>
              <a:rPr lang="fr-FR" b="1">
                <a:solidFill>
                  <a:schemeClr val="tx1"/>
                </a:solidFill>
              </a:rPr>
              <a:t>Tonnes de linges traités par an en fonction du nombre de lits et places</a:t>
            </a:r>
            <a:endParaRPr lang="fr-FR"/>
          </a:p>
        </c:rich>
      </c:tx>
      <c:overlay val="0"/>
      <c:spPr>
        <a:prstGeom prst="rect">
          <a:avLst/>
        </a:prstGeom>
        <a:noFill/>
        <a:ln>
          <a:noFill/>
        </a:ln>
        <a:effectLst/>
      </c:spPr>
      <c:txPr>
        <a:bodyPr rot="0" spcFirstLastPara="1" vertOverflow="ellipsis" vert="horz" wrap="square" anchor="ctr" anchorCtr="1"/>
        <a:lstStyle/>
        <a:p>
          <a:pPr>
            <a:defRPr sz="1400" b="0" i="0" u="none" strike="noStrike"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spPr bwMode="auto">
            <a:prstGeom prst="rect">
              <a:avLst/>
            </a:prstGeom>
            <a:ln w="19050" cap="rnd">
              <a:noFill/>
              <a:round/>
            </a:ln>
            <a:effectLst/>
          </c:spPr>
          <c:marker>
            <c:symbol val="circle"/>
            <c:size val="5"/>
            <c:spPr bwMode="auto">
              <a:prstGeom prst="rect">
                <a:avLst/>
              </a:prstGeom>
              <a:solidFill>
                <a:schemeClr val="accent1"/>
              </a:solidFill>
              <a:ln w="9525">
                <a:solidFill>
                  <a:schemeClr val="accent1"/>
                </a:solidFill>
              </a:ln>
              <a:effectLst/>
            </c:spPr>
          </c:marker>
          <c:trendline>
            <c:spPr bwMode="auto">
              <a:prstGeom prst="rect">
                <a:avLst/>
              </a:prstGeom>
              <a:ln w="19050" cap="rnd">
                <a:solidFill>
                  <a:schemeClr val="accent1"/>
                </a:solidFill>
                <a:prstDash val="sysDot"/>
              </a:ln>
              <a:effectLst/>
            </c:spPr>
            <c:trendlineType val="linear"/>
            <c:intercept val="0"/>
            <c:dispRSqr val="1"/>
            <c:dispEq val="1"/>
            <c:trendlineLbl>
              <c:numFmt formatCode="General" sourceLinked="0"/>
              <c:spPr>
                <a:prstGeom prst="rect">
                  <a:avLst/>
                </a:prstGeom>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fr-FR"/>
                </a:p>
              </c:txPr>
            </c:trendlineLbl>
          </c:trendline>
          <c:xVal>
            <c:numRef>
              <c:f>'9. Linge '!$C$84:$C$102</c:f>
              <c:numCache>
                <c:formatCode>General</c:formatCode>
                <c:ptCount val="19"/>
                <c:pt idx="0">
                  <c:v>1693</c:v>
                </c:pt>
                <c:pt idx="1">
                  <c:v>1147</c:v>
                </c:pt>
                <c:pt idx="2">
                  <c:v>828</c:v>
                </c:pt>
                <c:pt idx="3">
                  <c:v>703</c:v>
                </c:pt>
                <c:pt idx="4">
                  <c:v>996</c:v>
                </c:pt>
                <c:pt idx="5">
                  <c:v>1303</c:v>
                </c:pt>
                <c:pt idx="6">
                  <c:v>605</c:v>
                </c:pt>
                <c:pt idx="7">
                  <c:v>584</c:v>
                </c:pt>
                <c:pt idx="8">
                  <c:v>945</c:v>
                </c:pt>
                <c:pt idx="9">
                  <c:v>1272</c:v>
                </c:pt>
                <c:pt idx="10">
                  <c:v>455</c:v>
                </c:pt>
                <c:pt idx="11">
                  <c:v>2576</c:v>
                </c:pt>
                <c:pt idx="12">
                  <c:v>801</c:v>
                </c:pt>
                <c:pt idx="13">
                  <c:v>778</c:v>
                </c:pt>
                <c:pt idx="14">
                  <c:v>872</c:v>
                </c:pt>
                <c:pt idx="15">
                  <c:v>916</c:v>
                </c:pt>
                <c:pt idx="16">
                  <c:v>464</c:v>
                </c:pt>
                <c:pt idx="17">
                  <c:v>1437</c:v>
                </c:pt>
                <c:pt idx="18">
                  <c:v>661</c:v>
                </c:pt>
              </c:numCache>
            </c:numRef>
          </c:xVal>
          <c:yVal>
            <c:numRef>
              <c:f>'9. Linge '!$D$84:$D$102</c:f>
              <c:numCache>
                <c:formatCode>General</c:formatCode>
                <c:ptCount val="19"/>
                <c:pt idx="0">
                  <c:v>2689</c:v>
                </c:pt>
                <c:pt idx="1">
                  <c:v>1467</c:v>
                </c:pt>
                <c:pt idx="2">
                  <c:v>1606</c:v>
                </c:pt>
                <c:pt idx="3">
                  <c:v>773</c:v>
                </c:pt>
                <c:pt idx="4">
                  <c:v>1342</c:v>
                </c:pt>
                <c:pt idx="5">
                  <c:v>1768</c:v>
                </c:pt>
                <c:pt idx="6">
                  <c:v>349</c:v>
                </c:pt>
                <c:pt idx="7">
                  <c:v>573</c:v>
                </c:pt>
                <c:pt idx="8">
                  <c:v>2215</c:v>
                </c:pt>
                <c:pt idx="9">
                  <c:v>1320</c:v>
                </c:pt>
                <c:pt idx="10">
                  <c:v>724</c:v>
                </c:pt>
                <c:pt idx="11">
                  <c:v>5110</c:v>
                </c:pt>
                <c:pt idx="12">
                  <c:v>786</c:v>
                </c:pt>
                <c:pt idx="13">
                  <c:v>1719</c:v>
                </c:pt>
                <c:pt idx="14">
                  <c:v>523</c:v>
                </c:pt>
                <c:pt idx="15">
                  <c:v>1697</c:v>
                </c:pt>
                <c:pt idx="16">
                  <c:v>415</c:v>
                </c:pt>
                <c:pt idx="17">
                  <c:v>3018</c:v>
                </c:pt>
                <c:pt idx="18">
                  <c:v>550.14</c:v>
                </c:pt>
              </c:numCache>
            </c:numRef>
          </c:yVal>
          <c:smooth val="0"/>
          <c:extLst>
            <c:ext xmlns:c16="http://schemas.microsoft.com/office/drawing/2014/chart" uri="{C3380CC4-5D6E-409C-BE32-E72D297353CC}">
              <c16:uniqueId val="{00000001-8EA7-454F-80F2-2E9C6326AE8B}"/>
            </c:ext>
          </c:extLst>
        </c:ser>
        <c:dLbls>
          <c:showLegendKey val="0"/>
          <c:showVal val="0"/>
          <c:showCatName val="0"/>
          <c:showSerName val="0"/>
          <c:showPercent val="0"/>
          <c:showBubbleSize val="0"/>
        </c:dLbls>
        <c:axId val="1997907232"/>
        <c:axId val="352512239"/>
      </c:scatterChart>
      <c:valAx>
        <c:axId val="1997907232"/>
        <c:scaling>
          <c:orientation val="minMax"/>
        </c:scaling>
        <c:delete val="0"/>
        <c:axPos val="b"/>
        <c:majorGridlines>
          <c:spPr bwMode="auto">
            <a:prstGeom prst="rect">
              <a:avLst/>
            </a:prstGeom>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baseline="0">
                    <a:solidFill>
                      <a:schemeClr val="tx1">
                        <a:lumMod val="65000"/>
                        <a:lumOff val="35000"/>
                      </a:schemeClr>
                    </a:solidFill>
                    <a:latin typeface="+mn-lt"/>
                    <a:ea typeface="+mn-ea"/>
                    <a:cs typeface="+mn-cs"/>
                  </a:defRPr>
                </a:pPr>
                <a:r>
                  <a:rPr lang="fr-FR" sz="1050" b="1" i="0">
                    <a:solidFill>
                      <a:schemeClr val="tx1"/>
                    </a:solidFill>
                  </a:rPr>
                  <a:t>Nombre de lits et places</a:t>
                </a:r>
                <a:endParaRPr lang="fr-FR" sz="500" b="1">
                  <a:solidFill>
                    <a:schemeClr val="tx1"/>
                  </a:solidFill>
                </a:endParaRPr>
              </a:p>
            </c:rich>
          </c:tx>
          <c:overlay val="0"/>
          <c:spPr>
            <a:prstGeom prst="rect">
              <a:avLst/>
            </a:prstGeom>
            <a:noFill/>
            <a:ln>
              <a:noFill/>
            </a:ln>
            <a:effectLst/>
          </c:spPr>
          <c:txPr>
            <a:bodyPr rot="0" spcFirstLastPara="1" vertOverflow="ellipsis" vert="horz" wrap="square" anchor="ctr" anchorCtr="1"/>
            <a:lstStyle/>
            <a:p>
              <a:pPr>
                <a:defRPr sz="1000" b="0" i="0" u="none" strike="noStrike"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bwMode="auto">
          <a:prstGeom prst="rect">
            <a:avLst/>
          </a:prstGeom>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baseline="0">
                <a:solidFill>
                  <a:schemeClr val="tx1"/>
                </a:solidFill>
                <a:latin typeface="+mn-lt"/>
                <a:ea typeface="+mn-ea"/>
                <a:cs typeface="+mn-cs"/>
              </a:defRPr>
            </a:pPr>
            <a:endParaRPr lang="fr-FR"/>
          </a:p>
        </c:txPr>
        <c:crossAx val="352512239"/>
        <c:crosses val="autoZero"/>
        <c:crossBetween val="midCat"/>
      </c:valAx>
      <c:valAx>
        <c:axId val="352512239"/>
        <c:scaling>
          <c:orientation val="minMax"/>
        </c:scaling>
        <c:delete val="0"/>
        <c:axPos val="l"/>
        <c:majorGridlines>
          <c:spPr bwMode="auto">
            <a:prstGeom prst="rect">
              <a:avLst/>
            </a:prstGeom>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baseline="0">
                    <a:solidFill>
                      <a:schemeClr val="tx1">
                        <a:lumMod val="65000"/>
                        <a:lumOff val="35000"/>
                      </a:schemeClr>
                    </a:solidFill>
                    <a:latin typeface="+mn-lt"/>
                    <a:ea typeface="+mn-ea"/>
                    <a:cs typeface="+mn-cs"/>
                  </a:defRPr>
                </a:pPr>
                <a:r>
                  <a:rPr lang="fr-FR" sz="1000" b="1" i="0">
                    <a:solidFill>
                      <a:schemeClr val="tx1"/>
                    </a:solidFill>
                  </a:rPr>
                  <a:t>Tonnes de linge traité en fonction du nombre de lit </a:t>
                </a:r>
                <a:endParaRPr lang="fr-FR" sz="400" b="1">
                  <a:solidFill>
                    <a:schemeClr val="tx1"/>
                  </a:solidFill>
                </a:endParaRPr>
              </a:p>
            </c:rich>
          </c:tx>
          <c:overlay val="0"/>
          <c:spPr>
            <a:prstGeom prst="rect">
              <a:avLst/>
            </a:prstGeom>
            <a:noFill/>
            <a:ln>
              <a:noFill/>
            </a:ln>
            <a:effectLst/>
          </c:spPr>
          <c:txPr>
            <a:bodyPr rot="-5400000" spcFirstLastPara="1" vertOverflow="ellipsis" vert="horz" wrap="square" anchor="ctr" anchorCtr="1"/>
            <a:lstStyle/>
            <a:p>
              <a:pPr>
                <a:defRPr sz="1000" b="0" i="0" u="none" strike="noStrike"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bwMode="auto">
          <a:prstGeom prst="rect">
            <a:avLst/>
          </a:prstGeom>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baseline="0">
                <a:solidFill>
                  <a:schemeClr val="tx1"/>
                </a:solidFill>
                <a:latin typeface="+mn-lt"/>
                <a:ea typeface="+mn-ea"/>
                <a:cs typeface="+mn-cs"/>
              </a:defRPr>
            </a:pPr>
            <a:endParaRPr lang="fr-FR"/>
          </a:p>
        </c:txPr>
        <c:crossAx val="1997907232"/>
        <c:crosses val="autoZero"/>
        <c:crossBetween val="midCat"/>
      </c:valAx>
      <c:spPr>
        <a:prstGeom prst="rect">
          <a:avLst/>
        </a:prstGeom>
        <a:noFill/>
        <a:ln>
          <a:noFill/>
        </a:ln>
        <a:effectLst/>
      </c:spPr>
    </c:plotArea>
    <c:plotVisOnly val="1"/>
    <c:dispBlanksAs val="gap"/>
    <c:showDLblsOverMax val="0"/>
  </c:chart>
  <c:spPr bwMode="auto">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79000000000007E-2"/>
          <c:y val="5.3511999999999997E-2"/>
          <c:w val="0.90287899999999999"/>
          <c:h val="0.78336600000000001"/>
        </c:manualLayout>
      </c:layout>
      <c:barChart>
        <c:barDir val="col"/>
        <c:grouping val="clustered"/>
        <c:varyColors val="0"/>
        <c:ser>
          <c:idx val="0"/>
          <c:order val="0"/>
          <c:tx>
            <c:strRef>
              <c:f>'2'!$C$31:$E$31</c:f>
              <c:strCache>
                <c:ptCount val="3"/>
                <c:pt idx="0">
                  <c:v>0,06</c:v>
                </c:pt>
                <c:pt idx="1">
                  <c:v>0,20</c:v>
                </c:pt>
                <c:pt idx="2">
                  <c:v>0,02</c:v>
                </c:pt>
              </c:strCache>
            </c:strRef>
          </c:tx>
          <c:spPr>
            <a:prstGeom prst="rect">
              <a:avLst/>
            </a:prstGeom>
            <a:solidFill>
              <a:schemeClr val="accent5">
                <a:lumMod val="60000"/>
                <a:lumOff val="40000"/>
              </a:schemeClr>
            </a:solidFill>
            <a:ln>
              <a:noFill/>
            </a:ln>
            <a:effectLst/>
          </c:spPr>
          <c:invertIfNegative val="0"/>
          <c:dLbls>
            <c:dLbl>
              <c:idx val="0"/>
              <c:tx>
                <c:rich>
                  <a:bodyPr/>
                  <a:lstStyle/>
                  <a:p>
                    <a:fld id="{2AC03E73-E177-D64A-BA85-27E2CF2D6149}" type="VALUE">
                      <a:rPr lang="en-US" b="1"/>
                      <a:pPr/>
                      <a:t>[VALEUR]</a:t>
                    </a:fld>
                    <a:endParaRPr lang="fr-FR"/>
                  </a:p>
                </c:rich>
              </c:tx>
              <c:dLblPos val="inEnd"/>
              <c:showLegendKey val="0"/>
              <c:showVal val="1"/>
              <c:showCatName val="0"/>
              <c:showSerName val="0"/>
              <c:showPercent val="0"/>
              <c:showBubbleSize val="0"/>
              <c:extLst xmlns:c14="http://schemas.microsoft.com/office/drawing/2007/8/2/chart" xmlns:c15="http://schemas.microsoft.com/office/drawing/2012/chart" xmlns:mc="http://schemas.openxmlformats.org/markup-compatibility/2006">
                <c:ext xmlns:c15="http://schemas.microsoft.com/office/drawing/2012/chart" uri="{CE6537A1-D6FC-4f65-9D91-7224C49458BB}">
                  <c15:dlblFieldTable/>
                  <c15:showDataLabelsRange val="0"/>
                </c:ext>
                <c:ext xmlns:c16="http://schemas.microsoft.com/office/drawing/2014/chart" uri="{C3380CC4-5D6E-409C-BE32-E72D297353CC}">
                  <c16:uniqueId val="{00000000-3C92-4D1B-A74B-FCF3D4B2EF90}"/>
                </c:ext>
              </c:extLst>
            </c:dLbl>
            <c:spPr>
              <a:noFill/>
              <a:ln>
                <a:noFill/>
              </a:ln>
              <a:effectLst/>
            </c:spPr>
            <c:txPr>
              <a:bodyPr rot="0" spcFirstLastPara="1" vertOverflow="ellipsis" horzOverflow="clip" vert="horz" wrap="square" lIns="38100" tIns="19050" rIns="38100" bIns="19050" anchor="ctr" anchorCtr="1">
                <a:spAutoFit/>
              </a:bodyPr>
              <a:lstStyle/>
              <a:p>
                <a:pPr>
                  <a:defRPr sz="900" b="1" i="0" u="none" strike="noStrike"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'2'!$C$30:$E$30</c:f>
              <c:strCache>
                <c:ptCount val="3"/>
                <c:pt idx="0">
                  <c:v>Emissions associés aux services d'urgence (hors hélicoptères)</c:v>
                </c:pt>
                <c:pt idx="1">
                  <c:v>Emission associés au transport interhospitalier et domiciles/établissements (hors hélicoptères)</c:v>
                </c:pt>
                <c:pt idx="2">
                  <c:v>Hélicoptères</c:v>
                </c:pt>
              </c:strCache>
            </c:strRef>
          </c:cat>
          <c:val>
            <c:numRef>
              <c:f>'2'!$C$31:$E$31</c:f>
              <c:numCache>
                <c:formatCode>0.00</c:formatCode>
                <c:ptCount val="3"/>
                <c:pt idx="0">
                  <c:v>5.6789641267194692E-2</c:v>
                </c:pt>
                <c:pt idx="1">
                  <c:v>0.19905103290800003</c:v>
                </c:pt>
                <c:pt idx="2">
                  <c:v>2.4499059200000003E-2</c:v>
                </c:pt>
              </c:numCache>
            </c:numRef>
          </c:val>
          <c:extLst>
            <c:ext xmlns:c16="http://schemas.microsoft.com/office/drawing/2014/chart" uri="{C3380CC4-5D6E-409C-BE32-E72D297353CC}">
              <c16:uniqueId val="{00000001-3C92-4D1B-A74B-FCF3D4B2EF90}"/>
            </c:ext>
          </c:extLst>
        </c:ser>
        <c:dLbls>
          <c:showLegendKey val="0"/>
          <c:showVal val="1"/>
          <c:showCatName val="0"/>
          <c:showSerName val="0"/>
          <c:showPercent val="0"/>
          <c:showBubbleSize val="0"/>
        </c:dLbls>
        <c:gapWidth val="100"/>
        <c:overlap val="-24"/>
        <c:axId val="395060536"/>
        <c:axId val="395058184"/>
      </c:barChart>
      <c:catAx>
        <c:axId val="395060536"/>
        <c:scaling>
          <c:orientation val="minMax"/>
        </c:scaling>
        <c:delete val="0"/>
        <c:axPos val="b"/>
        <c:numFmt formatCode="General" sourceLinked="1"/>
        <c:majorTickMark val="none"/>
        <c:minorTickMark val="none"/>
        <c:tickLblPos val="nextTo"/>
        <c:spPr bwMode="auto">
          <a:prstGeom prst="rect">
            <a:avLst/>
          </a:prstGeom>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100" b="0" i="0" u="none" strike="noStrike" baseline="0">
                <a:solidFill>
                  <a:schemeClr val="tx2"/>
                </a:solidFill>
                <a:latin typeface="+mn-lt"/>
                <a:ea typeface="+mn-ea"/>
                <a:cs typeface="+mn-cs"/>
              </a:defRPr>
            </a:pPr>
            <a:endParaRPr lang="fr-FR"/>
          </a:p>
        </c:txPr>
        <c:crossAx val="395058184"/>
        <c:crosses val="autoZero"/>
        <c:auto val="1"/>
        <c:lblAlgn val="ctr"/>
        <c:lblOffset val="100"/>
        <c:noMultiLvlLbl val="0"/>
      </c:catAx>
      <c:valAx>
        <c:axId val="395058184"/>
        <c:scaling>
          <c:orientation val="minMax"/>
        </c:scaling>
        <c:delete val="0"/>
        <c:axPos val="l"/>
        <c:majorGridlines>
          <c:spPr bwMode="auto">
            <a:prstGeom prst="rect">
              <a:avLst/>
            </a:prstGeom>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1400" b="1" i="0" u="none" strike="noStrike" baseline="0">
                    <a:solidFill>
                      <a:schemeClr val="tx2"/>
                    </a:solidFill>
                    <a:latin typeface="+mn-lt"/>
                    <a:ea typeface="+mn-ea"/>
                    <a:cs typeface="+mn-cs"/>
                  </a:defRPr>
                </a:pPr>
                <a:r>
                  <a:rPr lang="fr-FR" sz="1400"/>
                  <a:t>MtCO2e</a:t>
                </a:r>
                <a:endParaRPr lang="fr-FR"/>
              </a:p>
            </c:rich>
          </c:tx>
          <c:layout>
            <c:manualLayout>
              <c:xMode val="edge"/>
              <c:yMode val="edge"/>
              <c:x val="1.5873999999999999E-2"/>
              <c:y val="0.36674200000000001"/>
            </c:manualLayout>
          </c:layout>
          <c:overlay val="0"/>
          <c:spPr>
            <a:prstGeom prst="rect">
              <a:avLst/>
            </a:prstGeom>
            <a:noFill/>
            <a:ln>
              <a:noFill/>
            </a:ln>
            <a:effectLst/>
          </c:spPr>
          <c:txPr>
            <a:bodyPr rot="-5400000" spcFirstLastPara="1" vertOverflow="ellipsis" vert="horz" wrap="square" anchor="ctr" anchorCtr="1"/>
            <a:lstStyle/>
            <a:p>
              <a:pPr>
                <a:defRPr sz="1400" b="1" i="0" u="none" strike="noStrike" baseline="0">
                  <a:solidFill>
                    <a:schemeClr val="tx2"/>
                  </a:solidFill>
                  <a:latin typeface="+mn-lt"/>
                  <a:ea typeface="+mn-ea"/>
                  <a:cs typeface="+mn-cs"/>
                </a:defRPr>
              </a:pPr>
              <a:endParaRPr lang="fr-FR"/>
            </a:p>
          </c:txPr>
        </c:title>
        <c:numFmt formatCode="0.00" sourceLinked="1"/>
        <c:majorTickMark val="none"/>
        <c:minorTickMark val="none"/>
        <c:tickLblPos val="nextTo"/>
        <c:spPr>
          <a:prstGeom prst="rect">
            <a:avLst/>
          </a:prstGeom>
          <a:noFill/>
          <a:ln>
            <a:noFill/>
          </a:ln>
          <a:effectLst/>
        </c:spPr>
        <c:txPr>
          <a:bodyPr rot="-60000000" spcFirstLastPara="1" vertOverflow="ellipsis" vert="horz" wrap="square" anchor="ctr" anchorCtr="1"/>
          <a:lstStyle/>
          <a:p>
            <a:pPr>
              <a:defRPr sz="900" b="0" i="0" u="none" strike="noStrike" baseline="0">
                <a:solidFill>
                  <a:schemeClr val="tx2"/>
                </a:solidFill>
                <a:latin typeface="+mn-lt"/>
                <a:ea typeface="+mn-ea"/>
                <a:cs typeface="+mn-cs"/>
              </a:defRPr>
            </a:pPr>
            <a:endParaRPr lang="fr-FR"/>
          </a:p>
        </c:txPr>
        <c:crossAx val="395060536"/>
        <c:crosses val="autoZero"/>
        <c:crossBetween val="between"/>
      </c:valAx>
      <c:spPr>
        <a:prstGeom prst="rect">
          <a:avLst/>
        </a:prstGeom>
        <a:noFill/>
        <a:ln>
          <a:noFill/>
        </a:ln>
        <a:effectLst/>
      </c:spPr>
    </c:plotArea>
    <c:plotVisOnly val="1"/>
    <c:dispBlanksAs val="gap"/>
    <c:showDLblsOverMax val="0"/>
  </c:chart>
  <c:spPr bwMode="auto">
    <a:xfrm>
      <a:off x="0" y="0"/>
      <a:ext cx="0" cy="0"/>
    </a:xfrm>
    <a:prstGeom prst="rect">
      <a:avLst/>
    </a:prstGeom>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baseline="0">
                <a:solidFill>
                  <a:schemeClr val="tx2"/>
                </a:solidFill>
                <a:latin typeface="+mn-lt"/>
                <a:ea typeface="+mn-ea"/>
                <a:cs typeface="+mn-cs"/>
              </a:defRPr>
            </a:pPr>
            <a:r>
              <a:rPr lang="fr-FR" sz="1300"/>
              <a:t>Part des émissions des services de transport d'urgence</a:t>
            </a:r>
            <a:endParaRPr lang="fr-FR"/>
          </a:p>
        </c:rich>
      </c:tx>
      <c:overlay val="0"/>
      <c:spPr>
        <a:prstGeom prst="rect">
          <a:avLst/>
        </a:prstGeom>
        <a:noFill/>
        <a:ln>
          <a:noFill/>
        </a:ln>
        <a:effectLst/>
      </c:spPr>
      <c:txPr>
        <a:bodyPr rot="0" spcFirstLastPara="1" vertOverflow="ellipsis" vert="horz" wrap="square" anchor="ctr" anchorCtr="1"/>
        <a:lstStyle/>
        <a:p>
          <a:pPr>
            <a:defRPr sz="1600" b="1" i="0" u="none" strike="noStrike" baseline="0">
              <a:solidFill>
                <a:schemeClr val="tx2"/>
              </a:solidFill>
              <a:latin typeface="+mn-lt"/>
              <a:ea typeface="+mn-ea"/>
              <a:cs typeface="+mn-cs"/>
            </a:defRPr>
          </a:pPr>
          <a:endParaRPr lang="fr-FR"/>
        </a:p>
      </c:txPr>
    </c:title>
    <c:autoTitleDeleted val="0"/>
    <c:plotArea>
      <c:layout/>
      <c:doughnutChart>
        <c:varyColors val="1"/>
        <c:ser>
          <c:idx val="0"/>
          <c:order val="0"/>
          <c:tx>
            <c:strRef>
              <c:f>'2'!$C$27:$G$27</c:f>
              <c:strCache>
                <c:ptCount val="5"/>
                <c:pt idx="0">
                  <c:v>0,026</c:v>
                </c:pt>
                <c:pt idx="1">
                  <c:v>0,004</c:v>
                </c:pt>
                <c:pt idx="2">
                  <c:v>0,025</c:v>
                </c:pt>
                <c:pt idx="3">
                  <c:v>0,001</c:v>
                </c:pt>
                <c:pt idx="4">
                  <c:v>0,009</c:v>
                </c:pt>
              </c:strCache>
            </c:strRef>
          </c:tx>
          <c:dPt>
            <c:idx val="0"/>
            <c:bubble3D val="0"/>
            <c:spPr>
              <a:prstGeom prst="rect">
                <a:avLst/>
              </a:prstGeom>
              <a:gradFill>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6411-4D50-9165-671E59565B13}"/>
              </c:ext>
            </c:extLst>
          </c:dPt>
          <c:dPt>
            <c:idx val="1"/>
            <c:bubble3D val="0"/>
            <c:spPr>
              <a:prstGeom prst="rect">
                <a:avLst/>
              </a:prstGeom>
              <a:gradFill>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6411-4D50-9165-671E59565B13}"/>
              </c:ext>
            </c:extLst>
          </c:dPt>
          <c:dPt>
            <c:idx val="2"/>
            <c:bubble3D val="0"/>
            <c:spPr>
              <a:prstGeom prst="rect">
                <a:avLst/>
              </a:prstGeom>
              <a:gradFill>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6411-4D50-9165-671E59565B13}"/>
              </c:ext>
            </c:extLst>
          </c:dPt>
          <c:dPt>
            <c:idx val="3"/>
            <c:bubble3D val="0"/>
            <c:spPr>
              <a:prstGeom prst="rect">
                <a:avLst/>
              </a:prstGeom>
              <a:gradFill>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6411-4D50-9165-671E59565B13}"/>
              </c:ext>
            </c:extLst>
          </c:dPt>
          <c:dPt>
            <c:idx val="4"/>
            <c:bubble3D val="0"/>
            <c:spPr>
              <a:prstGeom prst="rect">
                <a:avLst/>
              </a:prstGeom>
              <a:gradFill>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6411-4D50-9165-671E59565B13}"/>
              </c:ext>
            </c:extLst>
          </c:dPt>
          <c:dPt>
            <c:idx val="5"/>
            <c:bubble3D val="0"/>
            <c:spPr>
              <a:prstGeom prst="rect">
                <a:avLst/>
              </a:prstGeom>
              <a:gradFill>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6411-4D50-9165-671E59565B13}"/>
              </c:ext>
            </c:extLst>
          </c:dPt>
          <c:dLbls>
            <c:spPr>
              <a:noFill/>
              <a:ln>
                <a:noFill/>
              </a:ln>
              <a:effectLst/>
            </c:spPr>
            <c:txPr>
              <a:bodyPr rot="0" spcFirstLastPara="1" vertOverflow="ellipsis" horzOverflow="clip" vert="horz" wrap="square" lIns="38100" tIns="19050" rIns="38100" bIns="19050" anchor="ctr" anchorCtr="1">
                <a:spAutoFit/>
              </a:bodyPr>
              <a:lstStyle/>
              <a:p>
                <a:pPr>
                  <a:defRPr sz="900" b="0" i="0" u="none" strike="noStrike" baseline="0">
                    <a:solidFill>
                      <a:schemeClr val="tx2"/>
                    </a:solidFill>
                    <a:latin typeface="+mn-lt"/>
                    <a:ea typeface="+mn-ea"/>
                    <a:cs typeface="+mn-cs"/>
                  </a:defRPr>
                </a:pPr>
                <a:endParaRPr lang="fr-FR"/>
              </a:p>
            </c:txPr>
            <c:showLegendKey val="0"/>
            <c:showVal val="0"/>
            <c:showCatName val="0"/>
            <c:showSerName val="0"/>
            <c:showPercent val="1"/>
            <c:showBubbleSize val="0"/>
            <c:showLeaderLines val="1"/>
            <c:leaderLines>
              <c:spPr bwMode="auto">
                <a:prstGeom prst="rect">
                  <a:avLst/>
                </a:prstGeom>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'2'!$C$26:$G$26</c:f>
              <c:strCache>
                <c:ptCount val="5"/>
                <c:pt idx="0">
                  <c:v>Sapeurs-pompiers</c:v>
                </c:pt>
                <c:pt idx="1">
                  <c:v>SMUR</c:v>
                </c:pt>
                <c:pt idx="2">
                  <c:v>Ambulances privées</c:v>
                </c:pt>
                <c:pt idx="3">
                  <c:v>Forces de l'ordre</c:v>
                </c:pt>
                <c:pt idx="4">
                  <c:v>Hélicoptères</c:v>
                </c:pt>
              </c:strCache>
            </c:strRef>
          </c:cat>
          <c:val>
            <c:numRef>
              <c:f>'2'!$C$27:$G$27</c:f>
              <c:numCache>
                <c:formatCode>0.000</c:formatCode>
                <c:ptCount val="5"/>
                <c:pt idx="0">
                  <c:v>2.6390166849900001E-2</c:v>
                </c:pt>
                <c:pt idx="1">
                  <c:v>4.4358619999999996E-3</c:v>
                </c:pt>
                <c:pt idx="2">
                  <c:v>2.4740806211099999E-2</c:v>
                </c:pt>
                <c:pt idx="3">
                  <c:v>1.2228062061946901E-3</c:v>
                </c:pt>
                <c:pt idx="4">
                  <c:v>8.8489139199999997E-3</c:v>
                </c:pt>
              </c:numCache>
            </c:numRef>
          </c:val>
          <c:extLst>
            <c:ext xmlns:c16="http://schemas.microsoft.com/office/drawing/2014/chart" uri="{C3380CC4-5D6E-409C-BE32-E72D297353CC}">
              <c16:uniqueId val="{0000000C-6411-4D50-9165-671E59565B13}"/>
            </c:ext>
          </c:extLst>
        </c:ser>
        <c:dLbls>
          <c:showLegendKey val="0"/>
          <c:showVal val="0"/>
          <c:showCatName val="0"/>
          <c:showSerName val="0"/>
          <c:showPercent val="1"/>
          <c:showBubbleSize val="0"/>
          <c:showLeaderLines val="1"/>
        </c:dLbls>
        <c:firstSliceAng val="0"/>
        <c:holeSize val="50"/>
      </c:doughnutChart>
      <c:spPr>
        <a:prstGeom prst="rect">
          <a:avLst/>
        </a:prstGeom>
        <a:noFill/>
        <a:ln>
          <a:noFill/>
        </a:ln>
        <a:effectLst/>
      </c:spPr>
    </c:plotArea>
    <c:legend>
      <c:legendPos val="b"/>
      <c:overlay val="0"/>
      <c:spPr>
        <a:prstGeom prst="rect">
          <a:avLst/>
        </a:prstGeom>
        <a:noFill/>
        <a:ln>
          <a:noFill/>
        </a:ln>
        <a:effectLst/>
      </c:spPr>
      <c:txPr>
        <a:bodyPr rot="0" spcFirstLastPara="1" vertOverflow="ellipsis" vert="horz" wrap="square" anchor="ctr" anchorCtr="1"/>
        <a:lstStyle/>
        <a:p>
          <a:pPr>
            <a:defRPr sz="900" b="0" i="0" u="none" strike="noStrike" baseline="0">
              <a:solidFill>
                <a:schemeClr val="tx2"/>
              </a:solidFill>
              <a:latin typeface="+mn-lt"/>
              <a:ea typeface="+mn-ea"/>
              <a:cs typeface="+mn-cs"/>
            </a:defRPr>
          </a:pPr>
          <a:endParaRPr lang="fr-FR"/>
        </a:p>
      </c:txPr>
    </c:legend>
    <c:plotVisOnly val="1"/>
    <c:dispBlanksAs val="gap"/>
    <c:showDLblsOverMax val="0"/>
  </c:chart>
  <c:spPr bwMode="auto">
    <a:xfrm>
      <a:off x="0" y="0"/>
      <a:ext cx="0" cy="0"/>
    </a:xfrm>
    <a:prstGeom prst="rect">
      <a:avLst/>
    </a:prstGeom>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baseline="0">
                <a:solidFill>
                  <a:schemeClr val="tx2"/>
                </a:solidFill>
                <a:latin typeface="+mn-lt"/>
                <a:ea typeface="+mn-ea"/>
                <a:cs typeface="+mn-cs"/>
              </a:defRPr>
            </a:pPr>
            <a:r>
              <a:rPr lang="fr-FR" sz="1300"/>
              <a:t>Part des émissions des services de transport interhospitaliers et domiciles/établissements de santé</a:t>
            </a:r>
            <a:endParaRPr lang="fr-FR"/>
          </a:p>
        </c:rich>
      </c:tx>
      <c:layout>
        <c:manualLayout>
          <c:xMode val="edge"/>
          <c:yMode val="edge"/>
          <c:x val="1.4357E-2"/>
          <c:y val="2.4764999999999999E-2"/>
        </c:manualLayout>
      </c:layout>
      <c:overlay val="0"/>
      <c:spPr>
        <a:prstGeom prst="rect">
          <a:avLst/>
        </a:prstGeom>
        <a:noFill/>
        <a:ln>
          <a:noFill/>
        </a:ln>
        <a:effectLst/>
      </c:spPr>
      <c:txPr>
        <a:bodyPr rot="0" spcFirstLastPara="1" vertOverflow="ellipsis" vert="horz" wrap="square" anchor="ctr" anchorCtr="1"/>
        <a:lstStyle/>
        <a:p>
          <a:pPr>
            <a:defRPr sz="1600" b="1" i="0" u="none" strike="noStrike" baseline="0">
              <a:solidFill>
                <a:schemeClr val="tx2"/>
              </a:solidFill>
              <a:latin typeface="+mn-lt"/>
              <a:ea typeface="+mn-ea"/>
              <a:cs typeface="+mn-cs"/>
            </a:defRPr>
          </a:pPr>
          <a:endParaRPr lang="fr-FR"/>
        </a:p>
      </c:txPr>
    </c:title>
    <c:autoTitleDeleted val="0"/>
    <c:plotArea>
      <c:layout/>
      <c:doughnutChart>
        <c:varyColors val="1"/>
        <c:ser>
          <c:idx val="0"/>
          <c:order val="0"/>
          <c:dPt>
            <c:idx val="0"/>
            <c:bubble3D val="0"/>
            <c:spPr>
              <a:prstGeom prst="rect">
                <a:avLst/>
              </a:prstGeom>
              <a:gradFill>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DB77-43D9-9128-033E59D5D45A}"/>
              </c:ext>
            </c:extLst>
          </c:dPt>
          <c:dPt>
            <c:idx val="1"/>
            <c:bubble3D val="0"/>
            <c:spPr>
              <a:prstGeom prst="rect">
                <a:avLst/>
              </a:prstGeom>
              <a:gradFill>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DB77-43D9-9128-033E59D5D45A}"/>
              </c:ext>
            </c:extLst>
          </c:dPt>
          <c:dPt>
            <c:idx val="2"/>
            <c:bubble3D val="0"/>
            <c:spPr>
              <a:prstGeom prst="rect">
                <a:avLst/>
              </a:prstGeom>
              <a:gradFill>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DB77-43D9-9128-033E59D5D45A}"/>
              </c:ext>
            </c:extLst>
          </c:dPt>
          <c:dPt>
            <c:idx val="3"/>
            <c:bubble3D val="0"/>
            <c:spPr>
              <a:prstGeom prst="rect">
                <a:avLst/>
              </a:prstGeom>
              <a:gradFill>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DB77-43D9-9128-033E59D5D45A}"/>
              </c:ext>
            </c:extLst>
          </c:dPt>
          <c:dPt>
            <c:idx val="4"/>
            <c:bubble3D val="0"/>
            <c:spPr>
              <a:prstGeom prst="rect">
                <a:avLst/>
              </a:prstGeom>
              <a:gradFill>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DB77-43D9-9128-033E59D5D45A}"/>
              </c:ext>
            </c:extLst>
          </c:dPt>
          <c:dLbls>
            <c:spPr>
              <a:noFill/>
              <a:ln>
                <a:noFill/>
              </a:ln>
              <a:effectLst/>
            </c:spPr>
            <c:txPr>
              <a:bodyPr rot="0" spcFirstLastPara="1" vertOverflow="ellipsis" horzOverflow="clip" vert="horz" wrap="square" lIns="38100" tIns="19050" rIns="38100" bIns="19050" anchor="ctr" anchorCtr="1">
                <a:spAutoFit/>
              </a:bodyPr>
              <a:lstStyle/>
              <a:p>
                <a:pPr>
                  <a:defRPr sz="900" b="0" i="0" u="none" strike="noStrike" baseline="0">
                    <a:solidFill>
                      <a:schemeClr val="tx2"/>
                    </a:solidFill>
                    <a:latin typeface="+mn-lt"/>
                    <a:ea typeface="+mn-ea"/>
                    <a:cs typeface="+mn-cs"/>
                  </a:defRPr>
                </a:pPr>
                <a:endParaRPr lang="fr-FR"/>
              </a:p>
            </c:txPr>
            <c:showLegendKey val="0"/>
            <c:showVal val="0"/>
            <c:showCatName val="0"/>
            <c:showSerName val="0"/>
            <c:showPercent val="1"/>
            <c:showBubbleSize val="0"/>
            <c:showLeaderLines val="1"/>
            <c:leaderLines>
              <c:spPr bwMode="auto">
                <a:prstGeom prst="rect">
                  <a:avLst/>
                </a:prstGeom>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'2'!$I$26:$M$26</c:f>
              <c:strCache>
                <c:ptCount val="5"/>
                <c:pt idx="0">
                  <c:v>SMUR</c:v>
                </c:pt>
                <c:pt idx="1">
                  <c:v>Ambulances privées</c:v>
                </c:pt>
                <c:pt idx="2">
                  <c:v>taxis conventionnés</c:v>
                </c:pt>
                <c:pt idx="3">
                  <c:v>VSL</c:v>
                </c:pt>
                <c:pt idx="4">
                  <c:v>Hélicoptères</c:v>
                </c:pt>
              </c:strCache>
            </c:strRef>
          </c:cat>
          <c:val>
            <c:numRef>
              <c:f>'2'!$I$27:$M$27</c:f>
              <c:numCache>
                <c:formatCode>0.000</c:formatCode>
                <c:ptCount val="5"/>
                <c:pt idx="0">
                  <c:v>8.283457000000001E-4</c:v>
                </c:pt>
                <c:pt idx="1">
                  <c:v>7.5834199116000006E-2</c:v>
                </c:pt>
                <c:pt idx="2">
                  <c:v>5.2337762581000001E-2</c:v>
                </c:pt>
                <c:pt idx="3">
                  <c:v>7.0050725511000014E-2</c:v>
                </c:pt>
                <c:pt idx="4">
                  <c:v>1.5650145280000003E-2</c:v>
                </c:pt>
              </c:numCache>
            </c:numRef>
          </c:val>
          <c:extLst>
            <c:ext xmlns:c16="http://schemas.microsoft.com/office/drawing/2014/chart" uri="{C3380CC4-5D6E-409C-BE32-E72D297353CC}">
              <c16:uniqueId val="{0000000A-DB77-43D9-9128-033E59D5D45A}"/>
            </c:ext>
          </c:extLst>
        </c:ser>
        <c:dLbls>
          <c:showLegendKey val="0"/>
          <c:showVal val="0"/>
          <c:showCatName val="0"/>
          <c:showSerName val="0"/>
          <c:showPercent val="1"/>
          <c:showBubbleSize val="0"/>
          <c:showLeaderLines val="1"/>
        </c:dLbls>
        <c:firstSliceAng val="0"/>
        <c:holeSize val="50"/>
      </c:doughnutChart>
      <c:spPr>
        <a:prstGeom prst="rect">
          <a:avLst/>
        </a:prstGeom>
        <a:noFill/>
        <a:ln>
          <a:noFill/>
        </a:ln>
        <a:effectLst/>
      </c:spPr>
    </c:plotArea>
    <c:legend>
      <c:legendPos val="b"/>
      <c:overlay val="0"/>
      <c:spPr>
        <a:prstGeom prst="rect">
          <a:avLst/>
        </a:prstGeom>
        <a:noFill/>
        <a:ln>
          <a:noFill/>
        </a:ln>
        <a:effectLst/>
      </c:spPr>
      <c:txPr>
        <a:bodyPr rot="0" spcFirstLastPara="1" vertOverflow="ellipsis" vert="horz" wrap="square" anchor="ctr" anchorCtr="1"/>
        <a:lstStyle/>
        <a:p>
          <a:pPr>
            <a:defRPr sz="900" b="0" i="0" u="none" strike="noStrike" baseline="0">
              <a:solidFill>
                <a:schemeClr val="tx2"/>
              </a:solidFill>
              <a:latin typeface="+mn-lt"/>
              <a:ea typeface="+mn-ea"/>
              <a:cs typeface="+mn-cs"/>
            </a:defRPr>
          </a:pPr>
          <a:endParaRPr lang="fr-FR"/>
        </a:p>
      </c:txPr>
    </c:legend>
    <c:plotVisOnly val="1"/>
    <c:dispBlanksAs val="gap"/>
    <c:showDLblsOverMax val="0"/>
  </c:chart>
  <c:spPr bwMode="auto">
    <a:xfrm>
      <a:off x="0" y="0"/>
      <a:ext cx="0" cy="0"/>
    </a:xfrm>
    <a:prstGeom prst="rect">
      <a:avLst/>
    </a:prstGeom>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prstGeom prst="rect">
              <a:avLst/>
            </a:prstGeom>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'16.patients'!#REF!</c:f>
              <c:numCache>
                <c:formatCode>General</c:formatCode>
                <c:ptCount val="1"/>
                <c:pt idx="0">
                  <c:v>1</c:v>
                </c:pt>
              </c:numCache>
            </c:numRef>
          </c:val>
          <c:extLst>
            <c:ext xmlns:c16="http://schemas.microsoft.com/office/drawing/2014/chart" uri="{C3380CC4-5D6E-409C-BE32-E72D297353CC}">
              <c16:uniqueId val="{00000000-D65A-4018-A3AA-69FF96CBF0A0}"/>
            </c:ext>
          </c:extLst>
        </c:ser>
        <c:dLbls>
          <c:showLegendKey val="0"/>
          <c:showVal val="0"/>
          <c:showCatName val="0"/>
          <c:showSerName val="0"/>
          <c:showPercent val="0"/>
          <c:showBubbleSize val="0"/>
        </c:dLbls>
        <c:gapWidth val="219"/>
        <c:overlap val="-27"/>
        <c:axId val="423629848"/>
        <c:axId val="424470560"/>
      </c:barChart>
      <c:catAx>
        <c:axId val="423629848"/>
        <c:scaling>
          <c:orientation val="minMax"/>
        </c:scaling>
        <c:delete val="0"/>
        <c:axPos val="b"/>
        <c:numFmt formatCode="General" sourceLinked="1"/>
        <c:majorTickMark val="none"/>
        <c:minorTickMark val="none"/>
        <c:tickLblPos val="nextTo"/>
        <c:spPr>
          <a:prstGeom prst="rect">
            <a:avLst/>
          </a:prstGeom>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a:solidFill>
                  <a:schemeClr val="tx1">
                    <a:lumMod val="65000"/>
                    <a:lumOff val="35000"/>
                  </a:schemeClr>
                </a:solidFill>
                <a:latin typeface="+mn-lt"/>
                <a:ea typeface="+mn-ea"/>
                <a:cs typeface="+mn-cs"/>
              </a:defRPr>
            </a:pPr>
            <a:endParaRPr lang="fr-FR"/>
          </a:p>
        </c:txPr>
        <c:crossAx val="424470560"/>
        <c:crosses val="autoZero"/>
        <c:auto val="1"/>
        <c:lblAlgn val="ctr"/>
        <c:lblOffset val="100"/>
        <c:noMultiLvlLbl val="0"/>
      </c:catAx>
      <c:valAx>
        <c:axId val="424470560"/>
        <c:scaling>
          <c:orientation val="minMax"/>
        </c:scaling>
        <c:delete val="0"/>
        <c:axPos val="l"/>
        <c:majorGridlines>
          <c:spPr>
            <a:prstGeom prst="rect">
              <a:avLst/>
            </a:prstGeom>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a:solidFill>
                      <a:schemeClr val="tx1">
                        <a:lumMod val="65000"/>
                        <a:lumOff val="35000"/>
                      </a:schemeClr>
                    </a:solidFill>
                    <a:latin typeface="+mn-lt"/>
                    <a:ea typeface="+mn-ea"/>
                    <a:cs typeface="+mn-cs"/>
                  </a:defRPr>
                </a:pPr>
                <a:r>
                  <a:rPr lang="en-US" sz="1400" b="1"/>
                  <a:t>MtCO2e</a:t>
                </a:r>
                <a:endParaRPr lang="en-US"/>
              </a:p>
            </c:rich>
          </c:tx>
          <c:overlay val="0"/>
          <c:spPr>
            <a:prstGeom prst="rect">
              <a:avLst/>
            </a:prstGeom>
            <a:noFill/>
            <a:ln>
              <a:noFill/>
            </a:ln>
            <a:effectLst/>
          </c:spPr>
        </c:title>
        <c:numFmt formatCode="General" sourceLinked="1"/>
        <c:majorTickMark val="none"/>
        <c:minorTickMark val="none"/>
        <c:tickLblPos val="nextTo"/>
        <c:spPr>
          <a:prstGeom prst="rect">
            <a:avLst/>
          </a:prstGeom>
          <a:noFill/>
          <a:ln>
            <a:noFill/>
          </a:ln>
          <a:effectLst/>
        </c:spPr>
        <c:txPr>
          <a:bodyPr rot="-60000000" spcFirstLastPara="1" vertOverflow="ellipsis" vert="horz" wrap="square" anchor="ctr" anchorCtr="1"/>
          <a:lstStyle/>
          <a:p>
            <a:pPr>
              <a:defRPr sz="1000" b="1" i="0" u="none" strike="noStrike">
                <a:solidFill>
                  <a:schemeClr val="tx1">
                    <a:lumMod val="65000"/>
                    <a:lumOff val="35000"/>
                  </a:schemeClr>
                </a:solidFill>
                <a:latin typeface="+mn-lt"/>
                <a:ea typeface="+mn-ea"/>
                <a:cs typeface="+mn-cs"/>
              </a:defRPr>
            </a:pPr>
            <a:endParaRPr lang="fr-FR"/>
          </a:p>
        </c:txPr>
        <c:crossAx val="423629848"/>
        <c:crosses val="autoZero"/>
        <c:crossBetween val="between"/>
      </c:valAx>
      <c:spPr>
        <a:prstGeom prst="rect">
          <a:avLst/>
        </a:prstGeom>
        <a:noFill/>
        <a:ln>
          <a:noFill/>
        </a:ln>
        <a:effectLst/>
      </c:spPr>
    </c:plotArea>
    <c:plotVisOnly val="1"/>
    <c:dispBlanksAs val="gap"/>
    <c:showDLblsOverMax val="0"/>
  </c:chart>
  <c:spPr>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prstGeom prst="rect">
              <a:avLst/>
            </a:prstGeom>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'16.visiteurs'!#REF!</c:f>
              <c:numCache>
                <c:formatCode>General</c:formatCode>
                <c:ptCount val="1"/>
                <c:pt idx="0">
                  <c:v>1</c:v>
                </c:pt>
              </c:numCache>
            </c:numRef>
          </c:val>
          <c:extLst>
            <c:ext xmlns:c16="http://schemas.microsoft.com/office/drawing/2014/chart" uri="{C3380CC4-5D6E-409C-BE32-E72D297353CC}">
              <c16:uniqueId val="{00000000-C291-4717-A5C0-FEDDD2EA58D7}"/>
            </c:ext>
          </c:extLst>
        </c:ser>
        <c:dLbls>
          <c:dLblPos val="outEnd"/>
          <c:showLegendKey val="0"/>
          <c:showVal val="1"/>
          <c:showCatName val="0"/>
          <c:showSerName val="0"/>
          <c:showPercent val="0"/>
          <c:showBubbleSize val="0"/>
        </c:dLbls>
        <c:gapWidth val="219"/>
        <c:overlap val="-27"/>
        <c:axId val="429082016"/>
        <c:axId val="429083976"/>
      </c:barChart>
      <c:catAx>
        <c:axId val="429082016"/>
        <c:scaling>
          <c:orientation val="minMax"/>
        </c:scaling>
        <c:delete val="0"/>
        <c:axPos val="b"/>
        <c:numFmt formatCode="General" sourceLinked="1"/>
        <c:majorTickMark val="none"/>
        <c:minorTickMark val="none"/>
        <c:tickLblPos val="nextTo"/>
        <c:spPr>
          <a:prstGeom prst="rect">
            <a:avLst/>
          </a:prstGeom>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a:solidFill>
                  <a:schemeClr val="tx1">
                    <a:lumMod val="65000"/>
                    <a:lumOff val="35000"/>
                  </a:schemeClr>
                </a:solidFill>
                <a:latin typeface="+mn-lt"/>
                <a:ea typeface="+mn-ea"/>
                <a:cs typeface="+mn-cs"/>
              </a:defRPr>
            </a:pPr>
            <a:endParaRPr lang="fr-FR"/>
          </a:p>
        </c:txPr>
        <c:crossAx val="429083976"/>
        <c:crosses val="autoZero"/>
        <c:auto val="1"/>
        <c:lblAlgn val="ctr"/>
        <c:lblOffset val="100"/>
        <c:noMultiLvlLbl val="0"/>
      </c:catAx>
      <c:valAx>
        <c:axId val="429083976"/>
        <c:scaling>
          <c:orientation val="minMax"/>
        </c:scaling>
        <c:delete val="0"/>
        <c:axPos val="l"/>
        <c:majorGridlines>
          <c:spPr>
            <a:prstGeom prst="rect">
              <a:avLst/>
            </a:prstGeom>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a:solidFill>
                      <a:schemeClr val="tx1">
                        <a:lumMod val="65000"/>
                        <a:lumOff val="35000"/>
                      </a:schemeClr>
                    </a:solidFill>
                    <a:latin typeface="+mn-lt"/>
                    <a:ea typeface="+mn-ea"/>
                    <a:cs typeface="+mn-cs"/>
                  </a:defRPr>
                </a:pPr>
                <a:r>
                  <a:rPr lang="fr-FR" sz="1400" b="1"/>
                  <a:t>MtCO2e</a:t>
                </a:r>
                <a:endParaRPr lang="fr-FR"/>
              </a:p>
            </c:rich>
          </c:tx>
          <c:overlay val="0"/>
          <c:spPr>
            <a:prstGeom prst="rect">
              <a:avLst/>
            </a:prstGeom>
            <a:noFill/>
            <a:ln>
              <a:noFill/>
            </a:ln>
            <a:effectLst/>
          </c:spPr>
        </c:title>
        <c:numFmt formatCode="General" sourceLinked="1"/>
        <c:majorTickMark val="none"/>
        <c:minorTickMark val="none"/>
        <c:tickLblPos val="nextTo"/>
        <c:spPr>
          <a:prstGeom prst="rect">
            <a:avLst/>
          </a:prstGeom>
          <a:noFill/>
          <a:ln>
            <a:noFill/>
          </a:ln>
          <a:effectLst/>
        </c:spPr>
        <c:txPr>
          <a:bodyPr rot="-60000000" spcFirstLastPara="1" vertOverflow="ellipsis" vert="horz" wrap="square" anchor="ctr" anchorCtr="1"/>
          <a:lstStyle/>
          <a:p>
            <a:pPr>
              <a:defRPr sz="1050" b="0" i="0" u="none" strike="noStrike">
                <a:solidFill>
                  <a:schemeClr val="tx1">
                    <a:lumMod val="65000"/>
                    <a:lumOff val="35000"/>
                  </a:schemeClr>
                </a:solidFill>
                <a:latin typeface="+mn-lt"/>
                <a:ea typeface="+mn-ea"/>
                <a:cs typeface="+mn-cs"/>
              </a:defRPr>
            </a:pPr>
            <a:endParaRPr lang="fr-FR"/>
          </a:p>
        </c:txPr>
        <c:crossAx val="429082016"/>
        <c:crosses val="autoZero"/>
        <c:crossBetween val="between"/>
      </c:valAx>
      <c:spPr>
        <a:prstGeom prst="rect">
          <a:avLst/>
        </a:prstGeom>
        <a:noFill/>
        <a:ln>
          <a:noFill/>
        </a:ln>
        <a:effectLst/>
      </c:spPr>
    </c:plotArea>
    <c:plotVisOnly val="1"/>
    <c:dispBlanksAs val="gap"/>
    <c:showDLblsOverMax val="0"/>
  </c:chart>
  <c:spPr>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20499999999999"/>
          <c:y val="3.7144000000000003E-2"/>
          <c:w val="0.83223899999999995"/>
          <c:h val="0.71243500000000004"/>
        </c:manualLayout>
      </c:layout>
      <c:barChart>
        <c:barDir val="col"/>
        <c:grouping val="clustered"/>
        <c:varyColors val="0"/>
        <c:ser>
          <c:idx val="0"/>
          <c:order val="0"/>
          <c:spPr>
            <a:prstGeom prst="rect">
              <a:avLst/>
            </a:prstGeom>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'22'!$B$168:$B$174</c:f>
              <c:strCache>
                <c:ptCount val="7"/>
                <c:pt idx="0">
                  <c:v>Hôpitaux</c:v>
                </c:pt>
                <c:pt idx="1">
                  <c:v>EPHA</c:v>
                </c:pt>
                <c:pt idx="2">
                  <c:v>Etablissements pour adultes handicapés</c:v>
                </c:pt>
                <c:pt idx="3">
                  <c:v>Etablissements pour enfants handicapés</c:v>
                </c:pt>
                <c:pt idx="4">
                  <c:v>Médecine de ville</c:v>
                </c:pt>
                <c:pt idx="5">
                  <c:v>Administration et complémentaire santé</c:v>
                </c:pt>
                <c:pt idx="6">
                  <c:v>Total</c:v>
                </c:pt>
              </c:strCache>
            </c:strRef>
          </c:cat>
          <c:val>
            <c:numRef>
              <c:f>'22'!$C$168:$C$174</c:f>
              <c:numCache>
                <c:formatCode>0.00</c:formatCode>
                <c:ptCount val="7"/>
                <c:pt idx="0">
                  <c:v>0.70522082073093062</c:v>
                </c:pt>
                <c:pt idx="1">
                  <c:v>0.3342053180544986</c:v>
                </c:pt>
                <c:pt idx="2">
                  <c:v>0.1291913735880047</c:v>
                </c:pt>
                <c:pt idx="3">
                  <c:v>8.3209136118502766E-2</c:v>
                </c:pt>
                <c:pt idx="4">
                  <c:v>0.41579137475883443</c:v>
                </c:pt>
                <c:pt idx="5">
                  <c:v>9.9262792855812673E-2</c:v>
                </c:pt>
                <c:pt idx="6" formatCode="0.00000">
                  <c:v>1.7668808161065837</c:v>
                </c:pt>
              </c:numCache>
            </c:numRef>
          </c:val>
          <c:extLst>
            <c:ext xmlns:c16="http://schemas.microsoft.com/office/drawing/2014/chart" uri="{C3380CC4-5D6E-409C-BE32-E72D297353CC}">
              <c16:uniqueId val="{00000000-F4DF-4D5A-B083-1DAE60FDA1BB}"/>
            </c:ext>
          </c:extLst>
        </c:ser>
        <c:dLbls>
          <c:showLegendKey val="0"/>
          <c:showVal val="0"/>
          <c:showCatName val="0"/>
          <c:showSerName val="0"/>
          <c:showPercent val="0"/>
          <c:showBubbleSize val="0"/>
        </c:dLbls>
        <c:gapWidth val="219"/>
        <c:overlap val="-27"/>
        <c:axId val="429082800"/>
        <c:axId val="429086720"/>
      </c:barChart>
      <c:catAx>
        <c:axId val="429082800"/>
        <c:scaling>
          <c:orientation val="minMax"/>
        </c:scaling>
        <c:delete val="0"/>
        <c:axPos val="b"/>
        <c:numFmt formatCode="General" sourceLinked="1"/>
        <c:majorTickMark val="none"/>
        <c:minorTickMark val="none"/>
        <c:tickLblPos val="nextTo"/>
        <c:spPr>
          <a:prstGeom prst="rect">
            <a:avLst/>
          </a:prstGeom>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a:solidFill>
                  <a:schemeClr val="tx1">
                    <a:lumMod val="65000"/>
                    <a:lumOff val="35000"/>
                  </a:schemeClr>
                </a:solidFill>
                <a:latin typeface="+mn-lt"/>
                <a:ea typeface="+mn-ea"/>
                <a:cs typeface="+mn-cs"/>
              </a:defRPr>
            </a:pPr>
            <a:endParaRPr lang="fr-FR"/>
          </a:p>
        </c:txPr>
        <c:crossAx val="429086720"/>
        <c:crosses val="autoZero"/>
        <c:auto val="1"/>
        <c:lblAlgn val="ctr"/>
        <c:lblOffset val="100"/>
        <c:noMultiLvlLbl val="0"/>
      </c:catAx>
      <c:valAx>
        <c:axId val="429086720"/>
        <c:scaling>
          <c:orientation val="minMax"/>
        </c:scaling>
        <c:delete val="0"/>
        <c:axPos val="l"/>
        <c:majorGridlines>
          <c:spPr>
            <a:prstGeom prst="rect">
              <a:avLst/>
            </a:prstGeom>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a:solidFill>
                      <a:schemeClr val="tx1">
                        <a:lumMod val="65000"/>
                        <a:lumOff val="35000"/>
                      </a:schemeClr>
                    </a:solidFill>
                    <a:latin typeface="+mn-lt"/>
                    <a:ea typeface="+mn-ea"/>
                    <a:cs typeface="+mn-cs"/>
                  </a:defRPr>
                </a:pPr>
                <a:r>
                  <a:rPr lang="fr-FR" sz="1400"/>
                  <a:t>MtCO2e</a:t>
                </a:r>
                <a:endParaRPr lang="fr-FR"/>
              </a:p>
            </c:rich>
          </c:tx>
          <c:layout>
            <c:manualLayout>
              <c:xMode val="edge"/>
              <c:yMode val="edge"/>
              <c:x val="2.2443999999999999E-2"/>
              <c:y val="0.31805699999999998"/>
            </c:manualLayout>
          </c:layout>
          <c:overlay val="0"/>
          <c:spPr>
            <a:prstGeom prst="rect">
              <a:avLst/>
            </a:prstGeom>
            <a:noFill/>
            <a:ln>
              <a:noFill/>
            </a:ln>
            <a:effectLst/>
          </c:spPr>
        </c:title>
        <c:numFmt formatCode="0.0" sourceLinked="0"/>
        <c:majorTickMark val="none"/>
        <c:minorTickMark val="none"/>
        <c:tickLblPos val="nextTo"/>
        <c:spPr>
          <a:prstGeom prst="rect">
            <a:avLst/>
          </a:prstGeom>
          <a:noFill/>
          <a:ln>
            <a:noFill/>
          </a:ln>
          <a:effectLst/>
        </c:spPr>
        <c:txPr>
          <a:bodyPr rot="-60000000" spcFirstLastPara="1" vertOverflow="ellipsis" vert="horz" wrap="square" anchor="ctr" anchorCtr="1"/>
          <a:lstStyle/>
          <a:p>
            <a:pPr>
              <a:defRPr sz="1200" b="0" i="0" u="none" strike="noStrike">
                <a:solidFill>
                  <a:schemeClr val="tx1">
                    <a:lumMod val="65000"/>
                    <a:lumOff val="35000"/>
                  </a:schemeClr>
                </a:solidFill>
                <a:latin typeface="+mn-lt"/>
                <a:ea typeface="+mn-ea"/>
                <a:cs typeface="+mn-cs"/>
              </a:defRPr>
            </a:pPr>
            <a:endParaRPr lang="fr-FR"/>
          </a:p>
        </c:txPr>
        <c:crossAx val="429082800"/>
        <c:crosses val="autoZero"/>
        <c:crossBetween val="between"/>
      </c:valAx>
      <c:spPr>
        <a:prstGeom prst="rect">
          <a:avLst/>
        </a:prstGeom>
        <a:noFill/>
        <a:ln>
          <a:noFill/>
        </a:ln>
        <a:effectLst/>
      </c:spPr>
    </c:plotArea>
    <c:plotVisOnly val="1"/>
    <c:dispBlanksAs val="gap"/>
    <c:showDLblsOverMax val="0"/>
  </c:chart>
  <c:spPr>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a:solidFill>
                  <a:schemeClr val="tx2"/>
                </a:solidFill>
                <a:latin typeface="+mn-lt"/>
                <a:ea typeface="+mn-ea"/>
                <a:cs typeface="+mn-cs"/>
              </a:defRPr>
            </a:pPr>
            <a:r>
              <a:rPr lang="fr-FR" sz="1300"/>
              <a:t>Part des consommations d'énergie par type de combustible </a:t>
            </a:r>
            <a:endParaRPr lang="fr-FR"/>
          </a:p>
        </c:rich>
      </c:tx>
      <c:overlay val="0"/>
      <c:spPr>
        <a:prstGeom prst="rect">
          <a:avLst/>
        </a:prstGeom>
        <a:noFill/>
        <a:ln>
          <a:noFill/>
        </a:ln>
        <a:effectLst/>
      </c:spPr>
    </c:title>
    <c:autoTitleDeleted val="0"/>
    <c:plotArea>
      <c:layout/>
      <c:doughnutChart>
        <c:varyColors val="1"/>
        <c:ser>
          <c:idx val="0"/>
          <c:order val="0"/>
          <c:dPt>
            <c:idx val="0"/>
            <c:bubble3D val="0"/>
            <c:spPr>
              <a:prstGeom prst="rect">
                <a:avLst/>
              </a:prstGeom>
              <a:gradFill>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miter/>
              </a:ln>
              <a:effectLst/>
            </c:spPr>
            <c:extLst>
              <c:ext xmlns:c16="http://schemas.microsoft.com/office/drawing/2014/chart" uri="{C3380CC4-5D6E-409C-BE32-E72D297353CC}">
                <c16:uniqueId val="{00000001-C3EF-47E1-A151-15E3AA7E5AE2}"/>
              </c:ext>
            </c:extLst>
          </c:dPt>
          <c:dPt>
            <c:idx val="1"/>
            <c:bubble3D val="0"/>
            <c:spPr>
              <a:prstGeom prst="rect">
                <a:avLst/>
              </a:prstGeom>
              <a:gradFill>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C3EF-47E1-A151-15E3AA7E5AE2}"/>
              </c:ext>
            </c:extLst>
          </c:dPt>
          <c:dPt>
            <c:idx val="2"/>
            <c:bubble3D val="0"/>
            <c:spPr>
              <a:prstGeom prst="rect">
                <a:avLst/>
              </a:prstGeom>
              <a:gradFill>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C3EF-47E1-A151-15E3AA7E5AE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prstGeom prst="rect">
                  <a:avLst/>
                </a:prstGeom>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c15:spPr>
              </c:ext>
            </c:extLst>
          </c:dLbls>
          <c:cat>
            <c:strRef>
              <c:f>'1'!$D$28:$F$28</c:f>
              <c:strCache>
                <c:ptCount val="3"/>
                <c:pt idx="0">
                  <c:v>Gaz</c:v>
                </c:pt>
                <c:pt idx="1">
                  <c:v>Fioul</c:v>
                </c:pt>
                <c:pt idx="2">
                  <c:v>Autres combustibles </c:v>
                </c:pt>
              </c:strCache>
            </c:strRef>
          </c:cat>
          <c:val>
            <c:numRef>
              <c:f>'1'!$D$36:$F$36</c:f>
              <c:numCache>
                <c:formatCode>#,##0</c:formatCode>
                <c:ptCount val="3"/>
                <c:pt idx="0">
                  <c:v>10903.346268249816</c:v>
                </c:pt>
                <c:pt idx="1">
                  <c:v>5235.0131845998003</c:v>
                </c:pt>
                <c:pt idx="2">
                  <c:v>1161.0292117046617</c:v>
                </c:pt>
              </c:numCache>
            </c:numRef>
          </c:val>
          <c:extLst>
            <c:ext xmlns:c16="http://schemas.microsoft.com/office/drawing/2014/chart" uri="{C3380CC4-5D6E-409C-BE32-E72D297353CC}">
              <c16:uniqueId val="{00000006-C3EF-47E1-A151-15E3AA7E5AE2}"/>
            </c:ext>
          </c:extLst>
        </c:ser>
        <c:dLbls>
          <c:showLegendKey val="0"/>
          <c:showVal val="0"/>
          <c:showCatName val="0"/>
          <c:showSerName val="0"/>
          <c:showPercent val="1"/>
          <c:showBubbleSize val="0"/>
          <c:showLeaderLines val="1"/>
        </c:dLbls>
        <c:firstSliceAng val="0"/>
        <c:holeSize val="50"/>
      </c:doughnutChart>
      <c:spPr>
        <a:prstGeom prst="rect">
          <a:avLst/>
        </a:prstGeom>
        <a:noFill/>
        <a:ln>
          <a:noFill/>
        </a:ln>
        <a:effectLst/>
      </c:spPr>
    </c:plotArea>
    <c:legend>
      <c:legendPos val="b"/>
      <c:overlay val="0"/>
      <c:spPr>
        <a:prstGeom prst="rect">
          <a:avLst/>
        </a:prstGeom>
        <a:noFill/>
        <a:ln>
          <a:noFill/>
        </a:ln>
        <a:effectLst/>
      </c:spPr>
      <c:txPr>
        <a:bodyPr rot="0" spcFirstLastPara="1" vertOverflow="ellipsis" vert="horz" wrap="square" anchor="ctr" anchorCtr="1"/>
        <a:lstStyle/>
        <a:p>
          <a:pPr>
            <a:defRPr sz="900" b="0" i="0" u="none" strike="noStrike">
              <a:solidFill>
                <a:schemeClr val="tx2"/>
              </a:solidFill>
              <a:latin typeface="+mn-lt"/>
              <a:ea typeface="+mn-ea"/>
              <a:cs typeface="+mn-cs"/>
            </a:defRPr>
          </a:pPr>
          <a:endParaRPr lang="fr-FR"/>
        </a:p>
      </c:txPr>
    </c:legend>
    <c:plotVisOnly val="1"/>
    <c:dispBlanksAs val="gap"/>
    <c:showDLblsOverMax val="0"/>
  </c:chart>
  <c:spPr>
    <a:xfrm>
      <a:off x="0" y="0"/>
      <a:ext cx="0" cy="0"/>
    </a:xfrm>
    <a:prstGeom prst="rect">
      <a:avLst/>
    </a:prstGeom>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a:solidFill>
                  <a:schemeClr val="tx2"/>
                </a:solidFill>
                <a:latin typeface="+mn-lt"/>
                <a:ea typeface="+mn-ea"/>
                <a:cs typeface="+mn-cs"/>
              </a:defRPr>
            </a:pPr>
            <a:r>
              <a:rPr lang="en-US"/>
              <a:t>Répartition des gaz médicaux par masse totale délivrée </a:t>
            </a:r>
            <a:endParaRPr/>
          </a:p>
        </c:rich>
      </c:tx>
      <c:overlay val="0"/>
      <c:spPr>
        <a:prstGeom prst="rect">
          <a:avLst/>
        </a:prstGeom>
        <a:noFill/>
        <a:ln>
          <a:noFill/>
        </a:ln>
        <a:effectLst/>
      </c:spPr>
    </c:title>
    <c:autoTitleDeleted val="0"/>
    <c:plotArea>
      <c:layout/>
      <c:pieChart>
        <c:varyColors val="1"/>
        <c:ser>
          <c:idx val="0"/>
          <c:order val="0"/>
          <c:tx>
            <c:strRef>
              <c:f>'4'!$C$33</c:f>
              <c:strCache>
                <c:ptCount val="1"/>
                <c:pt idx="0">
                  <c:v>0,45998028</c:v>
                </c:pt>
              </c:strCache>
            </c:strRef>
          </c:tx>
          <c:dPt>
            <c:idx val="0"/>
            <c:bubble3D val="0"/>
            <c:spPr>
              <a:prstGeom prst="rect">
                <a:avLst/>
              </a:prstGeom>
              <a:gradFill>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82-4665-8360-0CB748BAA8EC}"/>
              </c:ext>
            </c:extLst>
          </c:dPt>
          <c:dPt>
            <c:idx val="1"/>
            <c:bubble3D val="0"/>
            <c:spPr>
              <a:prstGeom prst="rect">
                <a:avLst/>
              </a:prstGeom>
              <a:gradFill>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E982-4665-8360-0CB748BAA8EC}"/>
              </c:ext>
            </c:extLst>
          </c:dPt>
          <c:dPt>
            <c:idx val="2"/>
            <c:bubble3D val="0"/>
            <c:spPr>
              <a:prstGeom prst="rect">
                <a:avLst/>
              </a:prstGeom>
              <a:gradFill>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82-4665-8360-0CB748BAA8EC}"/>
              </c:ext>
            </c:extLst>
          </c:dPt>
          <c:dPt>
            <c:idx val="3"/>
            <c:bubble3D val="0"/>
            <c:spPr>
              <a:prstGeom prst="rect">
                <a:avLst/>
              </a:prstGeom>
              <a:gradFill>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E982-4665-8360-0CB748BAA8EC}"/>
              </c:ext>
            </c:extLst>
          </c:dPt>
          <c:dPt>
            <c:idx val="4"/>
            <c:bubble3D val="0"/>
            <c:spPr>
              <a:prstGeom prst="rect">
                <a:avLst/>
              </a:prstGeom>
              <a:gradFill>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E982-4665-8360-0CB748BAA8EC}"/>
              </c:ext>
            </c:extLst>
          </c:dPt>
          <c:dLbls>
            <c:dLbl>
              <c:idx val="0"/>
              <c:spPr>
                <a:noFill/>
                <a:ln>
                  <a:noFill/>
                </a:ln>
                <a:effectLst/>
              </c:spPr>
              <c:txPr>
                <a:bodyPr rot="0" spcFirstLastPara="1" vertOverflow="ellipsis" vert="horz" wrap="square" lIns="38099" tIns="19049" rIns="38099" bIns="19049" anchor="ctr" anchorCtr="1">
                  <a:spAutoFit/>
                </a:bodyPr>
                <a:lstStyle/>
                <a:p>
                  <a:pPr>
                    <a:defRPr sz="900" b="0" i="0" u="none" strike="noStrike">
                      <a:solidFill>
                        <a:schemeClr val="tx2"/>
                      </a:solidFill>
                      <a:latin typeface="+mn-lt"/>
                      <a:ea typeface="+mn-ea"/>
                      <a:cs typeface="+mn-cs"/>
                    </a:defRPr>
                  </a:pPr>
                  <a:endParaRPr lang="fr-FR"/>
                </a:p>
              </c:txPr>
              <c:dLblPos val="ct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982-4665-8360-0CB748BAA8EC}"/>
                </c:ext>
              </c:extLst>
            </c:dLbl>
            <c:dLbl>
              <c:idx val="1"/>
              <c:spPr>
                <a:noFill/>
                <a:ln>
                  <a:noFill/>
                  <a:bevel/>
                </a:ln>
                <a:effectLst/>
              </c:spPr>
              <c:txPr>
                <a:bodyPr rot="0" spcFirstLastPara="1" vertOverflow="ellipsis" vert="horz" wrap="square" lIns="38099" tIns="19049" rIns="38099" bIns="19049" anchor="ctr" anchorCtr="1">
                  <a:spAutoFit/>
                </a:bodyPr>
                <a:lstStyle/>
                <a:p>
                  <a:pPr>
                    <a:defRPr sz="900" b="0" i="0" u="none" strike="noStrike">
                      <a:solidFill>
                        <a:schemeClr val="tx2"/>
                      </a:solidFill>
                      <a:latin typeface="+mn-lt"/>
                      <a:ea typeface="+mn-ea"/>
                      <a:cs typeface="+mn-cs"/>
                    </a:defRPr>
                  </a:pPr>
                  <a:endParaRPr lang="fr-FR"/>
                </a:p>
              </c:txPr>
              <c:dLblPos val="ct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982-4665-8360-0CB748BAA8EC}"/>
                </c:ext>
              </c:extLst>
            </c:dLbl>
            <c:dLbl>
              <c:idx val="2"/>
              <c:spPr>
                <a:noFill/>
                <a:ln>
                  <a:noFill/>
                </a:ln>
                <a:effectLst/>
              </c:spPr>
              <c:txPr>
                <a:bodyPr rot="0" spcFirstLastPara="1" vertOverflow="ellipsis" vert="horz" wrap="square" lIns="38099" tIns="19049" rIns="38099" bIns="19049" anchor="ctr" anchorCtr="1">
                  <a:spAutoFit/>
                </a:bodyPr>
                <a:lstStyle/>
                <a:p>
                  <a:pPr>
                    <a:defRPr sz="900" b="0" i="0" u="none" strike="noStrike">
                      <a:solidFill>
                        <a:schemeClr val="tx2"/>
                      </a:solidFill>
                      <a:latin typeface="+mn-lt"/>
                      <a:ea typeface="+mn-ea"/>
                      <a:cs typeface="+mn-cs"/>
                    </a:defRPr>
                  </a:pPr>
                  <a:endParaRPr lang="fr-FR"/>
                </a:p>
              </c:txPr>
              <c:dLblPos val="ct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E982-4665-8360-0CB748BAA8EC}"/>
                </c:ext>
              </c:extLst>
            </c:dLbl>
            <c:dLbl>
              <c:idx val="3"/>
              <c:spPr>
                <a:noFill/>
                <a:ln>
                  <a:noFill/>
                </a:ln>
                <a:effectLst/>
              </c:spPr>
              <c:txPr>
                <a:bodyPr rot="0" spcFirstLastPara="1" vertOverflow="ellipsis" vert="horz" wrap="square" lIns="38099" tIns="19049" rIns="38099" bIns="19049" anchor="ctr" anchorCtr="1">
                  <a:spAutoFit/>
                </a:bodyPr>
                <a:lstStyle/>
                <a:p>
                  <a:pPr>
                    <a:defRPr sz="900" b="0" i="0" u="none" strike="noStrike">
                      <a:solidFill>
                        <a:schemeClr val="tx2"/>
                      </a:solidFill>
                      <a:latin typeface="+mn-lt"/>
                      <a:ea typeface="+mn-ea"/>
                      <a:cs typeface="+mn-cs"/>
                    </a:defRPr>
                  </a:pPr>
                  <a:endParaRPr lang="fr-FR"/>
                </a:p>
              </c:txPr>
              <c:dLblPos val="ct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E982-4665-8360-0CB748BAA8EC}"/>
                </c:ext>
              </c:extLst>
            </c:dLbl>
            <c:dLbl>
              <c:idx val="4"/>
              <c:spPr>
                <a:noFill/>
                <a:ln>
                  <a:noFill/>
                </a:ln>
                <a:effectLst/>
              </c:spPr>
              <c:txPr>
                <a:bodyPr rot="0" spcFirstLastPara="1" vertOverflow="ellipsis" vert="horz" wrap="square" lIns="38099" tIns="19049" rIns="38099" bIns="19049" anchor="ctr" anchorCtr="1">
                  <a:spAutoFit/>
                </a:bodyPr>
                <a:lstStyle/>
                <a:p>
                  <a:pPr>
                    <a:defRPr sz="900" b="0" i="0" u="none" strike="noStrike">
                      <a:solidFill>
                        <a:schemeClr val="tx2"/>
                      </a:solidFill>
                      <a:latin typeface="+mn-lt"/>
                      <a:ea typeface="+mn-ea"/>
                      <a:cs typeface="+mn-cs"/>
                    </a:defRPr>
                  </a:pPr>
                  <a:endParaRPr lang="fr-FR"/>
                </a:p>
              </c:txPr>
              <c:dLblPos val="ct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E982-4665-8360-0CB748BAA8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2"/>
                    </a:solidFill>
                    <a:latin typeface="+mn-lt"/>
                    <a:ea typeface="+mn-ea"/>
                    <a:cs typeface="+mn-cs"/>
                  </a:defRPr>
                </a:pPr>
                <a:endParaRPr lang="fr-FR"/>
              </a:p>
            </c:txPr>
            <c:dLblPos val="ctr"/>
            <c:showLegendKey val="0"/>
            <c:showVal val="0"/>
            <c:showCatName val="0"/>
            <c:showSerName val="0"/>
            <c:showPercent val="1"/>
            <c:showBubbleSize val="0"/>
            <c:showLeaderLines val="1"/>
            <c:leaderLines>
              <c:spPr>
                <a:prstGeom prst="rect">
                  <a:avLst/>
                </a:prstGeom>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c15:spPr>
              </c:ext>
            </c:extLst>
          </c:dLbls>
          <c:cat>
            <c:strRef>
              <c:f>'4'!$B$43:$B$47</c:f>
              <c:strCache>
                <c:ptCount val="5"/>
                <c:pt idx="0">
                  <c:v>DESFLURANE</c:v>
                </c:pt>
                <c:pt idx="1">
                  <c:v>ISOFLURANE </c:v>
                </c:pt>
                <c:pt idx="2">
                  <c:v>Protoxyde d'azote </c:v>
                </c:pt>
                <c:pt idx="3">
                  <c:v>MEOPA</c:v>
                </c:pt>
                <c:pt idx="4">
                  <c:v>SEVOFLURANE</c:v>
                </c:pt>
              </c:strCache>
            </c:strRef>
          </c:cat>
          <c:val>
            <c:numRef>
              <c:f>'4'!$C$43:$C$47</c:f>
              <c:numCache>
                <c:formatCode>#,##0</c:formatCode>
                <c:ptCount val="5"/>
                <c:pt idx="0">
                  <c:v>59953.825929648228</c:v>
                </c:pt>
                <c:pt idx="1">
                  <c:v>730.2952261306533</c:v>
                </c:pt>
                <c:pt idx="2">
                  <c:v>140196.38655749193</c:v>
                </c:pt>
                <c:pt idx="3">
                  <c:v>141796.90064597988</c:v>
                </c:pt>
                <c:pt idx="4">
                  <c:v>343510.64703517588</c:v>
                </c:pt>
              </c:numCache>
            </c:numRef>
          </c:val>
          <c:extLst>
            <c:ext xmlns:c16="http://schemas.microsoft.com/office/drawing/2014/chart" uri="{C3380CC4-5D6E-409C-BE32-E72D297353CC}">
              <c16:uniqueId val="{0000000A-E982-4665-8360-0CB748BAA8EC}"/>
            </c:ext>
          </c:extLst>
        </c:ser>
        <c:dLbls>
          <c:dLblPos val="ctr"/>
          <c:showLegendKey val="0"/>
          <c:showVal val="0"/>
          <c:showCatName val="0"/>
          <c:showSerName val="0"/>
          <c:showPercent val="1"/>
          <c:showBubbleSize val="0"/>
          <c:showLeaderLines val="1"/>
        </c:dLbls>
        <c:firstSliceAng val="0"/>
      </c:pieChart>
      <c:spPr>
        <a:prstGeom prst="rect">
          <a:avLst/>
        </a:prstGeom>
        <a:noFill/>
        <a:ln>
          <a:noFill/>
        </a:ln>
        <a:effectLst/>
      </c:spPr>
    </c:plotArea>
    <c:legend>
      <c:legendPos val="b"/>
      <c:overlay val="0"/>
      <c:spPr>
        <a:prstGeom prst="rect">
          <a:avLst/>
        </a:prstGeom>
        <a:noFill/>
        <a:ln>
          <a:noFill/>
        </a:ln>
        <a:effectLst/>
      </c:spPr>
      <c:txPr>
        <a:bodyPr rot="0" spcFirstLastPara="1" vertOverflow="ellipsis" vert="horz" wrap="square" anchor="ctr" anchorCtr="1"/>
        <a:lstStyle/>
        <a:p>
          <a:pPr>
            <a:defRPr sz="900" b="0" i="0" u="none" strike="noStrike">
              <a:solidFill>
                <a:schemeClr val="tx2"/>
              </a:solidFill>
              <a:latin typeface="+mn-lt"/>
              <a:ea typeface="+mn-ea"/>
              <a:cs typeface="+mn-cs"/>
            </a:defRPr>
          </a:pPr>
          <a:endParaRPr lang="fr-FR"/>
        </a:p>
      </c:txPr>
    </c:legend>
    <c:plotVisOnly val="1"/>
    <c:dispBlanksAs val="gap"/>
    <c:showDLblsOverMax val="0"/>
  </c:chart>
  <c:spPr>
    <a:xfrm>
      <a:off x="0" y="0"/>
      <a:ext cx="0" cy="0"/>
    </a:xfrm>
    <a:prstGeom prst="rect">
      <a:avLst/>
    </a:prstGeom>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a:solidFill>
                  <a:schemeClr val="tx2"/>
                </a:solidFill>
                <a:latin typeface="+mn-lt"/>
                <a:ea typeface="+mn-ea"/>
                <a:cs typeface="+mn-cs"/>
              </a:defRPr>
            </a:pPr>
            <a:r>
              <a:rPr lang="en-US" sz="1800" b="1" i="0"/>
              <a:t>Répartition des gaz médicaux par émissions totales liées à leur consommation</a:t>
            </a:r>
            <a:endParaRPr lang="en-US"/>
          </a:p>
          <a:p>
            <a:pPr>
              <a:defRPr sz="1600" b="1" i="0" u="none" strike="noStrike">
                <a:solidFill>
                  <a:schemeClr val="tx2"/>
                </a:solidFill>
                <a:latin typeface="+mn-lt"/>
                <a:ea typeface="+mn-ea"/>
                <a:cs typeface="+mn-cs"/>
              </a:defRPr>
            </a:pPr>
            <a:endParaRPr lang="en-US"/>
          </a:p>
        </c:rich>
      </c:tx>
      <c:overlay val="0"/>
      <c:spPr>
        <a:prstGeom prst="rect">
          <a:avLst/>
        </a:prstGeom>
        <a:noFill/>
        <a:ln>
          <a:noFill/>
        </a:ln>
        <a:effectLst/>
      </c:spPr>
    </c:title>
    <c:autoTitleDeleted val="0"/>
    <c:plotArea>
      <c:layout/>
      <c:pieChart>
        <c:varyColors val="1"/>
        <c:ser>
          <c:idx val="0"/>
          <c:order val="0"/>
          <c:dPt>
            <c:idx val="0"/>
            <c:bubble3D val="0"/>
            <c:spPr>
              <a:prstGeom prst="rect">
                <a:avLst/>
              </a:prstGeom>
              <a:gradFill>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8F89-4A05-8910-762580D5386B}"/>
              </c:ext>
            </c:extLst>
          </c:dPt>
          <c:dPt>
            <c:idx val="1"/>
            <c:bubble3D val="0"/>
            <c:spPr>
              <a:prstGeom prst="rect">
                <a:avLst/>
              </a:prstGeom>
              <a:gradFill>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8F89-4A05-8910-762580D5386B}"/>
              </c:ext>
            </c:extLst>
          </c:dPt>
          <c:dPt>
            <c:idx val="2"/>
            <c:bubble3D val="0"/>
            <c:spPr>
              <a:prstGeom prst="rect">
                <a:avLst/>
              </a:prstGeom>
              <a:gradFill>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8F89-4A05-8910-762580D5386B}"/>
              </c:ext>
            </c:extLst>
          </c:dPt>
          <c:dPt>
            <c:idx val="3"/>
            <c:bubble3D val="0"/>
            <c:spPr>
              <a:prstGeom prst="rect">
                <a:avLst/>
              </a:prstGeom>
              <a:gradFill>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8F89-4A05-8910-762580D5386B}"/>
              </c:ext>
            </c:extLst>
          </c:dPt>
          <c:dPt>
            <c:idx val="4"/>
            <c:bubble3D val="0"/>
            <c:spPr>
              <a:prstGeom prst="rect">
                <a:avLst/>
              </a:prstGeom>
              <a:gradFill>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8F89-4A05-8910-762580D5386B}"/>
              </c:ext>
            </c:extLst>
          </c:dPt>
          <c:dLbls>
            <c:dLbl>
              <c:idx val="0"/>
              <c:spPr>
                <a:noFill/>
                <a:ln>
                  <a:noFill/>
                </a:ln>
                <a:effectLst/>
              </c:spPr>
              <c:txPr>
                <a:bodyPr rot="0" spcFirstLastPara="1" vertOverflow="ellipsis" vert="horz" wrap="square" lIns="38099" tIns="19049" rIns="38099" bIns="19049" anchor="ctr" anchorCtr="1">
                  <a:spAutoFit/>
                </a:bodyPr>
                <a:lstStyle/>
                <a:p>
                  <a:pPr>
                    <a:defRPr sz="900" b="0" i="0" u="none" strike="noStrike">
                      <a:solidFill>
                        <a:schemeClr val="tx2"/>
                      </a:solidFill>
                      <a:latin typeface="+mn-lt"/>
                      <a:ea typeface="+mn-ea"/>
                      <a:cs typeface="+mn-cs"/>
                    </a:defRPr>
                  </a:pPr>
                  <a:endParaRPr lang="fr-FR"/>
                </a:p>
              </c:txPr>
              <c:dLblPos val="ct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F89-4A05-8910-762580D5386B}"/>
                </c:ext>
              </c:extLst>
            </c:dLbl>
            <c:dLbl>
              <c:idx val="1"/>
              <c:spPr>
                <a:noFill/>
                <a:ln>
                  <a:noFill/>
                  <a:bevel/>
                </a:ln>
                <a:effectLst/>
              </c:spPr>
              <c:txPr>
                <a:bodyPr rot="0" spcFirstLastPara="1" vertOverflow="ellipsis" vert="horz" wrap="square" lIns="38099" tIns="19049" rIns="38099" bIns="19049" anchor="ctr" anchorCtr="1">
                  <a:spAutoFit/>
                </a:bodyPr>
                <a:lstStyle/>
                <a:p>
                  <a:pPr>
                    <a:defRPr sz="900" b="0" i="0" u="none" strike="noStrike">
                      <a:solidFill>
                        <a:schemeClr val="tx2"/>
                      </a:solidFill>
                      <a:latin typeface="+mn-lt"/>
                      <a:ea typeface="+mn-ea"/>
                      <a:cs typeface="+mn-cs"/>
                    </a:defRPr>
                  </a:pPr>
                  <a:endParaRPr lang="fr-FR"/>
                </a:p>
              </c:txPr>
              <c:dLblPos val="ct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8F89-4A05-8910-762580D5386B}"/>
                </c:ext>
              </c:extLst>
            </c:dLbl>
            <c:dLbl>
              <c:idx val="2"/>
              <c:spPr>
                <a:noFill/>
                <a:ln>
                  <a:noFill/>
                </a:ln>
                <a:effectLst/>
              </c:spPr>
              <c:txPr>
                <a:bodyPr rot="0" spcFirstLastPara="1" vertOverflow="ellipsis" vert="horz" wrap="square" lIns="38099" tIns="19049" rIns="38099" bIns="19049" anchor="ctr" anchorCtr="1">
                  <a:spAutoFit/>
                </a:bodyPr>
                <a:lstStyle/>
                <a:p>
                  <a:pPr>
                    <a:defRPr sz="900" b="0" i="0" u="none" strike="noStrike">
                      <a:solidFill>
                        <a:schemeClr val="tx2"/>
                      </a:solidFill>
                      <a:latin typeface="+mn-lt"/>
                      <a:ea typeface="+mn-ea"/>
                      <a:cs typeface="+mn-cs"/>
                    </a:defRPr>
                  </a:pPr>
                  <a:endParaRPr lang="fr-FR"/>
                </a:p>
              </c:txPr>
              <c:dLblPos val="ct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8F89-4A05-8910-762580D5386B}"/>
                </c:ext>
              </c:extLst>
            </c:dLbl>
            <c:dLbl>
              <c:idx val="3"/>
              <c:spPr>
                <a:noFill/>
                <a:ln>
                  <a:noFill/>
                </a:ln>
                <a:effectLst/>
              </c:spPr>
              <c:txPr>
                <a:bodyPr rot="0" spcFirstLastPara="1" vertOverflow="ellipsis" vert="horz" wrap="square" lIns="38099" tIns="19049" rIns="38099" bIns="19049" anchor="ctr" anchorCtr="1">
                  <a:spAutoFit/>
                </a:bodyPr>
                <a:lstStyle/>
                <a:p>
                  <a:pPr>
                    <a:defRPr sz="900" b="0" i="0" u="none" strike="noStrike">
                      <a:solidFill>
                        <a:schemeClr val="tx2"/>
                      </a:solidFill>
                      <a:latin typeface="+mn-lt"/>
                      <a:ea typeface="+mn-ea"/>
                      <a:cs typeface="+mn-cs"/>
                    </a:defRPr>
                  </a:pPr>
                  <a:endParaRPr lang="fr-FR"/>
                </a:p>
              </c:txPr>
              <c:dLblPos val="ct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8F89-4A05-8910-762580D5386B}"/>
                </c:ext>
              </c:extLst>
            </c:dLbl>
            <c:dLbl>
              <c:idx val="4"/>
              <c:spPr>
                <a:noFill/>
                <a:ln>
                  <a:noFill/>
                </a:ln>
                <a:effectLst/>
              </c:spPr>
              <c:txPr>
                <a:bodyPr rot="0" spcFirstLastPara="1" vertOverflow="ellipsis" vert="horz" wrap="square" lIns="38099" tIns="19049" rIns="38099" bIns="19049" anchor="ctr" anchorCtr="1">
                  <a:spAutoFit/>
                </a:bodyPr>
                <a:lstStyle/>
                <a:p>
                  <a:pPr>
                    <a:defRPr sz="900" b="0" i="0" u="none" strike="noStrike">
                      <a:solidFill>
                        <a:schemeClr val="tx2"/>
                      </a:solidFill>
                      <a:latin typeface="+mn-lt"/>
                      <a:ea typeface="+mn-ea"/>
                      <a:cs typeface="+mn-cs"/>
                    </a:defRPr>
                  </a:pPr>
                  <a:endParaRPr lang="fr-FR"/>
                </a:p>
              </c:txPr>
              <c:dLblPos val="ct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8F89-4A05-8910-762580D538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2"/>
                    </a:solidFill>
                    <a:latin typeface="+mn-lt"/>
                    <a:ea typeface="+mn-ea"/>
                    <a:cs typeface="+mn-cs"/>
                  </a:defRPr>
                </a:pPr>
                <a:endParaRPr lang="fr-FR"/>
              </a:p>
            </c:txPr>
            <c:dLblPos val="ctr"/>
            <c:showLegendKey val="0"/>
            <c:showVal val="0"/>
            <c:showCatName val="0"/>
            <c:showSerName val="0"/>
            <c:showPercent val="1"/>
            <c:showBubbleSize val="0"/>
            <c:showLeaderLines val="1"/>
            <c:leaderLines>
              <c:spPr>
                <a:prstGeom prst="rect">
                  <a:avLst/>
                </a:prstGeom>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c15:spPr>
              </c:ext>
            </c:extLst>
          </c:dLbls>
          <c:cat>
            <c:strRef>
              <c:f>'4'!$B$43:$B$47</c:f>
              <c:strCache>
                <c:ptCount val="5"/>
                <c:pt idx="0">
                  <c:v>DESFLURANE</c:v>
                </c:pt>
                <c:pt idx="1">
                  <c:v>ISOFLURANE </c:v>
                </c:pt>
                <c:pt idx="2">
                  <c:v>Protoxyde d'azote </c:v>
                </c:pt>
                <c:pt idx="3">
                  <c:v>MEOPA</c:v>
                </c:pt>
                <c:pt idx="4">
                  <c:v>SEVOFLURANE</c:v>
                </c:pt>
              </c:strCache>
            </c:strRef>
          </c:cat>
          <c:val>
            <c:numRef>
              <c:f>'4'!$E$43:$E$47</c:f>
              <c:numCache>
                <c:formatCode>General</c:formatCode>
                <c:ptCount val="5"/>
                <c:pt idx="0">
                  <c:v>9.3053001599999977E-2</c:v>
                </c:pt>
                <c:pt idx="1">
                  <c:v>2.275875E-4</c:v>
                </c:pt>
                <c:pt idx="2">
                  <c:v>2.2701913342198579E-2</c:v>
                </c:pt>
                <c:pt idx="3">
                  <c:v>2.2961083589250003E-2</c:v>
                </c:pt>
                <c:pt idx="4">
                  <c:v>2.7287473200000002E-2</c:v>
                </c:pt>
              </c:numCache>
            </c:numRef>
          </c:val>
          <c:extLst>
            <c:ext xmlns:c16="http://schemas.microsoft.com/office/drawing/2014/chart" uri="{C3380CC4-5D6E-409C-BE32-E72D297353CC}">
              <c16:uniqueId val="{0000000A-8F89-4A05-8910-762580D5386B}"/>
            </c:ext>
          </c:extLst>
        </c:ser>
        <c:dLbls>
          <c:dLblPos val="ctr"/>
          <c:showLegendKey val="0"/>
          <c:showVal val="0"/>
          <c:showCatName val="0"/>
          <c:showSerName val="0"/>
          <c:showPercent val="1"/>
          <c:showBubbleSize val="0"/>
          <c:showLeaderLines val="1"/>
        </c:dLbls>
        <c:firstSliceAng val="0"/>
      </c:pieChart>
      <c:spPr>
        <a:prstGeom prst="rect">
          <a:avLst/>
        </a:prstGeom>
        <a:noFill/>
        <a:ln>
          <a:noFill/>
        </a:ln>
        <a:effectLst/>
      </c:spPr>
    </c:plotArea>
    <c:legend>
      <c:legendPos val="b"/>
      <c:overlay val="0"/>
      <c:spPr>
        <a:prstGeom prst="rect">
          <a:avLst/>
        </a:prstGeom>
        <a:noFill/>
        <a:ln>
          <a:noFill/>
        </a:ln>
        <a:effectLst/>
      </c:spPr>
      <c:txPr>
        <a:bodyPr rot="0" spcFirstLastPara="1" vertOverflow="ellipsis" vert="horz" wrap="square" anchor="ctr" anchorCtr="1"/>
        <a:lstStyle/>
        <a:p>
          <a:pPr>
            <a:defRPr sz="900" b="0" i="0" u="none" strike="noStrike">
              <a:solidFill>
                <a:schemeClr val="tx2"/>
              </a:solidFill>
              <a:latin typeface="+mn-lt"/>
              <a:ea typeface="+mn-ea"/>
              <a:cs typeface="+mn-cs"/>
            </a:defRPr>
          </a:pPr>
          <a:endParaRPr lang="fr-FR"/>
        </a:p>
      </c:txPr>
    </c:legend>
    <c:plotVisOnly val="1"/>
    <c:dispBlanksAs val="gap"/>
    <c:showDLblsOverMax val="0"/>
  </c:chart>
  <c:spPr>
    <a:xfrm>
      <a:off x="0" y="0"/>
      <a:ext cx="0" cy="0"/>
    </a:xfrm>
    <a:prstGeom prst="rect">
      <a:avLst/>
    </a:prstGeom>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spc="0">
                <a:solidFill>
                  <a:schemeClr val="tx1">
                    <a:lumMod val="65000"/>
                    <a:lumOff val="35000"/>
                  </a:schemeClr>
                </a:solidFill>
                <a:latin typeface="+mn-lt"/>
                <a:ea typeface="+mn-ea"/>
                <a:cs typeface="+mn-cs"/>
              </a:defRPr>
            </a:pPr>
            <a:r>
              <a:rPr lang="fr-FR"/>
              <a:t>Répartition des émissions directes fugitives</a:t>
            </a:r>
            <a:endParaRPr/>
          </a:p>
        </c:rich>
      </c:tx>
      <c:overlay val="0"/>
      <c:spPr>
        <a:prstGeom prst="rect">
          <a:avLst/>
        </a:prstGeom>
        <a:noFill/>
        <a:ln>
          <a:noFill/>
        </a:ln>
      </c:spPr>
    </c:title>
    <c:autoTitleDeleted val="0"/>
    <c:plotArea>
      <c:layout/>
      <c:pieChart>
        <c:varyColors val="1"/>
        <c:ser>
          <c:idx val="0"/>
          <c:order val="0"/>
          <c:tx>
            <c:strRef>
              <c:f>'4'!$C$30</c:f>
              <c:strCache>
                <c:ptCount val="1"/>
                <c:pt idx="0">
                  <c:v>Émission (MtC02)</c:v>
                </c:pt>
              </c:strCache>
            </c:strRef>
          </c:tx>
          <c:dPt>
            <c:idx val="0"/>
            <c:bubble3D val="0"/>
            <c:spPr>
              <a:prstGeom prst="rect">
                <a:avLst/>
              </a:prstGeom>
              <a:solidFill>
                <a:schemeClr val="accent1"/>
              </a:solidFill>
              <a:ln w="19050">
                <a:solidFill>
                  <a:schemeClr val="lt1"/>
                </a:solidFill>
              </a:ln>
            </c:spPr>
            <c:extLst>
              <c:ext xmlns:c16="http://schemas.microsoft.com/office/drawing/2014/chart" uri="{C3380CC4-5D6E-409C-BE32-E72D297353CC}">
                <c16:uniqueId val="{00000001-CCB3-40B7-9F41-9C627672FD2D}"/>
              </c:ext>
            </c:extLst>
          </c:dPt>
          <c:dPt>
            <c:idx val="1"/>
            <c:bubble3D val="0"/>
            <c:spPr>
              <a:prstGeom prst="rect">
                <a:avLst/>
              </a:prstGeom>
              <a:solidFill>
                <a:schemeClr val="accent2"/>
              </a:solidFill>
              <a:ln w="19050">
                <a:solidFill>
                  <a:schemeClr val="lt1"/>
                </a:solidFill>
              </a:ln>
            </c:spPr>
            <c:extLst>
              <c:ext xmlns:c16="http://schemas.microsoft.com/office/drawing/2014/chart" uri="{C3380CC4-5D6E-409C-BE32-E72D297353CC}">
                <c16:uniqueId val="{00000003-CCB3-40B7-9F41-9C627672FD2D}"/>
              </c:ext>
            </c:extLst>
          </c:dPt>
          <c:cat>
            <c:strRef>
              <c:f>'4'!$B$31:$B$33</c:f>
              <c:strCache>
                <c:ptCount val="3"/>
                <c:pt idx="0">
                  <c:v>Emissions dues aux gaz médicaux</c:v>
                </c:pt>
                <c:pt idx="1">
                  <c:v>Emissions dues aux inhalateurs</c:v>
                </c:pt>
                <c:pt idx="2">
                  <c:v>Emissions dues aux fuites de fluides frigorifiques</c:v>
                </c:pt>
              </c:strCache>
            </c:strRef>
          </c:cat>
          <c:val>
            <c:numRef>
              <c:f>'4'!$C$31:$C$33</c:f>
              <c:numCache>
                <c:formatCode>General</c:formatCode>
                <c:ptCount val="3"/>
                <c:pt idx="0">
                  <c:v>0.2720397736501261</c:v>
                </c:pt>
                <c:pt idx="1">
                  <c:v>0.31</c:v>
                </c:pt>
                <c:pt idx="2">
                  <c:v>0.45998027976488076</c:v>
                </c:pt>
              </c:numCache>
            </c:numRef>
          </c:val>
          <c:extLst>
            <c:ext xmlns:c16="http://schemas.microsoft.com/office/drawing/2014/chart" uri="{C3380CC4-5D6E-409C-BE32-E72D297353CC}">
              <c16:uniqueId val="{00000004-CCB3-40B7-9F41-9C627672FD2D}"/>
            </c:ext>
          </c:extLst>
        </c:ser>
        <c:dLbls>
          <c:showLegendKey val="0"/>
          <c:showVal val="0"/>
          <c:showCatName val="0"/>
          <c:showSerName val="0"/>
          <c:showPercent val="0"/>
          <c:showBubbleSize val="0"/>
          <c:showLeaderLines val="0"/>
        </c:dLbls>
        <c:firstSliceAng val="0"/>
      </c:pieChart>
      <c:spPr>
        <a:prstGeom prst="rect">
          <a:avLst/>
        </a:prstGeom>
        <a:noFill/>
        <a:ln>
          <a:noFill/>
          <a:miter/>
        </a:ln>
      </c:spPr>
    </c:plotArea>
    <c:legend>
      <c:legendPos val="b"/>
      <c:overlay val="0"/>
      <c:spPr>
        <a:prstGeom prst="rect">
          <a:avLst/>
        </a:prstGeom>
        <a:noFill/>
        <a:ln>
          <a:noFill/>
        </a:ln>
        <a:effectLst/>
      </c:spPr>
      <c:txPr>
        <a:bodyPr rot="0" spcFirstLastPara="1" vertOverflow="ellipsis" vert="horz" wrap="square" anchor="ctr" anchorCtr="1"/>
        <a:lstStyle/>
        <a:p>
          <a:pPr>
            <a:defRPr sz="900">
              <a:solidFill>
                <a:schemeClr val="tx1">
                  <a:lumMod val="65000"/>
                  <a:lumOff val="35000"/>
                </a:schemeClr>
              </a:solidFill>
              <a:latin typeface="+mn-lt"/>
              <a:ea typeface="+mn-ea"/>
              <a:cs typeface="+mn-cs"/>
            </a:defRPr>
          </a:pPr>
          <a:endParaRPr lang="fr-FR"/>
        </a:p>
      </c:txPr>
    </c:legend>
    <c:plotVisOnly val="1"/>
    <c:dispBlanksAs val="gap"/>
    <c:showDLblsOverMax val="0"/>
  </c:chart>
  <c:spPr>
    <a:xfrm>
      <a:off x="0" y="0"/>
      <a:ext cx="0" cy="0"/>
    </a:xfrm>
    <a:prstGeom prst="rect">
      <a:avLst/>
    </a:prstGeom>
    <a:solidFill>
      <a:schemeClr val="bg1"/>
    </a:solidFill>
    <a:ln w="9525" cap="flat" cmpd="sng" algn="ctr">
      <a:solidFill>
        <a:schemeClr val="tx1">
          <a:lumMod val="15000"/>
          <a:lumOff val="85000"/>
        </a:schemeClr>
      </a:solidFill>
      <a:round/>
    </a:ln>
  </c:spPr>
  <c:txPr>
    <a:bodyPr/>
    <a:lstStyle/>
    <a:p>
      <a:pPr>
        <a:defRPr sz="900">
          <a:solidFill>
            <a:schemeClr val="tx1"/>
          </a:solidFill>
          <a:latin typeface="+mn-lt"/>
          <a:ea typeface="+mn-ea"/>
          <a:cs typeface="+mn-cs"/>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a:solidFill>
                  <a:schemeClr val="tx2"/>
                </a:solidFill>
                <a:latin typeface="+mn-lt"/>
                <a:ea typeface="+mn-ea"/>
                <a:cs typeface="+mn-cs"/>
              </a:defRPr>
            </a:pPr>
            <a:r>
              <a:rPr lang="fr-FR"/>
              <a:t>Répartition des quantités de déchets produites par type de déchet</a:t>
            </a:r>
            <a:endParaRPr/>
          </a:p>
        </c:rich>
      </c:tx>
      <c:overlay val="0"/>
      <c:spPr>
        <a:prstGeom prst="rect">
          <a:avLst/>
        </a:prstGeom>
        <a:noFill/>
        <a:ln>
          <a:noFill/>
        </a:ln>
        <a:effectLst/>
      </c:spPr>
    </c:title>
    <c:autoTitleDeleted val="0"/>
    <c:plotArea>
      <c:layout/>
      <c:pieChart>
        <c:varyColors val="1"/>
        <c:ser>
          <c:idx val="0"/>
          <c:order val="0"/>
          <c:dPt>
            <c:idx val="0"/>
            <c:bubble3D val="0"/>
            <c:spPr>
              <a:prstGeom prst="rect">
                <a:avLst/>
              </a:prstGeom>
              <a:gradFill>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5F7D-49D3-A02F-17AF09196EDB}"/>
              </c:ext>
            </c:extLst>
          </c:dPt>
          <c:dPt>
            <c:idx val="1"/>
            <c:bubble3D val="0"/>
            <c:spPr>
              <a:prstGeom prst="rect">
                <a:avLst/>
              </a:prstGeom>
              <a:gradFill>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5F7D-49D3-A02F-17AF09196ED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a:solidFill>
                      <a:schemeClr val="tx2"/>
                    </a:solidFill>
                    <a:latin typeface="+mn-lt"/>
                    <a:ea typeface="+mn-ea"/>
                    <a:cs typeface="+mn-cs"/>
                  </a:defRPr>
                </a:pPr>
                <a:endParaRPr lang="fr-FR"/>
              </a:p>
            </c:txPr>
            <c:dLblPos val="ctr"/>
            <c:showLegendKey val="0"/>
            <c:showVal val="0"/>
            <c:showCatName val="0"/>
            <c:showSerName val="0"/>
            <c:showPercent val="1"/>
            <c:showBubbleSize val="0"/>
            <c:showLeaderLines val="1"/>
            <c:leaderLines>
              <c:spPr>
                <a:prstGeom prst="rect">
                  <a:avLst/>
                </a:prstGeom>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c15:spPr>
              </c:ext>
            </c:extLst>
          </c:dLbls>
          <c:cat>
            <c:strRef>
              <c:f>'11'!$B$29:$B$30</c:f>
              <c:strCache>
                <c:ptCount val="2"/>
                <c:pt idx="0">
                  <c:v>DAOM</c:v>
                </c:pt>
                <c:pt idx="1">
                  <c:v>DASRI</c:v>
                </c:pt>
              </c:strCache>
            </c:strRef>
          </c:cat>
          <c:val>
            <c:numRef>
              <c:f>'11'!$C$29:$C$30</c:f>
              <c:numCache>
                <c:formatCode>#,##0</c:formatCode>
                <c:ptCount val="2"/>
                <c:pt idx="0">
                  <c:v>575904.43700000003</c:v>
                </c:pt>
                <c:pt idx="1">
                  <c:v>172717.85800000001</c:v>
                </c:pt>
              </c:numCache>
            </c:numRef>
          </c:val>
          <c:extLst>
            <c:ext xmlns:c16="http://schemas.microsoft.com/office/drawing/2014/chart" uri="{C3380CC4-5D6E-409C-BE32-E72D297353CC}">
              <c16:uniqueId val="{00000004-5F7D-49D3-A02F-17AF09196EDB}"/>
            </c:ext>
          </c:extLst>
        </c:ser>
        <c:dLbls>
          <c:dLblPos val="ctr"/>
          <c:showLegendKey val="0"/>
          <c:showVal val="0"/>
          <c:showCatName val="0"/>
          <c:showSerName val="0"/>
          <c:showPercent val="1"/>
          <c:showBubbleSize val="0"/>
          <c:showLeaderLines val="1"/>
        </c:dLbls>
        <c:firstSliceAng val="0"/>
      </c:pieChart>
      <c:spPr>
        <a:prstGeom prst="rect">
          <a:avLst/>
        </a:prstGeom>
        <a:noFill/>
        <a:ln>
          <a:noFill/>
        </a:ln>
        <a:effectLst/>
      </c:spPr>
    </c:plotArea>
    <c:legend>
      <c:legendPos val="b"/>
      <c:overlay val="0"/>
      <c:spPr>
        <a:prstGeom prst="rect">
          <a:avLst/>
        </a:prstGeom>
        <a:noFill/>
        <a:ln>
          <a:noFill/>
        </a:ln>
        <a:effectLst/>
      </c:spPr>
      <c:txPr>
        <a:bodyPr rot="0" spcFirstLastPara="1" vertOverflow="ellipsis" vert="horz" wrap="square" anchor="ctr" anchorCtr="1"/>
        <a:lstStyle/>
        <a:p>
          <a:pPr>
            <a:defRPr sz="900" b="0" i="0" u="none" strike="noStrike">
              <a:solidFill>
                <a:schemeClr val="tx2"/>
              </a:solidFill>
              <a:latin typeface="+mn-lt"/>
              <a:ea typeface="+mn-ea"/>
              <a:cs typeface="+mn-cs"/>
            </a:defRPr>
          </a:pPr>
          <a:endParaRPr lang="fr-FR"/>
        </a:p>
      </c:txPr>
    </c:legend>
    <c:plotVisOnly val="1"/>
    <c:dispBlanksAs val="gap"/>
    <c:showDLblsOverMax val="0"/>
  </c:chart>
  <c:spPr>
    <a:xfrm>
      <a:off x="0" y="0"/>
      <a:ext cx="0" cy="0"/>
    </a:xfrm>
    <a:prstGeom prst="rect">
      <a:avLst/>
    </a:prstGeom>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a:solidFill>
                  <a:schemeClr val="tx2"/>
                </a:solidFill>
                <a:latin typeface="+mn-lt"/>
                <a:ea typeface="+mn-ea"/>
                <a:cs typeface="+mn-cs"/>
              </a:defRPr>
            </a:pPr>
            <a:r>
              <a:rPr lang="fr-FR" sz="1800" b="1" i="0"/>
              <a:t>Répartition des émissions par type de déchet traité</a:t>
            </a:r>
            <a:endParaRPr lang="fr-FR"/>
          </a:p>
        </c:rich>
      </c:tx>
      <c:overlay val="0"/>
      <c:spPr>
        <a:prstGeom prst="rect">
          <a:avLst/>
        </a:prstGeom>
        <a:noFill/>
        <a:ln>
          <a:noFill/>
        </a:ln>
        <a:effectLst/>
      </c:spPr>
    </c:title>
    <c:autoTitleDeleted val="0"/>
    <c:plotArea>
      <c:layout/>
      <c:pieChart>
        <c:varyColors val="1"/>
        <c:ser>
          <c:idx val="0"/>
          <c:order val="0"/>
          <c:dPt>
            <c:idx val="0"/>
            <c:bubble3D val="0"/>
            <c:spPr>
              <a:prstGeom prst="rect">
                <a:avLst/>
              </a:prstGeom>
              <a:gradFill>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6052-4C8F-A9DE-7FB6D8279121}"/>
              </c:ext>
            </c:extLst>
          </c:dPt>
          <c:dPt>
            <c:idx val="1"/>
            <c:bubble3D val="0"/>
            <c:spPr>
              <a:prstGeom prst="rect">
                <a:avLst/>
              </a:prstGeom>
              <a:gradFill>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6052-4C8F-A9DE-7FB6D827912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a:solidFill>
                      <a:schemeClr val="tx2"/>
                    </a:solidFill>
                    <a:latin typeface="+mn-lt"/>
                    <a:ea typeface="+mn-ea"/>
                    <a:cs typeface="+mn-cs"/>
                  </a:defRPr>
                </a:pPr>
                <a:endParaRPr lang="fr-FR"/>
              </a:p>
            </c:txPr>
            <c:dLblPos val="ctr"/>
            <c:showLegendKey val="0"/>
            <c:showVal val="0"/>
            <c:showCatName val="0"/>
            <c:showSerName val="0"/>
            <c:showPercent val="1"/>
            <c:showBubbleSize val="0"/>
            <c:showLeaderLines val="1"/>
            <c:leaderLines>
              <c:spPr>
                <a:prstGeom prst="rect">
                  <a:avLst/>
                </a:prstGeom>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c15:spPr>
              </c:ext>
            </c:extLst>
          </c:dLbls>
          <c:cat>
            <c:strRef>
              <c:f>'11'!$B$29:$B$30</c:f>
              <c:strCache>
                <c:ptCount val="2"/>
                <c:pt idx="0">
                  <c:v>DAOM</c:v>
                </c:pt>
                <c:pt idx="1">
                  <c:v>DASRI</c:v>
                </c:pt>
              </c:strCache>
            </c:strRef>
          </c:cat>
          <c:val>
            <c:numRef>
              <c:f>'11'!$E$29:$E$30</c:f>
              <c:numCache>
                <c:formatCode>General</c:formatCode>
                <c:ptCount val="2"/>
                <c:pt idx="0">
                  <c:v>0.21538825943800002</c:v>
                </c:pt>
                <c:pt idx="1">
                  <c:v>0.16287294009400002</c:v>
                </c:pt>
              </c:numCache>
            </c:numRef>
          </c:val>
          <c:extLst>
            <c:ext xmlns:c16="http://schemas.microsoft.com/office/drawing/2014/chart" uri="{C3380CC4-5D6E-409C-BE32-E72D297353CC}">
              <c16:uniqueId val="{00000004-6052-4C8F-A9DE-7FB6D8279121}"/>
            </c:ext>
          </c:extLst>
        </c:ser>
        <c:dLbls>
          <c:dLblPos val="ctr"/>
          <c:showLegendKey val="0"/>
          <c:showVal val="0"/>
          <c:showCatName val="0"/>
          <c:showSerName val="0"/>
          <c:showPercent val="1"/>
          <c:showBubbleSize val="0"/>
          <c:showLeaderLines val="1"/>
        </c:dLbls>
        <c:firstSliceAng val="0"/>
      </c:pieChart>
      <c:spPr>
        <a:prstGeom prst="rect">
          <a:avLst/>
        </a:prstGeom>
        <a:noFill/>
        <a:ln>
          <a:noFill/>
        </a:ln>
        <a:effectLst/>
      </c:spPr>
    </c:plotArea>
    <c:legend>
      <c:legendPos val="b"/>
      <c:overlay val="0"/>
      <c:spPr>
        <a:prstGeom prst="rect">
          <a:avLst/>
        </a:prstGeom>
        <a:noFill/>
        <a:ln>
          <a:noFill/>
        </a:ln>
        <a:effectLst/>
      </c:spPr>
      <c:txPr>
        <a:bodyPr rot="0" spcFirstLastPara="1" vertOverflow="ellipsis" vert="horz" wrap="square" anchor="ctr" anchorCtr="1"/>
        <a:lstStyle/>
        <a:p>
          <a:pPr>
            <a:defRPr sz="900" b="0" i="0" u="none" strike="noStrike">
              <a:solidFill>
                <a:schemeClr val="tx2"/>
              </a:solidFill>
              <a:latin typeface="+mn-lt"/>
              <a:ea typeface="+mn-ea"/>
              <a:cs typeface="+mn-cs"/>
            </a:defRPr>
          </a:pPr>
          <a:endParaRPr lang="fr-FR"/>
        </a:p>
      </c:txPr>
    </c:legend>
    <c:plotVisOnly val="1"/>
    <c:dispBlanksAs val="gap"/>
    <c:showDLblsOverMax val="0"/>
  </c:chart>
  <c:spPr>
    <a:xfrm>
      <a:off x="0" y="0"/>
      <a:ext cx="0" cy="0"/>
    </a:xfrm>
    <a:prstGeom prst="rect">
      <a:avLst/>
    </a:prstGeom>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a:solidFill>
                  <a:schemeClr val="tx2"/>
                </a:solidFill>
                <a:latin typeface="+mn-lt"/>
                <a:ea typeface="+mn-ea"/>
                <a:cs typeface="+mn-cs"/>
              </a:defRPr>
            </a:pPr>
            <a:r>
              <a:rPr lang="fr-FR" sz="1300"/>
              <a:t>Part des émissions par type de combustible</a:t>
            </a:r>
            <a:endParaRPr lang="fr-FR"/>
          </a:p>
        </c:rich>
      </c:tx>
      <c:overlay val="0"/>
      <c:spPr>
        <a:prstGeom prst="rect">
          <a:avLst/>
        </a:prstGeom>
        <a:noFill/>
        <a:ln>
          <a:noFill/>
        </a:ln>
        <a:effectLst/>
      </c:spPr>
    </c:title>
    <c:autoTitleDeleted val="0"/>
    <c:plotArea>
      <c:layout/>
      <c:doughnutChart>
        <c:varyColors val="1"/>
        <c:ser>
          <c:idx val="0"/>
          <c:order val="0"/>
          <c:dPt>
            <c:idx val="0"/>
            <c:bubble3D val="0"/>
            <c:spPr>
              <a:prstGeom prst="rect">
                <a:avLst/>
              </a:prstGeom>
              <a:gradFill>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59FA-4126-98EA-0DBD1A702555}"/>
              </c:ext>
            </c:extLst>
          </c:dPt>
          <c:dPt>
            <c:idx val="1"/>
            <c:bubble3D val="0"/>
            <c:spPr>
              <a:prstGeom prst="rect">
                <a:avLst/>
              </a:prstGeom>
              <a:gradFill>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59FA-4126-98EA-0DBD1A702555}"/>
              </c:ext>
            </c:extLst>
          </c:dPt>
          <c:dPt>
            <c:idx val="2"/>
            <c:bubble3D val="0"/>
            <c:spPr>
              <a:prstGeom prst="rect">
                <a:avLst/>
              </a:prstGeom>
              <a:gradFill>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59FA-4126-98EA-0DBD1A70255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2"/>
                    </a:solidFill>
                    <a:latin typeface="+mn-lt"/>
                    <a:ea typeface="+mn-ea"/>
                    <a:cs typeface="+mn-cs"/>
                  </a:defRPr>
                </a:pPr>
                <a:endParaRPr lang="fr-FR"/>
              </a:p>
            </c:txPr>
            <c:showLegendKey val="0"/>
            <c:showVal val="0"/>
            <c:showCatName val="0"/>
            <c:showSerName val="0"/>
            <c:showPercent val="1"/>
            <c:showBubbleSize val="0"/>
            <c:showLeaderLines val="1"/>
            <c:leaderLines>
              <c:spPr>
                <a:prstGeom prst="rect">
                  <a:avLst/>
                </a:prstGeom>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c15:spPr>
              </c:ext>
            </c:extLst>
          </c:dLbls>
          <c:cat>
            <c:strRef>
              <c:f>'1'!$G$28:$I$28</c:f>
              <c:strCache>
                <c:ptCount val="3"/>
                <c:pt idx="0">
                  <c:v>Gaz</c:v>
                </c:pt>
                <c:pt idx="1">
                  <c:v>Fioul</c:v>
                </c:pt>
                <c:pt idx="2">
                  <c:v>Autres combustibles</c:v>
                </c:pt>
              </c:strCache>
            </c:strRef>
          </c:cat>
          <c:val>
            <c:numRef>
              <c:f>'1'!$G$36:$I$36</c:f>
              <c:numCache>
                <c:formatCode>#,##0.00</c:formatCode>
                <c:ptCount val="3"/>
                <c:pt idx="0">
                  <c:v>2.4750596028927081</c:v>
                </c:pt>
                <c:pt idx="1">
                  <c:v>1.6961442718103354</c:v>
                </c:pt>
                <c:pt idx="2">
                  <c:v>7.6107838610672315E-2</c:v>
                </c:pt>
              </c:numCache>
            </c:numRef>
          </c:val>
          <c:extLst>
            <c:ext xmlns:c16="http://schemas.microsoft.com/office/drawing/2014/chart" uri="{C3380CC4-5D6E-409C-BE32-E72D297353CC}">
              <c16:uniqueId val="{00000006-59FA-4126-98EA-0DBD1A702555}"/>
            </c:ext>
          </c:extLst>
        </c:ser>
        <c:dLbls>
          <c:showLegendKey val="0"/>
          <c:showVal val="0"/>
          <c:showCatName val="0"/>
          <c:showSerName val="0"/>
          <c:showPercent val="1"/>
          <c:showBubbleSize val="0"/>
          <c:showLeaderLines val="1"/>
        </c:dLbls>
        <c:firstSliceAng val="0"/>
        <c:holeSize val="50"/>
      </c:doughnutChart>
      <c:spPr>
        <a:prstGeom prst="rect">
          <a:avLst/>
        </a:prstGeom>
        <a:noFill/>
        <a:ln>
          <a:noFill/>
        </a:ln>
        <a:effectLst/>
      </c:spPr>
    </c:plotArea>
    <c:legend>
      <c:legendPos val="b"/>
      <c:overlay val="0"/>
      <c:spPr>
        <a:prstGeom prst="rect">
          <a:avLst/>
        </a:prstGeom>
        <a:noFill/>
        <a:ln>
          <a:noFill/>
        </a:ln>
        <a:effectLst/>
      </c:spPr>
      <c:txPr>
        <a:bodyPr rot="0" spcFirstLastPara="1" vertOverflow="ellipsis" vert="horz" wrap="square" anchor="ctr" anchorCtr="1"/>
        <a:lstStyle/>
        <a:p>
          <a:pPr>
            <a:defRPr sz="900" b="0" i="0" u="none" strike="noStrike">
              <a:solidFill>
                <a:schemeClr val="tx2"/>
              </a:solidFill>
              <a:latin typeface="+mn-lt"/>
              <a:ea typeface="+mn-ea"/>
              <a:cs typeface="+mn-cs"/>
            </a:defRPr>
          </a:pPr>
          <a:endParaRPr lang="fr-FR"/>
        </a:p>
      </c:txPr>
    </c:legend>
    <c:plotVisOnly val="1"/>
    <c:dispBlanksAs val="gap"/>
    <c:showDLblsOverMax val="0"/>
  </c:chart>
  <c:spPr>
    <a:xfrm>
      <a:off x="0" y="0"/>
      <a:ext cx="0" cy="0"/>
    </a:xfrm>
    <a:prstGeom prst="rect">
      <a:avLst/>
    </a:prstGeom>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prstGeom prst="rect">
              <a:avLst/>
            </a:prstGeom>
            <a:solidFill>
              <a:schemeClr val="accent5">
                <a:lumMod val="60000"/>
                <a:lumOff val="40000"/>
              </a:schemeClr>
            </a:solidFill>
            <a:ln>
              <a:noFill/>
            </a:ln>
            <a:effectLst/>
          </c:spPr>
          <c:invertIfNegative val="0"/>
          <c:dLbls>
            <c:dLbl>
              <c:idx val="0"/>
              <c:tx>
                <c:rich>
                  <a:bodyPr/>
                  <a:lstStyle/>
                  <a:p>
                    <a:fld id="{2AC03E73-E177-D64A-BA85-27E2CF2D6149}" type="VALUE">
                      <a:rPr lang="en-US" b="1"/>
                      <a:pPr/>
                      <a:t>[VALEUR]</a:t>
                    </a:fld>
                    <a:endParaRPr lang="fr-FR"/>
                  </a:p>
                </c:rich>
              </c:tx>
              <c:dLblPos val="inEnd"/>
              <c:showLegendKey val="0"/>
              <c:showVal val="1"/>
              <c:showCatName val="0"/>
              <c:showSerName val="0"/>
              <c:showPercent val="0"/>
              <c:showBubbleSize val="0"/>
              <c:extLst xmlns:c14="http://schemas.microsoft.com/office/drawing/2007/8/2/chart" xmlns:c15="http://schemas.microsoft.com/office/drawing/2012/chart" xmlns:mc="http://schemas.openxmlformats.org/markup-compatibility/2006">
                <c:ext xmlns:c15="http://schemas.microsoft.com/office/drawing/2012/chart" uri="{CE6537A1-D6FC-4f65-9D91-7224C49458BB}">
                  <c15:dlblFieldTable/>
                  <c15:showDataLabelsRange val="0"/>
                </c:ext>
                <c:ext xmlns:c16="http://schemas.microsoft.com/office/drawing/2014/chart" uri="{C3380CC4-5D6E-409C-BE32-E72D297353CC}">
                  <c16:uniqueId val="{00000000-487E-4CB0-BD33-ED60B08ED169}"/>
                </c:ext>
              </c:extLst>
            </c:dLbl>
            <c:spPr>
              <a:noFill/>
              <a:ln>
                <a:noFill/>
              </a:ln>
              <a:effectLst/>
            </c:spPr>
            <c:txPr>
              <a:bodyPr rot="0" spcFirstLastPara="1" vertOverflow="ellipsis" horzOverflow="clip" vert="horz" wrap="square" lIns="38100" tIns="19050" rIns="38100" bIns="19050" anchor="ctr" anchorCtr="1">
                <a:spAutoFit/>
              </a:bodyPr>
              <a:lstStyle/>
              <a:p>
                <a:pPr>
                  <a:defRPr sz="900" b="1" i="0" u="none" strike="noStrike"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'6'!$B$29:$B$35</c:f>
              <c:strCache>
                <c:ptCount val="7"/>
                <c:pt idx="0">
                  <c:v>Etablissements d'officine</c:v>
                </c:pt>
                <c:pt idx="1">
                  <c:v>Médecine libérale (hors établissements d'officine)</c:v>
                </c:pt>
                <c:pt idx="2">
                  <c:v>établissements hospitaliers</c:v>
                </c:pt>
                <c:pt idx="3">
                  <c:v>établissements d'accueil pour personnes âgées</c:v>
                </c:pt>
                <c:pt idx="4">
                  <c:v>établissements d'accueil pour enfants handicapés</c:v>
                </c:pt>
                <c:pt idx="5">
                  <c:v>établissements d'accueil pour adultes handicapés</c:v>
                </c:pt>
                <c:pt idx="6">
                  <c:v>Administration publique et complémentaire santé</c:v>
                </c:pt>
              </c:strCache>
            </c:strRef>
          </c:cat>
          <c:val>
            <c:numRef>
              <c:f>'6'!$C$29:$C$35</c:f>
              <c:numCache>
                <c:formatCode>0.00</c:formatCode>
                <c:ptCount val="7"/>
                <c:pt idx="0">
                  <c:v>1.251523985785748E-2</c:v>
                </c:pt>
                <c:pt idx="1">
                  <c:v>0.10853561179028866</c:v>
                </c:pt>
                <c:pt idx="2">
                  <c:v>0.29416802064939873</c:v>
                </c:pt>
                <c:pt idx="3">
                  <c:v>0.21502347256154683</c:v>
                </c:pt>
                <c:pt idx="4">
                  <c:v>3.7715844901629866E-2</c:v>
                </c:pt>
                <c:pt idx="5">
                  <c:v>0.10052017285811801</c:v>
                </c:pt>
                <c:pt idx="6">
                  <c:v>4.4667334947215531E-2</c:v>
                </c:pt>
              </c:numCache>
            </c:numRef>
          </c:val>
          <c:extLst>
            <c:ext xmlns:c16="http://schemas.microsoft.com/office/drawing/2014/chart" uri="{C3380CC4-5D6E-409C-BE32-E72D297353CC}">
              <c16:uniqueId val="{00000001-487E-4CB0-BD33-ED60B08ED169}"/>
            </c:ext>
          </c:extLst>
        </c:ser>
        <c:dLbls>
          <c:showLegendKey val="0"/>
          <c:showVal val="1"/>
          <c:showCatName val="0"/>
          <c:showSerName val="0"/>
          <c:showPercent val="0"/>
          <c:showBubbleSize val="0"/>
        </c:dLbls>
        <c:gapWidth val="100"/>
        <c:overlap val="-24"/>
        <c:axId val="395060536"/>
        <c:axId val="395058184"/>
      </c:barChart>
      <c:catAx>
        <c:axId val="395060536"/>
        <c:scaling>
          <c:orientation val="minMax"/>
        </c:scaling>
        <c:delete val="0"/>
        <c:axPos val="b"/>
        <c:numFmt formatCode="General" sourceLinked="1"/>
        <c:majorTickMark val="none"/>
        <c:minorTickMark val="none"/>
        <c:tickLblPos val="nextTo"/>
        <c:spPr bwMode="auto">
          <a:prstGeom prst="rect">
            <a:avLst/>
          </a:prstGeom>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100" b="0" i="0" u="none" strike="noStrike" baseline="0">
                <a:solidFill>
                  <a:schemeClr val="tx2"/>
                </a:solidFill>
                <a:latin typeface="+mn-lt"/>
                <a:ea typeface="+mn-ea"/>
                <a:cs typeface="+mn-cs"/>
              </a:defRPr>
            </a:pPr>
            <a:endParaRPr lang="fr-FR"/>
          </a:p>
        </c:txPr>
        <c:crossAx val="395058184"/>
        <c:crosses val="autoZero"/>
        <c:auto val="1"/>
        <c:lblAlgn val="ctr"/>
        <c:lblOffset val="100"/>
        <c:noMultiLvlLbl val="0"/>
      </c:catAx>
      <c:valAx>
        <c:axId val="395058184"/>
        <c:scaling>
          <c:orientation val="minMax"/>
        </c:scaling>
        <c:delete val="0"/>
        <c:axPos val="l"/>
        <c:majorGridlines>
          <c:spPr bwMode="auto">
            <a:prstGeom prst="rect">
              <a:avLst/>
            </a:prstGeom>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1400" b="1" i="0" u="none" strike="noStrike" baseline="0">
                    <a:solidFill>
                      <a:schemeClr val="tx2"/>
                    </a:solidFill>
                    <a:latin typeface="+mn-lt"/>
                    <a:ea typeface="+mn-ea"/>
                    <a:cs typeface="+mn-cs"/>
                  </a:defRPr>
                </a:pPr>
                <a:r>
                  <a:rPr lang="fr-FR" sz="1400"/>
                  <a:t>MtCO2e</a:t>
                </a:r>
                <a:endParaRPr lang="fr-FR"/>
              </a:p>
            </c:rich>
          </c:tx>
          <c:layout>
            <c:manualLayout>
              <c:xMode val="edge"/>
              <c:yMode val="edge"/>
              <c:x val="1.5873999999999999E-2"/>
              <c:y val="0.36674200000000001"/>
            </c:manualLayout>
          </c:layout>
          <c:overlay val="0"/>
          <c:spPr>
            <a:prstGeom prst="rect">
              <a:avLst/>
            </a:prstGeom>
            <a:noFill/>
            <a:ln>
              <a:noFill/>
            </a:ln>
            <a:effectLst/>
          </c:spPr>
          <c:txPr>
            <a:bodyPr rot="-5400000" spcFirstLastPara="1" vertOverflow="ellipsis" vert="horz" wrap="square" anchor="ctr" anchorCtr="1"/>
            <a:lstStyle/>
            <a:p>
              <a:pPr>
                <a:defRPr sz="1400" b="1" i="0" u="none" strike="noStrike" baseline="0">
                  <a:solidFill>
                    <a:schemeClr val="tx2"/>
                  </a:solidFill>
                  <a:latin typeface="+mn-lt"/>
                  <a:ea typeface="+mn-ea"/>
                  <a:cs typeface="+mn-cs"/>
                </a:defRPr>
              </a:pPr>
              <a:endParaRPr lang="fr-FR"/>
            </a:p>
          </c:txPr>
        </c:title>
        <c:numFmt formatCode="0.00" sourceLinked="1"/>
        <c:majorTickMark val="none"/>
        <c:minorTickMark val="none"/>
        <c:tickLblPos val="nextTo"/>
        <c:spPr>
          <a:prstGeom prst="rect">
            <a:avLst/>
          </a:prstGeom>
          <a:noFill/>
          <a:ln>
            <a:noFill/>
          </a:ln>
          <a:effectLst/>
        </c:spPr>
        <c:txPr>
          <a:bodyPr rot="-60000000" spcFirstLastPara="1" vertOverflow="ellipsis" vert="horz" wrap="square" anchor="ctr" anchorCtr="1"/>
          <a:lstStyle/>
          <a:p>
            <a:pPr>
              <a:defRPr sz="900" b="0" i="0" u="none" strike="noStrike" baseline="0">
                <a:solidFill>
                  <a:schemeClr val="tx2"/>
                </a:solidFill>
                <a:latin typeface="+mn-lt"/>
                <a:ea typeface="+mn-ea"/>
                <a:cs typeface="+mn-cs"/>
              </a:defRPr>
            </a:pPr>
            <a:endParaRPr lang="fr-FR"/>
          </a:p>
        </c:txPr>
        <c:crossAx val="395060536"/>
        <c:crosses val="autoZero"/>
        <c:crossBetween val="between"/>
      </c:valAx>
      <c:spPr>
        <a:prstGeom prst="rect">
          <a:avLst/>
        </a:prstGeom>
        <a:noFill/>
        <a:ln>
          <a:noFill/>
        </a:ln>
        <a:effectLst/>
      </c:spPr>
    </c:plotArea>
    <c:plotVisOnly val="1"/>
    <c:dispBlanksAs val="gap"/>
    <c:showDLblsOverMax val="0"/>
  </c:chart>
  <c:spPr bwMode="auto">
    <a:xfrm>
      <a:off x="0" y="0"/>
      <a:ext cx="0" cy="0"/>
    </a:xfrm>
    <a:prstGeom prst="rect">
      <a:avLst/>
    </a:prstGeom>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baseline="0">
                <a:solidFill>
                  <a:schemeClr val="tx2"/>
                </a:solidFill>
                <a:latin typeface="+mn-lt"/>
                <a:ea typeface="+mn-ea"/>
                <a:cs typeface="+mn-cs"/>
              </a:defRPr>
            </a:pPr>
            <a:r>
              <a:rPr lang="fr-FR" sz="1300"/>
              <a:t>Part des consommations d'électricité par type de consommation</a:t>
            </a:r>
            <a:endParaRPr lang="fr-FR"/>
          </a:p>
        </c:rich>
      </c:tx>
      <c:overlay val="0"/>
      <c:spPr>
        <a:prstGeom prst="rect">
          <a:avLst/>
        </a:prstGeom>
        <a:noFill/>
        <a:ln>
          <a:noFill/>
        </a:ln>
        <a:effectLst/>
      </c:spPr>
      <c:txPr>
        <a:bodyPr rot="0" spcFirstLastPara="1" vertOverflow="ellipsis" vert="horz" wrap="square" anchor="ctr" anchorCtr="1"/>
        <a:lstStyle/>
        <a:p>
          <a:pPr>
            <a:defRPr sz="1600" b="1" i="0" u="none" strike="noStrike" baseline="0">
              <a:solidFill>
                <a:schemeClr val="tx2"/>
              </a:solidFill>
              <a:latin typeface="+mn-lt"/>
              <a:ea typeface="+mn-ea"/>
              <a:cs typeface="+mn-cs"/>
            </a:defRPr>
          </a:pPr>
          <a:endParaRPr lang="fr-FR"/>
        </a:p>
      </c:txPr>
    </c:title>
    <c:autoTitleDeleted val="0"/>
    <c:plotArea>
      <c:layout/>
      <c:doughnutChart>
        <c:varyColors val="1"/>
        <c:ser>
          <c:idx val="0"/>
          <c:order val="0"/>
          <c:dPt>
            <c:idx val="0"/>
            <c:bubble3D val="0"/>
            <c:spPr>
              <a:prstGeom prst="rect">
                <a:avLst/>
              </a:prstGeom>
              <a:gradFill>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F269-4A2E-9119-6459C2DB6249}"/>
              </c:ext>
            </c:extLst>
          </c:dPt>
          <c:dPt>
            <c:idx val="1"/>
            <c:bubble3D val="0"/>
            <c:spPr>
              <a:prstGeom prst="rect">
                <a:avLst/>
              </a:prstGeom>
              <a:gradFill>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F269-4A2E-9119-6459C2DB6249}"/>
              </c:ext>
            </c:extLst>
          </c:dPt>
          <c:dPt>
            <c:idx val="2"/>
            <c:bubble3D val="0"/>
            <c:spPr>
              <a:prstGeom prst="rect">
                <a:avLst/>
              </a:prstGeom>
              <a:gradFill>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F269-4A2E-9119-6459C2DB6249}"/>
              </c:ext>
            </c:extLst>
          </c:dPt>
          <c:dPt>
            <c:idx val="3"/>
            <c:bubble3D val="0"/>
            <c:spPr>
              <a:prstGeom prst="rect">
                <a:avLst/>
              </a:prstGeom>
              <a:gradFill>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F269-4A2E-9119-6459C2DB6249}"/>
              </c:ext>
            </c:extLst>
          </c:dPt>
          <c:dPt>
            <c:idx val="4"/>
            <c:bubble3D val="0"/>
            <c:spPr>
              <a:prstGeom prst="rect">
                <a:avLst/>
              </a:prstGeom>
              <a:gradFill>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F269-4A2E-9119-6459C2DB6249}"/>
              </c:ext>
            </c:extLst>
          </c:dPt>
          <c:dPt>
            <c:idx val="5"/>
            <c:bubble3D val="0"/>
            <c:spPr>
              <a:prstGeom prst="rect">
                <a:avLst/>
              </a:prstGeom>
              <a:gradFill>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F269-4A2E-9119-6459C2DB6249}"/>
              </c:ext>
            </c:extLst>
          </c:dPt>
          <c:dLbls>
            <c:spPr>
              <a:noFill/>
              <a:ln>
                <a:noFill/>
              </a:ln>
              <a:effectLst/>
            </c:spPr>
            <c:txPr>
              <a:bodyPr rot="0" spcFirstLastPara="1" vertOverflow="ellipsis" horzOverflow="clip" vert="horz" wrap="square" lIns="38100" tIns="19050" rIns="38100" bIns="19050" anchor="ctr" anchorCtr="1">
                <a:spAutoFit/>
              </a:bodyPr>
              <a:lstStyle/>
              <a:p>
                <a:pPr>
                  <a:defRPr sz="900" b="0" i="0" u="none" strike="noStrike" baseline="0">
                    <a:solidFill>
                      <a:schemeClr val="tx2"/>
                    </a:solidFill>
                    <a:latin typeface="+mn-lt"/>
                    <a:ea typeface="+mn-ea"/>
                    <a:cs typeface="+mn-cs"/>
                  </a:defRPr>
                </a:pPr>
                <a:endParaRPr lang="fr-FR"/>
              </a:p>
            </c:txPr>
            <c:showLegendKey val="0"/>
            <c:showVal val="0"/>
            <c:showCatName val="0"/>
            <c:showSerName val="0"/>
            <c:showPercent val="1"/>
            <c:showBubbleSize val="0"/>
            <c:showLeaderLines val="1"/>
            <c:leaderLines>
              <c:spPr bwMode="auto">
                <a:prstGeom prst="rect">
                  <a:avLst/>
                </a:prstGeom>
                <a:ln w="9525">
                  <a:solidFill>
                    <a:schemeClr val="tx2">
                      <a:lumMod val="35000"/>
                      <a:lumOff val="65000"/>
                    </a:schemeClr>
                  </a:solidFill>
                  <a:miter/>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'6'!$F$29:$K$29</c:f>
              <c:strCache>
                <c:ptCount val="6"/>
                <c:pt idx="0">
                  <c:v>Chauffage</c:v>
                </c:pt>
                <c:pt idx="1">
                  <c:v>Eau chaude sanitaire</c:v>
                </c:pt>
                <c:pt idx="2">
                  <c:v>Cuisson </c:v>
                </c:pt>
                <c:pt idx="3">
                  <c:v>Refroidissement/climatisation </c:v>
                </c:pt>
                <c:pt idx="4">
                  <c:v>Spécifique</c:v>
                </c:pt>
                <c:pt idx="5">
                  <c:v>Autres usages</c:v>
                </c:pt>
              </c:strCache>
            </c:strRef>
          </c:cat>
          <c:val>
            <c:numRef>
              <c:f>'6'!$F$32:$K$32</c:f>
              <c:numCache>
                <c:formatCode>#,##0</c:formatCode>
                <c:ptCount val="6"/>
                <c:pt idx="0">
                  <c:v>817.96683337820843</c:v>
                </c:pt>
                <c:pt idx="1">
                  <c:v>585.30411338436875</c:v>
                </c:pt>
                <c:pt idx="2">
                  <c:v>381.95457466081047</c:v>
                </c:pt>
                <c:pt idx="3">
                  <c:v>1811.1481686145657</c:v>
                </c:pt>
                <c:pt idx="4">
                  <c:v>3856.9894032605471</c:v>
                </c:pt>
                <c:pt idx="5">
                  <c:v>297.31464197923674</c:v>
                </c:pt>
              </c:numCache>
            </c:numRef>
          </c:val>
          <c:extLst>
            <c:ext xmlns:c16="http://schemas.microsoft.com/office/drawing/2014/chart" uri="{C3380CC4-5D6E-409C-BE32-E72D297353CC}">
              <c16:uniqueId val="{0000000C-F269-4A2E-9119-6459C2DB6249}"/>
            </c:ext>
          </c:extLst>
        </c:ser>
        <c:dLbls>
          <c:showLegendKey val="0"/>
          <c:showVal val="0"/>
          <c:showCatName val="0"/>
          <c:showSerName val="0"/>
          <c:showPercent val="1"/>
          <c:showBubbleSize val="0"/>
          <c:showLeaderLines val="1"/>
        </c:dLbls>
        <c:firstSliceAng val="0"/>
        <c:holeSize val="50"/>
      </c:doughnutChart>
      <c:spPr>
        <a:prstGeom prst="rect">
          <a:avLst/>
        </a:prstGeom>
        <a:noFill/>
        <a:ln>
          <a:noFill/>
        </a:ln>
        <a:effectLst/>
      </c:spPr>
    </c:plotArea>
    <c:legend>
      <c:legendPos val="b"/>
      <c:overlay val="0"/>
      <c:spPr>
        <a:prstGeom prst="rect">
          <a:avLst/>
        </a:prstGeom>
        <a:noFill/>
        <a:ln>
          <a:noFill/>
        </a:ln>
        <a:effectLst/>
      </c:spPr>
      <c:txPr>
        <a:bodyPr rot="0" spcFirstLastPara="1" vertOverflow="ellipsis" vert="horz" wrap="square" anchor="ctr" anchorCtr="1"/>
        <a:lstStyle/>
        <a:p>
          <a:pPr>
            <a:defRPr sz="900" b="0" i="0" u="none" strike="noStrike" baseline="0">
              <a:solidFill>
                <a:schemeClr val="tx2"/>
              </a:solidFill>
              <a:latin typeface="+mn-lt"/>
              <a:ea typeface="+mn-ea"/>
              <a:cs typeface="+mn-cs"/>
            </a:defRPr>
          </a:pPr>
          <a:endParaRPr lang="fr-FR"/>
        </a:p>
      </c:txPr>
    </c:legend>
    <c:plotVisOnly val="1"/>
    <c:dispBlanksAs val="gap"/>
    <c:showDLblsOverMax val="0"/>
  </c:chart>
  <c:spPr bwMode="auto">
    <a:xfrm>
      <a:off x="0" y="0"/>
      <a:ext cx="0" cy="0"/>
    </a:xfrm>
    <a:prstGeom prst="rect">
      <a:avLst/>
    </a:prstGeom>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'7'!$C$28</c:f>
              <c:strCache>
                <c:ptCount val="1"/>
                <c:pt idx="0">
                  <c:v>Empreinte carbone totale des réseaux de chaleur et de froid (MtCO2)</c:v>
                </c:pt>
              </c:strCache>
            </c:strRef>
          </c:tx>
          <c:spPr>
            <a:prstGeom prst="rect">
              <a:avLst/>
            </a:prstGeom>
            <a:solidFill>
              <a:schemeClr val="accent5">
                <a:lumMod val="60000"/>
                <a:lumOff val="40000"/>
              </a:schemeClr>
            </a:solidFill>
            <a:ln>
              <a:noFill/>
            </a:ln>
            <a:effectLst/>
          </c:spPr>
          <c:invertIfNegative val="0"/>
          <c:dLbls>
            <c:dLbl>
              <c:idx val="0"/>
              <c:tx>
                <c:rich>
                  <a:bodyPr/>
                  <a:lstStyle/>
                  <a:p>
                    <a:fld id="{2AC03E73-E177-D64A-BA85-27E2CF2D6149}" type="VALUE">
                      <a:rPr lang="en-US" b="1"/>
                      <a:pPr/>
                      <a:t>[VALEUR]</a:t>
                    </a:fld>
                    <a:endParaRPr lang="fr-FR"/>
                  </a:p>
                </c:rich>
              </c:tx>
              <c:dLblPos val="inEnd"/>
              <c:showLegendKey val="0"/>
              <c:showVal val="1"/>
              <c:showCatName val="0"/>
              <c:showSerName val="0"/>
              <c:showPercent val="0"/>
              <c:showBubbleSize val="0"/>
              <c:extLst xmlns:c14="http://schemas.microsoft.com/office/drawing/2007/8/2/chart" xmlns:c15="http://schemas.microsoft.com/office/drawing/2012/chart" xmlns:mc="http://schemas.openxmlformats.org/markup-compatibility/2006">
                <c:ext xmlns:c15="http://schemas.microsoft.com/office/drawing/2012/chart" uri="{CE6537A1-D6FC-4f65-9D91-7224C49458BB}">
                  <c15:dlblFieldTable/>
                  <c15:showDataLabelsRange val="0"/>
                </c:ext>
                <c:ext xmlns:c16="http://schemas.microsoft.com/office/drawing/2014/chart" uri="{C3380CC4-5D6E-409C-BE32-E72D297353CC}">
                  <c16:uniqueId val="{00000000-6AF7-4D74-B32A-CC0CE73D3607}"/>
                </c:ext>
              </c:extLst>
            </c:dLbl>
            <c:spPr>
              <a:noFill/>
              <a:ln>
                <a:noFill/>
                <a:miter/>
              </a:ln>
              <a:effectLst/>
            </c:spPr>
            <c:txPr>
              <a:bodyPr rot="0" spcFirstLastPara="1" vertOverflow="ellipsis" horzOverflow="clip" vert="horz" wrap="square" lIns="38100" tIns="19050" rIns="38100" bIns="19050" anchor="ctr" anchorCtr="1">
                <a:spAutoFit/>
              </a:bodyPr>
              <a:lstStyle/>
              <a:p>
                <a:pPr>
                  <a:defRPr sz="900" b="1" i="0" u="none" strike="noStrike"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'1'!$B$29:$B$34</c:f>
              <c:strCache>
                <c:ptCount val="6"/>
                <c:pt idx="0">
                  <c:v>Etablissements d'officine</c:v>
                </c:pt>
                <c:pt idx="1">
                  <c:v>Médecine libérale (hors établissements d'officine)</c:v>
                </c:pt>
                <c:pt idx="2">
                  <c:v>établissements hospitaliers</c:v>
                </c:pt>
                <c:pt idx="3">
                  <c:v>établissements d'accueil pour personnes âgées</c:v>
                </c:pt>
                <c:pt idx="4">
                  <c:v>établissements d'accueil pour enfants handicapés</c:v>
                </c:pt>
                <c:pt idx="5">
                  <c:v>établissements d'accueil pour adultes handicapés</c:v>
                </c:pt>
              </c:strCache>
            </c:strRef>
          </c:cat>
          <c:val>
            <c:numRef>
              <c:f>'7'!$C$29:$C$34</c:f>
              <c:numCache>
                <c:formatCode>0.0</c:formatCode>
                <c:ptCount val="6"/>
                <c:pt idx="0">
                  <c:v>2.9697488538948562E-3</c:v>
                </c:pt>
                <c:pt idx="1">
                  <c:v>2.3484137375176975E-2</c:v>
                </c:pt>
                <c:pt idx="2">
                  <c:v>6.3649912635702327E-2</c:v>
                </c:pt>
                <c:pt idx="3">
                  <c:v>4.5793478181985946E-2</c:v>
                </c:pt>
                <c:pt idx="4">
                  <c:v>8.0323310754996241E-3</c:v>
                </c:pt>
                <c:pt idx="5">
                  <c:v>2.1407748129963367E-2</c:v>
                </c:pt>
              </c:numCache>
            </c:numRef>
          </c:val>
          <c:extLst>
            <c:ext xmlns:c16="http://schemas.microsoft.com/office/drawing/2014/chart" uri="{C3380CC4-5D6E-409C-BE32-E72D297353CC}">
              <c16:uniqueId val="{00000001-6AF7-4D74-B32A-CC0CE73D3607}"/>
            </c:ext>
          </c:extLst>
        </c:ser>
        <c:dLbls>
          <c:showLegendKey val="0"/>
          <c:showVal val="1"/>
          <c:showCatName val="0"/>
          <c:showSerName val="0"/>
          <c:showPercent val="0"/>
          <c:showBubbleSize val="0"/>
        </c:dLbls>
        <c:gapWidth val="100"/>
        <c:overlap val="-24"/>
        <c:axId val="395060536"/>
        <c:axId val="395058184"/>
      </c:barChart>
      <c:catAx>
        <c:axId val="395060536"/>
        <c:scaling>
          <c:orientation val="minMax"/>
        </c:scaling>
        <c:delete val="0"/>
        <c:axPos val="b"/>
        <c:numFmt formatCode="General" sourceLinked="1"/>
        <c:majorTickMark val="none"/>
        <c:minorTickMark val="none"/>
        <c:tickLblPos val="nextTo"/>
        <c:spPr bwMode="auto">
          <a:prstGeom prst="rect">
            <a:avLst/>
          </a:prstGeom>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100" b="0" i="0" u="none" strike="noStrike" baseline="0">
                <a:solidFill>
                  <a:schemeClr val="tx2"/>
                </a:solidFill>
                <a:latin typeface="+mn-lt"/>
                <a:ea typeface="+mn-ea"/>
                <a:cs typeface="+mn-cs"/>
              </a:defRPr>
            </a:pPr>
            <a:endParaRPr lang="fr-FR"/>
          </a:p>
        </c:txPr>
        <c:crossAx val="395058184"/>
        <c:crosses val="autoZero"/>
        <c:auto val="1"/>
        <c:lblAlgn val="ctr"/>
        <c:lblOffset val="100"/>
        <c:noMultiLvlLbl val="0"/>
      </c:catAx>
      <c:valAx>
        <c:axId val="395058184"/>
        <c:scaling>
          <c:orientation val="minMax"/>
        </c:scaling>
        <c:delete val="0"/>
        <c:axPos val="l"/>
        <c:majorGridlines>
          <c:spPr bwMode="auto">
            <a:prstGeom prst="rect">
              <a:avLst/>
            </a:prstGeom>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1400" b="1" i="0" u="none" strike="noStrike" baseline="0">
                    <a:solidFill>
                      <a:schemeClr val="tx2"/>
                    </a:solidFill>
                    <a:latin typeface="+mn-lt"/>
                    <a:ea typeface="+mn-ea"/>
                    <a:cs typeface="+mn-cs"/>
                  </a:defRPr>
                </a:pPr>
                <a:r>
                  <a:rPr lang="fr-FR" sz="1400"/>
                  <a:t>MtCO2e</a:t>
                </a:r>
                <a:endParaRPr lang="fr-FR"/>
              </a:p>
            </c:rich>
          </c:tx>
          <c:layout>
            <c:manualLayout>
              <c:xMode val="edge"/>
              <c:yMode val="edge"/>
              <c:x val="1.5873999999999999E-2"/>
              <c:y val="0.36674200000000001"/>
            </c:manualLayout>
          </c:layout>
          <c:overlay val="0"/>
          <c:spPr>
            <a:prstGeom prst="rect">
              <a:avLst/>
            </a:prstGeom>
            <a:noFill/>
            <a:ln>
              <a:noFill/>
            </a:ln>
            <a:effectLst/>
          </c:spPr>
          <c:txPr>
            <a:bodyPr rot="-5400000" spcFirstLastPara="1" vertOverflow="ellipsis" vert="horz" wrap="square" anchor="ctr" anchorCtr="1"/>
            <a:lstStyle/>
            <a:p>
              <a:pPr>
                <a:defRPr sz="1400" b="1" i="0" u="none" strike="noStrike" baseline="0">
                  <a:solidFill>
                    <a:schemeClr val="tx2"/>
                  </a:solidFill>
                  <a:latin typeface="+mn-lt"/>
                  <a:ea typeface="+mn-ea"/>
                  <a:cs typeface="+mn-cs"/>
                </a:defRPr>
              </a:pPr>
              <a:endParaRPr lang="fr-FR"/>
            </a:p>
          </c:txPr>
        </c:title>
        <c:numFmt formatCode="0.0" sourceLinked="1"/>
        <c:majorTickMark val="none"/>
        <c:minorTickMark val="none"/>
        <c:tickLblPos val="nextTo"/>
        <c:spPr>
          <a:prstGeom prst="rect">
            <a:avLst/>
          </a:prstGeom>
          <a:noFill/>
          <a:ln>
            <a:noFill/>
          </a:ln>
          <a:effectLst/>
        </c:spPr>
        <c:txPr>
          <a:bodyPr rot="-60000000" spcFirstLastPara="1" vertOverflow="ellipsis" vert="horz" wrap="square" anchor="ctr" anchorCtr="1"/>
          <a:lstStyle/>
          <a:p>
            <a:pPr>
              <a:defRPr sz="900" b="0" i="0" u="none" strike="noStrike" baseline="0">
                <a:solidFill>
                  <a:schemeClr val="tx2"/>
                </a:solidFill>
                <a:latin typeface="+mn-lt"/>
                <a:ea typeface="+mn-ea"/>
                <a:cs typeface="+mn-cs"/>
              </a:defRPr>
            </a:pPr>
            <a:endParaRPr lang="fr-FR"/>
          </a:p>
        </c:txPr>
        <c:crossAx val="395060536"/>
        <c:crosses val="autoZero"/>
        <c:crossBetween val="between"/>
      </c:valAx>
      <c:spPr>
        <a:prstGeom prst="rect">
          <a:avLst/>
        </a:prstGeom>
        <a:noFill/>
        <a:ln>
          <a:noFill/>
        </a:ln>
        <a:effectLst/>
      </c:spPr>
    </c:plotArea>
    <c:plotVisOnly val="1"/>
    <c:dispBlanksAs val="gap"/>
    <c:showDLblsOverMax val="0"/>
  </c:chart>
  <c:spPr bwMode="auto">
    <a:xfrm>
      <a:off x="0" y="0"/>
      <a:ext cx="0" cy="0"/>
    </a:xfrm>
    <a:prstGeom prst="rect">
      <a:avLst/>
    </a:prstGeom>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baseline="0">
                <a:solidFill>
                  <a:schemeClr val="tx2"/>
                </a:solidFill>
                <a:latin typeface="+mn-lt"/>
                <a:ea typeface="+mn-ea"/>
                <a:cs typeface="+mn-cs"/>
              </a:defRPr>
            </a:pPr>
            <a:r>
              <a:rPr lang="fr-FR" sz="1300"/>
              <a:t>Part des consommations des réseaux de chaleur par type de consommation</a:t>
            </a:r>
            <a:endParaRPr lang="fr-FR"/>
          </a:p>
        </c:rich>
      </c:tx>
      <c:overlay val="0"/>
      <c:spPr>
        <a:prstGeom prst="rect">
          <a:avLst/>
        </a:prstGeom>
        <a:noFill/>
        <a:ln>
          <a:noFill/>
        </a:ln>
        <a:effectLst/>
      </c:spPr>
      <c:txPr>
        <a:bodyPr rot="0" spcFirstLastPara="1" vertOverflow="ellipsis" vert="horz" wrap="square" anchor="ctr" anchorCtr="1"/>
        <a:lstStyle/>
        <a:p>
          <a:pPr>
            <a:defRPr sz="1600" b="1" i="0" u="none" strike="noStrike" baseline="0">
              <a:solidFill>
                <a:schemeClr val="tx2"/>
              </a:solidFill>
              <a:latin typeface="+mn-lt"/>
              <a:ea typeface="+mn-ea"/>
              <a:cs typeface="+mn-cs"/>
            </a:defRPr>
          </a:pPr>
          <a:endParaRPr lang="fr-FR"/>
        </a:p>
      </c:txPr>
    </c:title>
    <c:autoTitleDeleted val="0"/>
    <c:plotArea>
      <c:layout/>
      <c:doughnutChart>
        <c:varyColors val="1"/>
        <c:ser>
          <c:idx val="0"/>
          <c:order val="0"/>
          <c:dPt>
            <c:idx val="0"/>
            <c:bubble3D val="0"/>
            <c:spPr>
              <a:prstGeom prst="rect">
                <a:avLst/>
              </a:prstGeom>
              <a:gradFill>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8D07-4F9F-8EED-5FFEEC46B12B}"/>
              </c:ext>
            </c:extLst>
          </c:dPt>
          <c:dPt>
            <c:idx val="1"/>
            <c:bubble3D val="0"/>
            <c:spPr>
              <a:prstGeom prst="rect">
                <a:avLst/>
              </a:prstGeom>
              <a:gradFill>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8D07-4F9F-8EED-5FFEEC46B12B}"/>
              </c:ext>
            </c:extLst>
          </c:dPt>
          <c:dPt>
            <c:idx val="2"/>
            <c:bubble3D val="0"/>
            <c:spPr>
              <a:prstGeom prst="rect">
                <a:avLst/>
              </a:prstGeom>
              <a:gradFill>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8D07-4F9F-8EED-5FFEEC46B12B}"/>
              </c:ext>
            </c:extLst>
          </c:dPt>
          <c:dPt>
            <c:idx val="3"/>
            <c:bubble3D val="0"/>
            <c:spPr>
              <a:prstGeom prst="rect">
                <a:avLst/>
              </a:prstGeom>
              <a:gradFill>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8D07-4F9F-8EED-5FFEEC46B12B}"/>
              </c:ext>
            </c:extLst>
          </c:dPt>
          <c:dPt>
            <c:idx val="4"/>
            <c:bubble3D val="0"/>
            <c:spPr>
              <a:prstGeom prst="rect">
                <a:avLst/>
              </a:prstGeom>
              <a:gradFill>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8D07-4F9F-8EED-5FFEEC46B12B}"/>
              </c:ext>
            </c:extLst>
          </c:dPt>
          <c:dPt>
            <c:idx val="5"/>
            <c:bubble3D val="0"/>
            <c:spPr>
              <a:prstGeom prst="rect">
                <a:avLst/>
              </a:prstGeom>
              <a:gradFill>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8D07-4F9F-8EED-5FFEEC46B12B}"/>
              </c:ext>
            </c:extLst>
          </c:dPt>
          <c:dLbls>
            <c:spPr>
              <a:noFill/>
              <a:ln>
                <a:noFill/>
              </a:ln>
              <a:effectLst/>
            </c:spPr>
            <c:txPr>
              <a:bodyPr rot="0" spcFirstLastPara="1" vertOverflow="ellipsis" horzOverflow="clip" vert="horz" wrap="square" lIns="38100" tIns="19050" rIns="38100" bIns="19050" anchor="ctr" anchorCtr="1">
                <a:spAutoFit/>
              </a:bodyPr>
              <a:lstStyle/>
              <a:p>
                <a:pPr>
                  <a:defRPr sz="900" b="0" i="0" u="none" strike="noStrike" baseline="0">
                    <a:solidFill>
                      <a:schemeClr val="tx2"/>
                    </a:solidFill>
                    <a:latin typeface="+mn-lt"/>
                    <a:ea typeface="+mn-ea"/>
                    <a:cs typeface="+mn-cs"/>
                  </a:defRPr>
                </a:pPr>
                <a:endParaRPr lang="fr-FR"/>
              </a:p>
            </c:txPr>
            <c:showLegendKey val="0"/>
            <c:showVal val="0"/>
            <c:showCatName val="0"/>
            <c:showSerName val="0"/>
            <c:showPercent val="1"/>
            <c:showBubbleSize val="0"/>
            <c:showLeaderLines val="1"/>
            <c:leaderLines>
              <c:spPr bwMode="auto">
                <a:prstGeom prst="rect">
                  <a:avLst/>
                </a:prstGeom>
                <a:ln w="9525">
                  <a:solidFill>
                    <a:schemeClr val="tx2">
                      <a:lumMod val="35000"/>
                      <a:lumOff val="65000"/>
                    </a:schemeClr>
                  </a:solidFill>
                  <a:miter/>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'7'!$D$28:$E$28</c:f>
              <c:strCache>
                <c:ptCount val="2"/>
                <c:pt idx="0">
                  <c:v>Chauffage</c:v>
                </c:pt>
                <c:pt idx="1">
                  <c:v>Eau chaude sanitaire</c:v>
                </c:pt>
              </c:strCache>
            </c:strRef>
          </c:cat>
          <c:val>
            <c:numRef>
              <c:f>'7'!$D$35:$E$35</c:f>
              <c:numCache>
                <c:formatCode>0.0</c:formatCode>
                <c:ptCount val="2"/>
                <c:pt idx="0">
                  <c:v>603.47463142746938</c:v>
                </c:pt>
                <c:pt idx="1">
                  <c:v>168.54013953894801</c:v>
                </c:pt>
              </c:numCache>
            </c:numRef>
          </c:val>
          <c:extLst>
            <c:ext xmlns:c16="http://schemas.microsoft.com/office/drawing/2014/chart" uri="{C3380CC4-5D6E-409C-BE32-E72D297353CC}">
              <c16:uniqueId val="{0000000C-8D07-4F9F-8EED-5FFEEC46B12B}"/>
            </c:ext>
          </c:extLst>
        </c:ser>
        <c:dLbls>
          <c:showLegendKey val="0"/>
          <c:showVal val="0"/>
          <c:showCatName val="0"/>
          <c:showSerName val="0"/>
          <c:showPercent val="1"/>
          <c:showBubbleSize val="0"/>
          <c:showLeaderLines val="1"/>
        </c:dLbls>
        <c:firstSliceAng val="0"/>
        <c:holeSize val="50"/>
      </c:doughnutChart>
      <c:spPr>
        <a:prstGeom prst="rect">
          <a:avLst/>
        </a:prstGeom>
        <a:noFill/>
        <a:ln>
          <a:noFill/>
        </a:ln>
        <a:effectLst/>
      </c:spPr>
    </c:plotArea>
    <c:legend>
      <c:legendPos val="b"/>
      <c:overlay val="0"/>
      <c:spPr>
        <a:prstGeom prst="rect">
          <a:avLst/>
        </a:prstGeom>
        <a:noFill/>
        <a:ln>
          <a:noFill/>
        </a:ln>
        <a:effectLst/>
      </c:spPr>
      <c:txPr>
        <a:bodyPr rot="0" spcFirstLastPara="1" vertOverflow="ellipsis" vert="horz" wrap="square" anchor="ctr" anchorCtr="1"/>
        <a:lstStyle/>
        <a:p>
          <a:pPr>
            <a:defRPr sz="900" b="0" i="0" u="none" strike="noStrike" baseline="0">
              <a:solidFill>
                <a:schemeClr val="tx2"/>
              </a:solidFill>
              <a:latin typeface="+mn-lt"/>
              <a:ea typeface="+mn-ea"/>
              <a:cs typeface="+mn-cs"/>
            </a:defRPr>
          </a:pPr>
          <a:endParaRPr lang="fr-FR"/>
        </a:p>
      </c:txPr>
    </c:legend>
    <c:plotVisOnly val="1"/>
    <c:dispBlanksAs val="gap"/>
    <c:showDLblsOverMax val="0"/>
  </c:chart>
  <c:spPr bwMode="auto">
    <a:xfrm>
      <a:off x="0" y="0"/>
      <a:ext cx="0" cy="0"/>
    </a:xfrm>
    <a:prstGeom prst="rect">
      <a:avLst/>
    </a:prstGeom>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baseline="0">
                <a:solidFill>
                  <a:schemeClr val="tx2"/>
                </a:solidFill>
                <a:latin typeface="+mn-lt"/>
                <a:ea typeface="+mn-ea"/>
                <a:cs typeface="+mn-cs"/>
              </a:defRPr>
            </a:pPr>
            <a:r>
              <a:rPr lang="fr-FR" sz="1300"/>
              <a:t>Part des consommations des réseaux de chaleur et de froid</a:t>
            </a:r>
            <a:endParaRPr lang="fr-FR"/>
          </a:p>
        </c:rich>
      </c:tx>
      <c:overlay val="0"/>
      <c:spPr>
        <a:prstGeom prst="rect">
          <a:avLst/>
        </a:prstGeom>
        <a:noFill/>
        <a:ln>
          <a:noFill/>
        </a:ln>
        <a:effectLst/>
      </c:spPr>
      <c:txPr>
        <a:bodyPr rot="0" spcFirstLastPara="1" vertOverflow="ellipsis" vert="horz" wrap="square" anchor="ctr" anchorCtr="1"/>
        <a:lstStyle/>
        <a:p>
          <a:pPr>
            <a:defRPr sz="1600" b="1" i="0" u="none" strike="noStrike" baseline="0">
              <a:solidFill>
                <a:schemeClr val="tx2"/>
              </a:solidFill>
              <a:latin typeface="+mn-lt"/>
              <a:ea typeface="+mn-ea"/>
              <a:cs typeface="+mn-cs"/>
            </a:defRPr>
          </a:pPr>
          <a:endParaRPr lang="fr-FR"/>
        </a:p>
      </c:txPr>
    </c:title>
    <c:autoTitleDeleted val="0"/>
    <c:plotArea>
      <c:layout/>
      <c:doughnutChart>
        <c:varyColors val="1"/>
        <c:ser>
          <c:idx val="0"/>
          <c:order val="0"/>
          <c:dPt>
            <c:idx val="0"/>
            <c:bubble3D val="0"/>
            <c:spPr>
              <a:prstGeom prst="rect">
                <a:avLst/>
              </a:prstGeom>
              <a:gradFill>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1526-4EC3-A6D6-89DDCF74E330}"/>
              </c:ext>
            </c:extLst>
          </c:dPt>
          <c:dPt>
            <c:idx val="1"/>
            <c:bubble3D val="0"/>
            <c:spPr>
              <a:prstGeom prst="rect">
                <a:avLst/>
              </a:prstGeom>
              <a:gradFill>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1526-4EC3-A6D6-89DDCF74E330}"/>
              </c:ext>
            </c:extLst>
          </c:dPt>
          <c:dLbls>
            <c:spPr>
              <a:noFill/>
              <a:ln>
                <a:noFill/>
              </a:ln>
              <a:effectLst/>
            </c:spPr>
            <c:txPr>
              <a:bodyPr rot="0" spcFirstLastPara="1" vertOverflow="ellipsis" horzOverflow="clip" vert="horz" wrap="square" lIns="38100" tIns="19050" rIns="38100" bIns="19050" anchor="ctr" anchorCtr="1">
                <a:spAutoFit/>
              </a:bodyPr>
              <a:lstStyle/>
              <a:p>
                <a:pPr>
                  <a:defRPr sz="900" b="0" i="0" u="none" strike="noStrike" baseline="0">
                    <a:solidFill>
                      <a:schemeClr val="tx2"/>
                    </a:solidFill>
                    <a:latin typeface="+mn-lt"/>
                    <a:ea typeface="+mn-ea"/>
                    <a:cs typeface="+mn-cs"/>
                  </a:defRPr>
                </a:pPr>
                <a:endParaRPr lang="fr-FR"/>
              </a:p>
            </c:txPr>
            <c:showLegendKey val="0"/>
            <c:showVal val="0"/>
            <c:showCatName val="0"/>
            <c:showSerName val="0"/>
            <c:showPercent val="1"/>
            <c:showBubbleSize val="0"/>
            <c:showLeaderLines val="1"/>
            <c:leaderLines>
              <c:spPr bwMode="auto">
                <a:prstGeom prst="rect">
                  <a:avLst/>
                </a:prstGeom>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'7'!$F$28:$G$28</c:f>
              <c:strCache>
                <c:ptCount val="2"/>
                <c:pt idx="0">
                  <c:v>Empreinte carbone des réseaux de chaleur (MtCO2)</c:v>
                </c:pt>
                <c:pt idx="1">
                  <c:v>Empreinte carbone des réseaux de froid (MtCO2)</c:v>
                </c:pt>
              </c:strCache>
            </c:strRef>
          </c:cat>
          <c:val>
            <c:numRef>
              <c:f>'7'!$F$35:$G$35</c:f>
              <c:numCache>
                <c:formatCode>0.0</c:formatCode>
                <c:ptCount val="2"/>
                <c:pt idx="0">
                  <c:v>0.16398697556694786</c:v>
                </c:pt>
                <c:pt idx="1">
                  <c:v>1.3503806852752343E-3</c:v>
                </c:pt>
              </c:numCache>
            </c:numRef>
          </c:val>
          <c:extLst>
            <c:ext xmlns:c16="http://schemas.microsoft.com/office/drawing/2014/chart" uri="{C3380CC4-5D6E-409C-BE32-E72D297353CC}">
              <c16:uniqueId val="{00000004-1526-4EC3-A6D6-89DDCF74E330}"/>
            </c:ext>
          </c:extLst>
        </c:ser>
        <c:dLbls>
          <c:showLegendKey val="0"/>
          <c:showVal val="0"/>
          <c:showCatName val="0"/>
          <c:showSerName val="0"/>
          <c:showPercent val="1"/>
          <c:showBubbleSize val="0"/>
          <c:showLeaderLines val="1"/>
        </c:dLbls>
        <c:firstSliceAng val="0"/>
        <c:holeSize val="50"/>
      </c:doughnutChart>
      <c:spPr>
        <a:prstGeom prst="rect">
          <a:avLst/>
        </a:prstGeom>
        <a:noFill/>
        <a:ln>
          <a:noFill/>
        </a:ln>
        <a:effectLst/>
      </c:spPr>
    </c:plotArea>
    <c:legend>
      <c:legendPos val="b"/>
      <c:overlay val="0"/>
      <c:spPr>
        <a:prstGeom prst="rect">
          <a:avLst/>
        </a:prstGeom>
        <a:noFill/>
        <a:ln>
          <a:noFill/>
        </a:ln>
        <a:effectLst/>
      </c:spPr>
      <c:txPr>
        <a:bodyPr rot="0" spcFirstLastPara="1" vertOverflow="ellipsis" vert="horz" wrap="square" anchor="ctr" anchorCtr="1"/>
        <a:lstStyle/>
        <a:p>
          <a:pPr>
            <a:defRPr sz="900" b="0" i="0" u="none" strike="noStrike" baseline="0">
              <a:solidFill>
                <a:schemeClr val="tx2"/>
              </a:solidFill>
              <a:latin typeface="+mn-lt"/>
              <a:ea typeface="+mn-ea"/>
              <a:cs typeface="+mn-cs"/>
            </a:defRPr>
          </a:pPr>
          <a:endParaRPr lang="fr-FR"/>
        </a:p>
      </c:txPr>
    </c:legend>
    <c:plotVisOnly val="1"/>
    <c:dispBlanksAs val="gap"/>
    <c:showDLblsOverMax val="0"/>
  </c:chart>
  <c:spPr bwMode="auto">
    <a:xfrm>
      <a:off x="0" y="0"/>
      <a:ext cx="0" cy="0"/>
    </a:xfrm>
    <a:prstGeom prst="rect">
      <a:avLst/>
    </a:prstGeom>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spc="0">
                <a:solidFill>
                  <a:schemeClr val="tx1">
                    <a:lumMod val="65000"/>
                    <a:lumOff val="35000"/>
                  </a:schemeClr>
                </a:solidFill>
                <a:latin typeface="+mn-lt"/>
                <a:ea typeface="+mn-ea"/>
                <a:cs typeface="+mn-cs"/>
              </a:defRPr>
            </a:pPr>
            <a:r>
              <a:rPr lang="fr-FR" sz="1400" b="0" i="0" u="none" strike="noStrike"/>
              <a:t>Nombre de repas servi en fonction du nombre de llits et de places </a:t>
            </a:r>
            <a:endParaRPr lang="fr-FR"/>
          </a:p>
        </c:rich>
      </c:tx>
      <c:overlay val="0"/>
      <c:spPr>
        <a:prstGeom prst="rect">
          <a:avLst/>
        </a:prstGeom>
        <a:noFill/>
        <a:ln>
          <a:noFill/>
          <a:miter/>
        </a:ln>
        <a:effectLst/>
      </c:spPr>
    </c:title>
    <c:autoTitleDeleted val="0"/>
    <c:plotArea>
      <c:layout/>
      <c:scatterChart>
        <c:scatterStyle val="lineMarker"/>
        <c:varyColors val="0"/>
        <c:ser>
          <c:idx val="0"/>
          <c:order val="0"/>
          <c:spPr>
            <a:prstGeom prst="rect">
              <a:avLst/>
            </a:prstGeom>
            <a:ln w="25400" cap="rnd">
              <a:noFill/>
              <a:round/>
            </a:ln>
            <a:effectLst/>
          </c:spPr>
          <c:marker>
            <c:symbol val="circle"/>
            <c:size val="5"/>
            <c:spPr>
              <a:prstGeom prst="rect">
                <a:avLst/>
              </a:prstGeom>
              <a:solidFill>
                <a:schemeClr val="accent1"/>
              </a:solidFill>
              <a:ln w="9525">
                <a:solidFill>
                  <a:schemeClr val="accent1"/>
                </a:solidFill>
              </a:ln>
              <a:effectLst/>
            </c:spPr>
          </c:marker>
          <c:trendline>
            <c:spPr>
              <a:prstGeom prst="rect">
                <a:avLst/>
              </a:prstGeom>
              <a:ln w="19050" cap="rnd">
                <a:solidFill>
                  <a:schemeClr val="accent1"/>
                </a:solidFill>
                <a:prstDash val="sysDot"/>
                <a:bevel/>
              </a:ln>
              <a:effectLst/>
            </c:spPr>
            <c:trendlineType val="linear"/>
            <c:dispRSqr val="1"/>
            <c:dispEq val="1"/>
            <c:trendlineLbl>
              <c:numFmt formatCode="General" sourceLinked="0"/>
              <c:spPr>
                <a:prstGeom prst="rect">
                  <a:avLst/>
                </a:prstGeom>
                <a:noFill/>
                <a:ln>
                  <a:noFill/>
                </a:ln>
                <a:effectLst/>
              </c:spPr>
              <c:txPr>
                <a:bodyPr rot="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fr-FR"/>
                </a:p>
              </c:txPr>
            </c:trendlineLbl>
          </c:trendline>
          <c:xVal>
            <c:numLit>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Lit>
          </c:xVal>
          <c:yVal>
            <c:numLit>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Lit>
          </c:yVal>
          <c:smooth val="0"/>
          <c:extLst>
            <c:ext xmlns:c16="http://schemas.microsoft.com/office/drawing/2014/chart" uri="{C3380CC4-5D6E-409C-BE32-E72D297353CC}">
              <c16:uniqueId val="{00000001-D7D4-4AE6-B043-1A25ED613F78}"/>
            </c:ext>
          </c:extLst>
        </c:ser>
        <c:dLbls>
          <c:showLegendKey val="0"/>
          <c:showVal val="0"/>
          <c:showCatName val="0"/>
          <c:showSerName val="0"/>
          <c:showPercent val="0"/>
          <c:showBubbleSize val="0"/>
        </c:dLbls>
        <c:axId val="424282480"/>
        <c:axId val="424282872"/>
      </c:scatterChart>
      <c:valAx>
        <c:axId val="424282480"/>
        <c:scaling>
          <c:orientation val="minMax"/>
        </c:scaling>
        <c:delete val="0"/>
        <c:axPos val="b"/>
        <c:majorGridlines>
          <c:spPr>
            <a:prstGeom prst="rect">
              <a:avLst/>
            </a:prstGeom>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a:solidFill>
                      <a:schemeClr val="tx1">
                        <a:lumMod val="65000"/>
                        <a:lumOff val="35000"/>
                      </a:schemeClr>
                    </a:solidFill>
                    <a:latin typeface="+mn-lt"/>
                    <a:ea typeface="+mn-ea"/>
                    <a:cs typeface="+mn-cs"/>
                  </a:defRPr>
                </a:pPr>
                <a:r>
                  <a:rPr lang="fr-FR"/>
                  <a:t>Nombre de lits et places</a:t>
                </a:r>
                <a:endParaRPr/>
              </a:p>
            </c:rich>
          </c:tx>
          <c:overlay val="0"/>
          <c:spPr>
            <a:prstGeom prst="rect">
              <a:avLst/>
            </a:prstGeom>
            <a:noFill/>
            <a:ln>
              <a:noFill/>
            </a:ln>
            <a:effectLst/>
          </c:spPr>
        </c:title>
        <c:numFmt formatCode="General" sourceLinked="1"/>
        <c:majorTickMark val="none"/>
        <c:minorTickMark val="none"/>
        <c:tickLblPos val="nextTo"/>
        <c:spPr>
          <a:prstGeom prst="rect">
            <a:avLst/>
          </a:prstGeom>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fr-FR"/>
          </a:p>
        </c:txPr>
        <c:crossAx val="424282872"/>
        <c:crosses val="autoZero"/>
        <c:crossBetween val="midCat"/>
      </c:valAx>
      <c:valAx>
        <c:axId val="424282872"/>
        <c:scaling>
          <c:orientation val="minMax"/>
        </c:scaling>
        <c:delete val="0"/>
        <c:axPos val="l"/>
        <c:majorGridlines>
          <c:spPr>
            <a:prstGeom prst="rect">
              <a:avLst/>
            </a:prstGeom>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indent="0" algn="ctr" defTabSz="914400">
                  <a:lnSpc>
                    <a:spcPct val="100000"/>
                  </a:lnSpc>
                  <a:spcBef>
                    <a:spcPts val="0"/>
                  </a:spcBef>
                  <a:spcAft>
                    <a:spcPts val="0"/>
                  </a:spcAft>
                  <a:buClrTx/>
                  <a:buSzTx/>
                  <a:buFontTx/>
                  <a:buNone/>
                  <a:defRPr sz="1000" b="0" i="0" u="none" strike="noStrike">
                    <a:solidFill>
                      <a:sysClr val="windowText" lastClr="000000">
                        <a:lumMod val="65000"/>
                        <a:lumOff val="35000"/>
                      </a:sysClr>
                    </a:solidFill>
                    <a:latin typeface="+mn-lt"/>
                    <a:ea typeface="+mn-ea"/>
                    <a:cs typeface="+mn-cs"/>
                  </a:defRPr>
                </a:pPr>
                <a:r>
                  <a:rPr lang="fr-FR" sz="1000" b="0" i="0">
                    <a:solidFill>
                      <a:srgbClr val="595959"/>
                    </a:solidFill>
                  </a:rPr>
                  <a:t>Nombre de repas servis par an</a:t>
                </a:r>
                <a:endParaRPr lang="fr-FR"/>
              </a:p>
            </c:rich>
          </c:tx>
          <c:overlay val="0"/>
          <c:spPr>
            <a:prstGeom prst="rect">
              <a:avLst/>
            </a:prstGeom>
            <a:noFill/>
            <a:ln>
              <a:noFill/>
            </a:ln>
            <a:effectLst/>
          </c:spPr>
        </c:title>
        <c:numFmt formatCode="General" sourceLinked="1"/>
        <c:majorTickMark val="none"/>
        <c:minorTickMark val="none"/>
        <c:tickLblPos val="nextTo"/>
        <c:spPr>
          <a:prstGeom prst="rect">
            <a:avLst/>
          </a:prstGeom>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fr-FR"/>
          </a:p>
        </c:txPr>
        <c:crossAx val="424282480"/>
        <c:crosses val="autoZero"/>
        <c:crossBetween val="midCat"/>
      </c:valAx>
      <c:spPr>
        <a:prstGeom prst="rect">
          <a:avLst/>
        </a:prstGeom>
        <a:noFill/>
        <a:ln>
          <a:noFill/>
        </a:ln>
        <a:effectLst/>
      </c:spPr>
    </c:plotArea>
    <c:plotVisOnly val="1"/>
    <c:dispBlanksAs val="gap"/>
    <c:showDLblsOverMax val="0"/>
  </c:chart>
  <c:spPr>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44" l="0.7000000000000004" r="0.7000000000000004" t="0.75000000000000044" header="0.30000000000000021" footer="0.3000000000000002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cs:axisTitle>
  <cs:categoryAxis>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defRPr sz="900"/>
  </cs:categoryAxis>
  <cs:chartArea>
    <cs:lnRef idx="0"/>
    <cs:fillRef idx="0"/>
    <cs:effectRef idx="0"/>
    <cs:fontRef idx="minor">
      <a:schemeClr val="tx2"/>
    </cs:fontRef>
    <cs:spPr bwMode="auto">
      <a:prstGeom prst="rect">
        <a:avLst/>
      </a:prstGeom>
      <a:solidFill>
        <a:schemeClr val="bg1"/>
      </a:solidFill>
      <a:ln w="9525" cap="flat" cmpd="sng" algn="ctr">
        <a:solidFill>
          <a:schemeClr val="tx2">
            <a:lumMod val="15000"/>
            <a:lumOff val="85000"/>
          </a:schemeClr>
        </a:solidFill>
        <a:round/>
      </a:ln>
    </cs:spPr>
    <cs:defRPr sz="900"/>
  </cs:chartArea>
  <cs:dataLabel>
    <cs:lnRef idx="0"/>
    <cs:fillRef idx="0"/>
    <cs:effectRef idx="0"/>
    <cs:fontRef idx="minor">
      <a:schemeClr val="tx2"/>
    </cs:fontRef>
    <cs:defRPr sz="900"/>
  </cs:dataLabel>
  <cs:dataLabelCallout>
    <cs:lnRef idx="0"/>
    <cs:fillRef idx="0"/>
    <cs:effectRef idx="0"/>
    <cs:fontRef idx="minor">
      <a:schemeClr val="dk2">
        <a:lumMod val="7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bwMode="auto">
      <a:prstGeom prst="rect">
        <a:avLst/>
      </a:prstGeom>
      <a:ln w="31750" cap="rnd">
        <a:solidFill>
          <a:schemeClr val="phClr"/>
        </a:solidFill>
        <a:round/>
      </a:ln>
    </cs:spPr>
  </cs:dataPointLine>
  <cs:dataPointMarker>
    <cs:lnRef idx="0"/>
    <cs:fillRef idx="3">
      <cs:styleClr val="auto"/>
    </cs:fillRef>
    <cs:effectRef idx="2"/>
    <cs:fontRef idx="minor">
      <a:schemeClr val="tx2"/>
    </cs:fontRef>
    <cs:spPr bwMode="auto">
      <a:prstGeom prst="rect">
        <a:avLst/>
      </a:prstGeom>
      <a:ln w="12700">
        <a:solidFill>
          <a:schemeClr val="lt2"/>
        </a:solidFill>
        <a:round/>
      </a:ln>
    </cs:spPr>
  </cs:dataPointMarker>
  <cs:dataPointMarkerLayout/>
  <cs:dataPointWireframe>
    <cs:lnRef idx="0">
      <cs:styleClr val="auto"/>
    </cs:lnRef>
    <cs:fillRef idx="3"/>
    <cs:effectRef idx="2"/>
    <cs:fontRef idx="minor">
      <a:schemeClr val="tx2"/>
    </cs:fontRef>
    <cs:spPr bwMode="auto">
      <a:prstGeom prst="rect">
        <a:avLst/>
      </a:prstGeom>
      <a:ln w="9525" cap="rnd">
        <a:solidFill>
          <a:schemeClr val="phClr"/>
        </a:solidFill>
        <a:round/>
      </a:ln>
    </cs:spPr>
  </cs:dataPointWireframe>
  <cs:dataTable>
    <cs:lnRef idx="0"/>
    <cs:fillRef idx="0"/>
    <cs:effectRef idx="0"/>
    <cs:fontRef idx="minor">
      <a:schemeClr val="tx2"/>
    </cs:fontRef>
    <cs:spPr bwMode="auto">
      <a:prstGeom prst="rect">
        <a:avLst/>
      </a:prstGeom>
      <a:ln w="9525">
        <a:solidFill>
          <a:schemeClr val="tx2">
            <a:lumMod val="15000"/>
            <a:lumOff val="85000"/>
          </a:schemeClr>
        </a:solidFill>
      </a:ln>
    </cs:spPr>
    <cs:defRPr sz="900"/>
  </cs:dataTable>
  <cs:downBar>
    <cs:lnRef idx="0"/>
    <cs:fillRef idx="0"/>
    <cs:effectRef idx="0"/>
    <cs:fontRef idx="minor">
      <a:schemeClr val="dk1"/>
    </cs:fontRef>
    <cs:spPr bwMode="auto">
      <a:prstGeom prst="rect">
        <a:avLst/>
      </a:prstGeom>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bwMode="auto">
      <a:prstGeom prst="rect">
        <a:avLst/>
      </a:prstGeom>
      <a:ln w="9525">
        <a:solidFill>
          <a:schemeClr val="tx2">
            <a:lumMod val="60000"/>
            <a:lumOff val="40000"/>
          </a:schemeClr>
        </a:solidFill>
        <a:prstDash val="dash"/>
      </a:ln>
    </cs:spPr>
  </cs:dropLine>
  <cs:errorBar>
    <cs:lnRef idx="0"/>
    <cs:fillRef idx="0"/>
    <cs:effectRef idx="0"/>
    <cs:fontRef idx="minor">
      <a:schemeClr val="tx2"/>
    </cs:fontRef>
    <cs:spPr bwMode="auto">
      <a:prstGeom prst="rect">
        <a:avLst/>
      </a:prstGeom>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gridlineMajor>
  <cs:gridlineMinor>
    <cs:lnRef idx="0"/>
    <cs:fillRef idx="0"/>
    <cs:effectRef idx="0"/>
    <cs:fontRef idx="minor">
      <a:schemeClr val="tx2"/>
    </cs:fontRef>
    <cs:spPr bwMode="auto">
      <a:prstGeom prst="rect">
        <a:avLst/>
      </a:prstGeom>
      <a:ln>
        <a:solidFill>
          <a:schemeClr val="tx2">
            <a:lumMod val="5000"/>
            <a:lumOff val="95000"/>
          </a:schemeClr>
        </a:solidFill>
      </a:ln>
    </cs:spPr>
  </cs:gridlineMinor>
  <cs:hiLoLine>
    <cs:lnRef idx="0"/>
    <cs:fillRef idx="0"/>
    <cs:effectRef idx="0"/>
    <cs:fontRef idx="minor">
      <a:schemeClr val="tx2"/>
    </cs:fontRef>
    <cs:spPr bwMode="auto">
      <a:prstGeom prst="rect">
        <a:avLst/>
      </a:prstGeom>
      <a:ln w="9525">
        <a:solidFill>
          <a:schemeClr val="tx2">
            <a:lumMod val="60000"/>
            <a:lumOff val="40000"/>
          </a:schemeClr>
        </a:solidFill>
        <a:prstDash val="dash"/>
      </a:ln>
    </cs:spPr>
  </cs:hiLoLine>
  <cs:leaderLine>
    <cs:lnRef idx="0"/>
    <cs:fillRef idx="0"/>
    <cs:effectRef idx="0"/>
    <cs:fontRef idx="minor">
      <a:schemeClr val="tx2"/>
    </cs:fontRef>
    <cs:spPr bwMode="auto">
      <a:prstGeom prst="rect">
        <a:avLst/>
      </a:prstGeom>
      <a:ln w="9525">
        <a:solidFill>
          <a:schemeClr val="tx2">
            <a:lumMod val="35000"/>
            <a:lumOff val="65000"/>
          </a:schemeClr>
        </a:solidFill>
      </a:ln>
    </cs:spPr>
  </cs:leaderLine>
  <cs:legend>
    <cs:lnRef idx="0"/>
    <cs:fillRef idx="0"/>
    <cs:effectRef idx="0"/>
    <cs:fontRef idx="minor">
      <a:schemeClr val="tx2"/>
    </cs:fontRef>
    <cs:defRPr sz="9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defRPr sz="900"/>
  </cs:seriesAxis>
  <cs:seriesLine>
    <cs:lnRef idx="0"/>
    <cs:fillRef idx="0"/>
    <cs:effectRef idx="0"/>
    <cs:fontRef idx="minor">
      <a:schemeClr val="tx2"/>
    </cs:fontRef>
    <cs:spPr bwMode="auto">
      <a:prstGeom prst="rect">
        <a:avLst/>
      </a:prstGeom>
      <a:ln w="9525">
        <a:solidFill>
          <a:schemeClr val="tx2">
            <a:lumMod val="60000"/>
            <a:lumOff val="40000"/>
          </a:schemeClr>
        </a:solidFill>
        <a:prstDash val="dash"/>
      </a:ln>
    </cs:spPr>
  </cs:seriesLine>
  <cs:title>
    <cs:lnRef idx="0"/>
    <cs:fillRef idx="0"/>
    <cs:effectRef idx="0"/>
    <cs:fontRef idx="minor">
      <a:schemeClr val="tx2"/>
    </cs:fontRef>
    <cs:defRPr sz="1600" b="1"/>
  </cs:title>
  <cs:trendline>
    <cs:lnRef idx="0">
      <cs:styleClr val="auto"/>
    </cs:lnRef>
    <cs:fillRef idx="0"/>
    <cs:effectRef idx="0"/>
    <cs:fontRef idx="minor">
      <a:schemeClr val="tx2"/>
    </cs:fontRef>
    <cs:spPr bwMode="auto">
      <a:prstGeom prst="rect">
        <a:avLst/>
      </a:prstGeom>
      <a:ln w="19050" cap="rnd">
        <a:solidFill>
          <a:schemeClr val="phClr"/>
        </a:solidFill>
        <a:prstDash val="sysDash"/>
      </a:ln>
    </cs:spPr>
  </cs:trendline>
  <cs:trendlineLabel>
    <cs:lnRef idx="0"/>
    <cs:fillRef idx="0"/>
    <cs:effectRef idx="0"/>
    <cs:fontRef idx="minor">
      <a:schemeClr val="tx2"/>
    </cs:fontRef>
    <cs:defRPr sz="900"/>
  </cs:trendlineLabel>
  <cs:upBar>
    <cs:lnRef idx="0"/>
    <cs:fillRef idx="0"/>
    <cs:effectRef idx="0"/>
    <cs:fontRef idx="minor">
      <a:schemeClr val="tx2"/>
    </cs:fontRef>
    <cs:spPr bwMode="auto">
      <a:prstGeom prst="rect">
        <a:avLst/>
      </a:prstGeom>
      <a:solidFill>
        <a:schemeClr val="lt1"/>
      </a:solidFill>
      <a:ln w="9525">
        <a:solidFill>
          <a:schemeClr val="tx1">
            <a:lumMod val="15000"/>
            <a:lumOff val="85000"/>
          </a:schemeClr>
        </a:solidFill>
      </a:ln>
    </cs:spPr>
  </cs:upBar>
  <cs:valueAxis>
    <cs:lnRef idx="0"/>
    <cs:fillRef idx="0"/>
    <cs:effectRef idx="0"/>
    <cs:fontRef idx="minor">
      <a:schemeClr val="tx2"/>
    </cs:fontRef>
    <cs:defRPr sz="9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cs:axisTitle>
  <cs:categoryAxis>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defRPr sz="900"/>
  </cs:categoryAxis>
  <cs:chartArea>
    <cs:lnRef idx="0"/>
    <cs:fillRef idx="0"/>
    <cs:effectRef idx="0"/>
    <cs:fontRef idx="minor">
      <a:schemeClr val="tx2"/>
    </cs:fontRef>
    <cs:spPr bwMode="auto">
      <a:prstGeom prst="rect">
        <a:avLst/>
      </a:prstGeom>
      <a:solidFill>
        <a:schemeClr val="bg1"/>
      </a:solidFill>
      <a:ln w="9525" cap="flat" cmpd="sng" algn="ctr">
        <a:solidFill>
          <a:schemeClr val="tx2">
            <a:lumMod val="15000"/>
            <a:lumOff val="85000"/>
          </a:schemeClr>
        </a:solidFill>
        <a:round/>
      </a:ln>
    </cs:spPr>
    <cs:defRPr sz="900"/>
  </cs:chartArea>
  <cs:dataLabel>
    <cs:lnRef idx="0"/>
    <cs:fillRef idx="0"/>
    <cs:effectRef idx="0"/>
    <cs:fontRef idx="minor">
      <a:schemeClr val="tx2"/>
    </cs:fontRef>
    <cs:defRPr sz="900"/>
  </cs:dataLabel>
  <cs:dataLabelCallout>
    <cs:lnRef idx="0"/>
    <cs:fillRef idx="0"/>
    <cs:effectRef idx="0"/>
    <cs:fontRef idx="minor">
      <a:schemeClr val="dk2">
        <a:lumMod val="7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bwMode="auto">
      <a:prstGeom prst="rect">
        <a:avLst/>
      </a:prstGeom>
      <a:ln w="31750" cap="rnd">
        <a:solidFill>
          <a:schemeClr val="phClr"/>
        </a:solidFill>
        <a:round/>
      </a:ln>
    </cs:spPr>
  </cs:dataPointLine>
  <cs:dataPointMarker>
    <cs:lnRef idx="0"/>
    <cs:fillRef idx="3">
      <cs:styleClr val="auto"/>
    </cs:fillRef>
    <cs:effectRef idx="2"/>
    <cs:fontRef idx="minor">
      <a:schemeClr val="tx2"/>
    </cs:fontRef>
    <cs:spPr bwMode="auto">
      <a:prstGeom prst="rect">
        <a:avLst/>
      </a:prstGeom>
      <a:ln w="12700">
        <a:solidFill>
          <a:schemeClr val="lt2"/>
        </a:solidFill>
        <a:round/>
      </a:ln>
    </cs:spPr>
  </cs:dataPointMarker>
  <cs:dataPointMarkerLayout/>
  <cs:dataPointWireframe>
    <cs:lnRef idx="0">
      <cs:styleClr val="auto"/>
    </cs:lnRef>
    <cs:fillRef idx="3"/>
    <cs:effectRef idx="2"/>
    <cs:fontRef idx="minor">
      <a:schemeClr val="tx2"/>
    </cs:fontRef>
    <cs:spPr bwMode="auto">
      <a:prstGeom prst="rect">
        <a:avLst/>
      </a:prstGeom>
      <a:ln w="9525" cap="rnd">
        <a:solidFill>
          <a:schemeClr val="phClr"/>
        </a:solidFill>
        <a:round/>
      </a:ln>
    </cs:spPr>
  </cs:dataPointWireframe>
  <cs:dataTable>
    <cs:lnRef idx="0"/>
    <cs:fillRef idx="0"/>
    <cs:effectRef idx="0"/>
    <cs:fontRef idx="minor">
      <a:schemeClr val="tx2"/>
    </cs:fontRef>
    <cs:spPr bwMode="auto">
      <a:prstGeom prst="rect">
        <a:avLst/>
      </a:prstGeom>
      <a:ln w="9525">
        <a:solidFill>
          <a:schemeClr val="tx2">
            <a:lumMod val="15000"/>
            <a:lumOff val="85000"/>
          </a:schemeClr>
        </a:solidFill>
      </a:ln>
    </cs:spPr>
    <cs:defRPr sz="900"/>
  </cs:dataTable>
  <cs:downBar>
    <cs:lnRef idx="0"/>
    <cs:fillRef idx="0"/>
    <cs:effectRef idx="0"/>
    <cs:fontRef idx="minor">
      <a:schemeClr val="dk1"/>
    </cs:fontRef>
    <cs:spPr bwMode="auto">
      <a:prstGeom prst="rect">
        <a:avLst/>
      </a:prstGeom>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bwMode="auto">
      <a:prstGeom prst="rect">
        <a:avLst/>
      </a:prstGeom>
      <a:ln w="9525">
        <a:solidFill>
          <a:schemeClr val="tx2">
            <a:lumMod val="60000"/>
            <a:lumOff val="40000"/>
          </a:schemeClr>
        </a:solidFill>
        <a:prstDash val="dash"/>
      </a:ln>
    </cs:spPr>
  </cs:dropLine>
  <cs:errorBar>
    <cs:lnRef idx="0"/>
    <cs:fillRef idx="0"/>
    <cs:effectRef idx="0"/>
    <cs:fontRef idx="minor">
      <a:schemeClr val="tx2"/>
    </cs:fontRef>
    <cs:spPr bwMode="auto">
      <a:prstGeom prst="rect">
        <a:avLst/>
      </a:prstGeom>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gridlineMajor>
  <cs:gridlineMinor>
    <cs:lnRef idx="0"/>
    <cs:fillRef idx="0"/>
    <cs:effectRef idx="0"/>
    <cs:fontRef idx="minor">
      <a:schemeClr val="tx2"/>
    </cs:fontRef>
    <cs:spPr bwMode="auto">
      <a:prstGeom prst="rect">
        <a:avLst/>
      </a:prstGeom>
      <a:ln>
        <a:solidFill>
          <a:schemeClr val="tx2">
            <a:lumMod val="5000"/>
            <a:lumOff val="95000"/>
          </a:schemeClr>
        </a:solidFill>
      </a:ln>
    </cs:spPr>
  </cs:gridlineMinor>
  <cs:hiLoLine>
    <cs:lnRef idx="0"/>
    <cs:fillRef idx="0"/>
    <cs:effectRef idx="0"/>
    <cs:fontRef idx="minor">
      <a:schemeClr val="tx2"/>
    </cs:fontRef>
    <cs:spPr bwMode="auto">
      <a:prstGeom prst="rect">
        <a:avLst/>
      </a:prstGeom>
      <a:ln w="9525">
        <a:solidFill>
          <a:schemeClr val="tx2">
            <a:lumMod val="60000"/>
            <a:lumOff val="40000"/>
          </a:schemeClr>
        </a:solidFill>
        <a:prstDash val="dash"/>
      </a:ln>
    </cs:spPr>
  </cs:hiLoLine>
  <cs:leaderLine>
    <cs:lnRef idx="0"/>
    <cs:fillRef idx="0"/>
    <cs:effectRef idx="0"/>
    <cs:fontRef idx="minor">
      <a:schemeClr val="tx2"/>
    </cs:fontRef>
    <cs:spPr bwMode="auto">
      <a:prstGeom prst="rect">
        <a:avLst/>
      </a:prstGeom>
      <a:ln w="9525">
        <a:solidFill>
          <a:schemeClr val="tx2">
            <a:lumMod val="35000"/>
            <a:lumOff val="65000"/>
          </a:schemeClr>
        </a:solidFill>
      </a:ln>
    </cs:spPr>
  </cs:leaderLine>
  <cs:legend>
    <cs:lnRef idx="0"/>
    <cs:fillRef idx="0"/>
    <cs:effectRef idx="0"/>
    <cs:fontRef idx="minor">
      <a:schemeClr val="tx2"/>
    </cs:fontRef>
    <cs:defRPr sz="9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defRPr sz="900"/>
  </cs:seriesAxis>
  <cs:seriesLine>
    <cs:lnRef idx="0"/>
    <cs:fillRef idx="0"/>
    <cs:effectRef idx="0"/>
    <cs:fontRef idx="minor">
      <a:schemeClr val="tx2"/>
    </cs:fontRef>
    <cs:spPr bwMode="auto">
      <a:prstGeom prst="rect">
        <a:avLst/>
      </a:prstGeom>
      <a:ln w="9525">
        <a:solidFill>
          <a:schemeClr val="tx2">
            <a:lumMod val="60000"/>
            <a:lumOff val="40000"/>
          </a:schemeClr>
        </a:solidFill>
        <a:prstDash val="dash"/>
      </a:ln>
    </cs:spPr>
  </cs:seriesLine>
  <cs:title>
    <cs:lnRef idx="0"/>
    <cs:fillRef idx="0"/>
    <cs:effectRef idx="0"/>
    <cs:fontRef idx="minor">
      <a:schemeClr val="tx2"/>
    </cs:fontRef>
    <cs:defRPr sz="1600" b="1"/>
  </cs:title>
  <cs:trendline>
    <cs:lnRef idx="0">
      <cs:styleClr val="auto"/>
    </cs:lnRef>
    <cs:fillRef idx="0"/>
    <cs:effectRef idx="0"/>
    <cs:fontRef idx="minor">
      <a:schemeClr val="tx2"/>
    </cs:fontRef>
    <cs:spPr bwMode="auto">
      <a:prstGeom prst="rect">
        <a:avLst/>
      </a:prstGeom>
      <a:ln w="19050" cap="rnd">
        <a:solidFill>
          <a:schemeClr val="phClr"/>
        </a:solidFill>
        <a:prstDash val="sysDash"/>
      </a:ln>
    </cs:spPr>
  </cs:trendline>
  <cs:trendlineLabel>
    <cs:lnRef idx="0"/>
    <cs:fillRef idx="0"/>
    <cs:effectRef idx="0"/>
    <cs:fontRef idx="minor">
      <a:schemeClr val="tx2"/>
    </cs:fontRef>
    <cs:defRPr sz="900"/>
  </cs:trendlineLabel>
  <cs:upBar>
    <cs:lnRef idx="0"/>
    <cs:fillRef idx="0"/>
    <cs:effectRef idx="0"/>
    <cs:fontRef idx="minor">
      <a:schemeClr val="tx2"/>
    </cs:fontRef>
    <cs:spPr bwMode="auto">
      <a:prstGeom prst="rect">
        <a:avLst/>
      </a:prstGeom>
      <a:solidFill>
        <a:schemeClr val="lt1"/>
      </a:solidFill>
      <a:ln w="9525">
        <a:solidFill>
          <a:schemeClr val="tx1">
            <a:lumMod val="15000"/>
            <a:lumOff val="85000"/>
          </a:schemeClr>
        </a:solidFill>
      </a:ln>
    </cs:spPr>
  </cs:upBar>
  <cs:valueAxis>
    <cs:lnRef idx="0"/>
    <cs:fillRef idx="0"/>
    <cs:effectRef idx="0"/>
    <cs:fontRef idx="minor">
      <a:schemeClr val="tx2"/>
    </cs:fontRef>
    <cs:defRPr sz="9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cs:axisTitle>
  <cs:categoryAxis>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defRPr sz="900"/>
  </cs:categoryAxis>
  <cs:chartArea>
    <cs:lnRef idx="0"/>
    <cs:fillRef idx="0"/>
    <cs:effectRef idx="0"/>
    <cs:fontRef idx="minor">
      <a:schemeClr val="tx2"/>
    </cs:fontRef>
    <cs:spPr bwMode="auto">
      <a:prstGeom prst="rect">
        <a:avLst/>
      </a:prstGeom>
      <a:solidFill>
        <a:schemeClr val="bg1"/>
      </a:solidFill>
      <a:ln w="9525" cap="flat" cmpd="sng" algn="ctr">
        <a:solidFill>
          <a:schemeClr val="tx2">
            <a:lumMod val="15000"/>
            <a:lumOff val="85000"/>
          </a:schemeClr>
        </a:solidFill>
        <a:round/>
      </a:ln>
    </cs:spPr>
    <cs:defRPr sz="900"/>
  </cs:chartArea>
  <cs:dataLabel>
    <cs:lnRef idx="0"/>
    <cs:fillRef idx="0"/>
    <cs:effectRef idx="0"/>
    <cs:fontRef idx="minor">
      <a:schemeClr val="tx2"/>
    </cs:fontRef>
    <cs:defRPr sz="900"/>
  </cs:dataLabel>
  <cs:dataLabelCallout>
    <cs:lnRef idx="0"/>
    <cs:fillRef idx="0"/>
    <cs:effectRef idx="0"/>
    <cs:fontRef idx="minor">
      <a:schemeClr val="dk2">
        <a:lumMod val="75000"/>
      </a:schemeClr>
    </cs:fontRef>
    <cs:spPr bwMode="auto">
      <a:prstGeom prst="rect">
        <a:avLst/>
      </a:prstGeom>
      <a:solidFill>
        <a:schemeClr val="lt1"/>
      </a:solidFill>
      <a:ln>
        <a:solidFill>
          <a:schemeClr val="dk1">
            <a:lumMod val="25000"/>
            <a:lumOff val="75000"/>
          </a:schemeClr>
        </a:solidFill>
        <a:miter/>
      </a:ln>
    </cs:spPr>
    <cs:defRPr sz="9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bwMode="auto">
      <a:prstGeom prst="rect">
        <a:avLst/>
      </a:prstGeom>
      <a:ln w="31750" cap="rnd">
        <a:solidFill>
          <a:schemeClr val="phClr"/>
        </a:solidFill>
        <a:round/>
      </a:ln>
    </cs:spPr>
  </cs:dataPointLine>
  <cs:dataPointMarker>
    <cs:lnRef idx="0"/>
    <cs:fillRef idx="3">
      <cs:styleClr val="auto"/>
    </cs:fillRef>
    <cs:effectRef idx="2"/>
    <cs:fontRef idx="minor">
      <a:schemeClr val="tx2"/>
    </cs:fontRef>
    <cs:spPr bwMode="auto">
      <a:prstGeom prst="rect">
        <a:avLst/>
      </a:prstGeom>
      <a:ln w="12700">
        <a:solidFill>
          <a:schemeClr val="lt2"/>
        </a:solidFill>
        <a:round/>
      </a:ln>
    </cs:spPr>
  </cs:dataPointMarker>
  <cs:dataPointMarkerLayout/>
  <cs:dataPointWireframe>
    <cs:lnRef idx="0">
      <cs:styleClr val="auto"/>
    </cs:lnRef>
    <cs:fillRef idx="3"/>
    <cs:effectRef idx="2"/>
    <cs:fontRef idx="minor">
      <a:schemeClr val="tx2"/>
    </cs:fontRef>
    <cs:spPr bwMode="auto">
      <a:prstGeom prst="rect">
        <a:avLst/>
      </a:prstGeom>
      <a:ln w="9525" cap="rnd">
        <a:solidFill>
          <a:schemeClr val="phClr"/>
        </a:solidFill>
        <a:round/>
      </a:ln>
    </cs:spPr>
  </cs:dataPointWireframe>
  <cs:dataTable>
    <cs:lnRef idx="0"/>
    <cs:fillRef idx="0"/>
    <cs:effectRef idx="0"/>
    <cs:fontRef idx="minor">
      <a:schemeClr val="tx2"/>
    </cs:fontRef>
    <cs:spPr bwMode="auto">
      <a:prstGeom prst="rect">
        <a:avLst/>
      </a:prstGeom>
      <a:ln w="9525">
        <a:solidFill>
          <a:schemeClr val="tx2">
            <a:lumMod val="15000"/>
            <a:lumOff val="85000"/>
          </a:schemeClr>
        </a:solidFill>
      </a:ln>
    </cs:spPr>
    <cs:defRPr sz="900"/>
  </cs:dataTable>
  <cs:downBar>
    <cs:lnRef idx="0"/>
    <cs:fillRef idx="0"/>
    <cs:effectRef idx="0"/>
    <cs:fontRef idx="minor">
      <a:schemeClr val="dk1"/>
    </cs:fontRef>
    <cs:spPr bwMode="auto">
      <a:prstGeom prst="rect">
        <a:avLst/>
      </a:prstGeom>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bwMode="auto">
      <a:prstGeom prst="rect">
        <a:avLst/>
      </a:prstGeom>
      <a:ln w="9525">
        <a:solidFill>
          <a:schemeClr val="tx2">
            <a:lumMod val="60000"/>
            <a:lumOff val="40000"/>
          </a:schemeClr>
        </a:solidFill>
        <a:prstDash val="dash"/>
      </a:ln>
    </cs:spPr>
  </cs:dropLine>
  <cs:errorBar>
    <cs:lnRef idx="0"/>
    <cs:fillRef idx="0"/>
    <cs:effectRef idx="0"/>
    <cs:fontRef idx="minor">
      <a:schemeClr val="tx2"/>
    </cs:fontRef>
    <cs:spPr bwMode="auto">
      <a:prstGeom prst="rect">
        <a:avLst/>
      </a:prstGeom>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gridlineMajor>
  <cs:gridlineMinor>
    <cs:lnRef idx="0"/>
    <cs:fillRef idx="0"/>
    <cs:effectRef idx="0"/>
    <cs:fontRef idx="minor">
      <a:schemeClr val="tx2"/>
    </cs:fontRef>
    <cs:spPr bwMode="auto">
      <a:prstGeom prst="rect">
        <a:avLst/>
      </a:prstGeom>
      <a:ln>
        <a:solidFill>
          <a:schemeClr val="tx2">
            <a:lumMod val="5000"/>
            <a:lumOff val="95000"/>
          </a:schemeClr>
        </a:solidFill>
      </a:ln>
    </cs:spPr>
  </cs:gridlineMinor>
  <cs:hiLoLine>
    <cs:lnRef idx="0"/>
    <cs:fillRef idx="0"/>
    <cs:effectRef idx="0"/>
    <cs:fontRef idx="minor">
      <a:schemeClr val="tx2"/>
    </cs:fontRef>
    <cs:spPr bwMode="auto">
      <a:prstGeom prst="rect">
        <a:avLst/>
      </a:prstGeom>
      <a:ln w="9525">
        <a:solidFill>
          <a:schemeClr val="tx2">
            <a:lumMod val="60000"/>
            <a:lumOff val="40000"/>
          </a:schemeClr>
        </a:solidFill>
        <a:prstDash val="dash"/>
      </a:ln>
    </cs:spPr>
  </cs:hiLoLine>
  <cs:leaderLine>
    <cs:lnRef idx="0"/>
    <cs:fillRef idx="0"/>
    <cs:effectRef idx="0"/>
    <cs:fontRef idx="minor">
      <a:schemeClr val="tx2"/>
    </cs:fontRef>
    <cs:spPr bwMode="auto">
      <a:prstGeom prst="rect">
        <a:avLst/>
      </a:prstGeom>
      <a:ln w="9525">
        <a:solidFill>
          <a:schemeClr val="tx2">
            <a:lumMod val="35000"/>
            <a:lumOff val="65000"/>
          </a:schemeClr>
        </a:solidFill>
      </a:ln>
    </cs:spPr>
  </cs:leaderLine>
  <cs:legend>
    <cs:lnRef idx="0"/>
    <cs:fillRef idx="0"/>
    <cs:effectRef idx="0"/>
    <cs:fontRef idx="minor">
      <a:schemeClr val="tx2"/>
    </cs:fontRef>
    <cs:defRPr sz="9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defRPr sz="900"/>
  </cs:seriesAxis>
  <cs:seriesLine>
    <cs:lnRef idx="0"/>
    <cs:fillRef idx="0"/>
    <cs:effectRef idx="0"/>
    <cs:fontRef idx="minor">
      <a:schemeClr val="tx2"/>
    </cs:fontRef>
    <cs:spPr bwMode="auto">
      <a:prstGeom prst="rect">
        <a:avLst/>
      </a:prstGeom>
      <a:ln w="9525">
        <a:solidFill>
          <a:schemeClr val="tx2">
            <a:lumMod val="60000"/>
            <a:lumOff val="40000"/>
          </a:schemeClr>
        </a:solidFill>
        <a:prstDash val="dash"/>
      </a:ln>
    </cs:spPr>
  </cs:seriesLine>
  <cs:title>
    <cs:lnRef idx="0"/>
    <cs:fillRef idx="0"/>
    <cs:effectRef idx="0"/>
    <cs:fontRef idx="minor">
      <a:schemeClr val="tx2"/>
    </cs:fontRef>
    <cs:defRPr sz="1600" b="1"/>
  </cs:title>
  <cs:trendline>
    <cs:lnRef idx="0">
      <cs:styleClr val="auto"/>
    </cs:lnRef>
    <cs:fillRef idx="0"/>
    <cs:effectRef idx="0"/>
    <cs:fontRef idx="minor">
      <a:schemeClr val="tx2"/>
    </cs:fontRef>
    <cs:spPr bwMode="auto">
      <a:prstGeom prst="rect">
        <a:avLst/>
      </a:prstGeom>
      <a:ln w="19050" cap="rnd">
        <a:solidFill>
          <a:schemeClr val="phClr"/>
        </a:solidFill>
        <a:prstDash val="sysDash"/>
      </a:ln>
    </cs:spPr>
  </cs:trendline>
  <cs:trendlineLabel>
    <cs:lnRef idx="0"/>
    <cs:fillRef idx="0"/>
    <cs:effectRef idx="0"/>
    <cs:fontRef idx="minor">
      <a:schemeClr val="tx2"/>
    </cs:fontRef>
    <cs:defRPr sz="900"/>
  </cs:trendlineLabel>
  <cs:upBar>
    <cs:lnRef idx="0"/>
    <cs:fillRef idx="0"/>
    <cs:effectRef idx="0"/>
    <cs:fontRef idx="minor">
      <a:schemeClr val="tx2"/>
    </cs:fontRef>
    <cs:spPr bwMode="auto">
      <a:prstGeom prst="rect">
        <a:avLst/>
      </a:prstGeom>
      <a:solidFill>
        <a:schemeClr val="lt1"/>
      </a:solidFill>
      <a:ln w="9525">
        <a:solidFill>
          <a:schemeClr val="tx1">
            <a:lumMod val="15000"/>
            <a:lumOff val="85000"/>
          </a:schemeClr>
        </a:solidFill>
      </a:ln>
    </cs:spPr>
  </cs:upBar>
  <cs:valueAxis>
    <cs:lnRef idx="0"/>
    <cs:fillRef idx="0"/>
    <cs:effectRef idx="0"/>
    <cs:fontRef idx="minor">
      <a:schemeClr val="tx2"/>
    </cs:fontRef>
    <cs:defRPr sz="9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cs:axisTitle>
  <cs:categoryAxis>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defRPr sz="900"/>
  </cs:categoryAxis>
  <cs:chartArea>
    <cs:lnRef idx="0"/>
    <cs:fillRef idx="0"/>
    <cs:effectRef idx="0"/>
    <cs:fontRef idx="minor">
      <a:schemeClr val="tx2"/>
    </cs:fontRef>
    <cs:spPr bwMode="auto">
      <a:prstGeom prst="rect">
        <a:avLst/>
      </a:prstGeom>
      <a:solidFill>
        <a:schemeClr val="bg1"/>
      </a:solidFill>
      <a:ln w="9525" cap="flat" cmpd="sng" algn="ctr">
        <a:solidFill>
          <a:schemeClr val="tx2">
            <a:lumMod val="15000"/>
            <a:lumOff val="85000"/>
          </a:schemeClr>
        </a:solidFill>
        <a:round/>
      </a:ln>
    </cs:spPr>
    <cs:defRPr sz="900"/>
  </cs:chartArea>
  <cs:dataLabel>
    <cs:lnRef idx="0"/>
    <cs:fillRef idx="0"/>
    <cs:effectRef idx="0"/>
    <cs:fontRef idx="minor">
      <a:schemeClr val="tx2"/>
    </cs:fontRef>
    <cs:defRPr sz="900"/>
  </cs:dataLabel>
  <cs:dataLabelCallout>
    <cs:lnRef idx="0"/>
    <cs:fillRef idx="0"/>
    <cs:effectRef idx="0"/>
    <cs:fontRef idx="minor">
      <a:schemeClr val="dk2">
        <a:lumMod val="7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bwMode="auto">
      <a:prstGeom prst="rect">
        <a:avLst/>
      </a:prstGeom>
      <a:ln w="31750" cap="rnd">
        <a:solidFill>
          <a:schemeClr val="phClr"/>
        </a:solidFill>
        <a:round/>
      </a:ln>
    </cs:spPr>
  </cs:dataPointLine>
  <cs:dataPointMarker>
    <cs:lnRef idx="0"/>
    <cs:fillRef idx="3">
      <cs:styleClr val="auto"/>
    </cs:fillRef>
    <cs:effectRef idx="2"/>
    <cs:fontRef idx="minor">
      <a:schemeClr val="tx2"/>
    </cs:fontRef>
    <cs:spPr bwMode="auto">
      <a:prstGeom prst="rect">
        <a:avLst/>
      </a:prstGeom>
      <a:ln w="12700">
        <a:solidFill>
          <a:schemeClr val="lt2"/>
        </a:solidFill>
        <a:round/>
      </a:ln>
    </cs:spPr>
  </cs:dataPointMarker>
  <cs:dataPointMarkerLayout/>
  <cs:dataPointWireframe>
    <cs:lnRef idx="0">
      <cs:styleClr val="auto"/>
    </cs:lnRef>
    <cs:fillRef idx="3"/>
    <cs:effectRef idx="2"/>
    <cs:fontRef idx="minor">
      <a:schemeClr val="tx2"/>
    </cs:fontRef>
    <cs:spPr bwMode="auto">
      <a:prstGeom prst="rect">
        <a:avLst/>
      </a:prstGeom>
      <a:ln w="9525" cap="rnd">
        <a:solidFill>
          <a:schemeClr val="phClr"/>
        </a:solidFill>
        <a:round/>
      </a:ln>
    </cs:spPr>
  </cs:dataPointWireframe>
  <cs:dataTable>
    <cs:lnRef idx="0"/>
    <cs:fillRef idx="0"/>
    <cs:effectRef idx="0"/>
    <cs:fontRef idx="minor">
      <a:schemeClr val="tx2"/>
    </cs:fontRef>
    <cs:spPr bwMode="auto">
      <a:prstGeom prst="rect">
        <a:avLst/>
      </a:prstGeom>
      <a:ln w="9525">
        <a:solidFill>
          <a:schemeClr val="tx2">
            <a:lumMod val="15000"/>
            <a:lumOff val="85000"/>
          </a:schemeClr>
        </a:solidFill>
      </a:ln>
    </cs:spPr>
    <cs:defRPr sz="900"/>
  </cs:dataTable>
  <cs:downBar>
    <cs:lnRef idx="0"/>
    <cs:fillRef idx="0"/>
    <cs:effectRef idx="0"/>
    <cs:fontRef idx="minor">
      <a:schemeClr val="dk1"/>
    </cs:fontRef>
    <cs:spPr bwMode="auto">
      <a:prstGeom prst="rect">
        <a:avLst/>
      </a:prstGeom>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bwMode="auto">
      <a:prstGeom prst="rect">
        <a:avLst/>
      </a:prstGeom>
      <a:ln w="9525">
        <a:solidFill>
          <a:schemeClr val="tx2">
            <a:lumMod val="60000"/>
            <a:lumOff val="40000"/>
          </a:schemeClr>
        </a:solidFill>
        <a:prstDash val="dash"/>
      </a:ln>
    </cs:spPr>
  </cs:dropLine>
  <cs:errorBar>
    <cs:lnRef idx="0"/>
    <cs:fillRef idx="0"/>
    <cs:effectRef idx="0"/>
    <cs:fontRef idx="minor">
      <a:schemeClr val="tx2"/>
    </cs:fontRef>
    <cs:spPr bwMode="auto">
      <a:prstGeom prst="rect">
        <a:avLst/>
      </a:prstGeom>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gridlineMajor>
  <cs:gridlineMinor>
    <cs:lnRef idx="0"/>
    <cs:fillRef idx="0"/>
    <cs:effectRef idx="0"/>
    <cs:fontRef idx="minor">
      <a:schemeClr val="tx2"/>
    </cs:fontRef>
    <cs:spPr bwMode="auto">
      <a:prstGeom prst="rect">
        <a:avLst/>
      </a:prstGeom>
      <a:ln>
        <a:solidFill>
          <a:schemeClr val="tx2">
            <a:lumMod val="5000"/>
            <a:lumOff val="95000"/>
          </a:schemeClr>
        </a:solidFill>
      </a:ln>
    </cs:spPr>
  </cs:gridlineMinor>
  <cs:hiLoLine>
    <cs:lnRef idx="0"/>
    <cs:fillRef idx="0"/>
    <cs:effectRef idx="0"/>
    <cs:fontRef idx="minor">
      <a:schemeClr val="tx2"/>
    </cs:fontRef>
    <cs:spPr bwMode="auto">
      <a:prstGeom prst="rect">
        <a:avLst/>
      </a:prstGeom>
      <a:ln w="9525">
        <a:solidFill>
          <a:schemeClr val="tx2">
            <a:lumMod val="60000"/>
            <a:lumOff val="40000"/>
          </a:schemeClr>
        </a:solidFill>
        <a:prstDash val="dash"/>
      </a:ln>
    </cs:spPr>
  </cs:hiLoLine>
  <cs:leaderLine>
    <cs:lnRef idx="0"/>
    <cs:fillRef idx="0"/>
    <cs:effectRef idx="0"/>
    <cs:fontRef idx="minor">
      <a:schemeClr val="tx2"/>
    </cs:fontRef>
    <cs:spPr bwMode="auto">
      <a:prstGeom prst="rect">
        <a:avLst/>
      </a:prstGeom>
      <a:ln w="9525">
        <a:solidFill>
          <a:schemeClr val="tx2">
            <a:lumMod val="35000"/>
            <a:lumOff val="65000"/>
          </a:schemeClr>
        </a:solidFill>
      </a:ln>
    </cs:spPr>
  </cs:leaderLine>
  <cs:legend>
    <cs:lnRef idx="0"/>
    <cs:fillRef idx="0"/>
    <cs:effectRef idx="0"/>
    <cs:fontRef idx="minor">
      <a:schemeClr val="tx2"/>
    </cs:fontRef>
    <cs:defRPr sz="9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defRPr sz="900"/>
  </cs:seriesAxis>
  <cs:seriesLine>
    <cs:lnRef idx="0"/>
    <cs:fillRef idx="0"/>
    <cs:effectRef idx="0"/>
    <cs:fontRef idx="minor">
      <a:schemeClr val="tx2"/>
    </cs:fontRef>
    <cs:spPr bwMode="auto">
      <a:prstGeom prst="rect">
        <a:avLst/>
      </a:prstGeom>
      <a:ln w="9525">
        <a:solidFill>
          <a:schemeClr val="tx2">
            <a:lumMod val="60000"/>
            <a:lumOff val="40000"/>
          </a:schemeClr>
        </a:solidFill>
        <a:prstDash val="dash"/>
      </a:ln>
    </cs:spPr>
  </cs:seriesLine>
  <cs:title>
    <cs:lnRef idx="0"/>
    <cs:fillRef idx="0"/>
    <cs:effectRef idx="0"/>
    <cs:fontRef idx="minor">
      <a:schemeClr val="tx2"/>
    </cs:fontRef>
    <cs:defRPr sz="1600" b="1"/>
  </cs:title>
  <cs:trendline>
    <cs:lnRef idx="0">
      <cs:styleClr val="auto"/>
    </cs:lnRef>
    <cs:fillRef idx="0"/>
    <cs:effectRef idx="0"/>
    <cs:fontRef idx="minor">
      <a:schemeClr val="tx2"/>
    </cs:fontRef>
    <cs:spPr bwMode="auto">
      <a:prstGeom prst="rect">
        <a:avLst/>
      </a:prstGeom>
      <a:ln w="19050" cap="rnd">
        <a:solidFill>
          <a:schemeClr val="phClr"/>
        </a:solidFill>
        <a:prstDash val="sysDash"/>
      </a:ln>
    </cs:spPr>
  </cs:trendline>
  <cs:trendlineLabel>
    <cs:lnRef idx="0"/>
    <cs:fillRef idx="0"/>
    <cs:effectRef idx="0"/>
    <cs:fontRef idx="minor">
      <a:schemeClr val="tx2"/>
    </cs:fontRef>
    <cs:defRPr sz="900"/>
  </cs:trendlineLabel>
  <cs:upBar>
    <cs:lnRef idx="0"/>
    <cs:fillRef idx="0"/>
    <cs:effectRef idx="0"/>
    <cs:fontRef idx="minor">
      <a:schemeClr val="tx2"/>
    </cs:fontRef>
    <cs:spPr bwMode="auto">
      <a:prstGeom prst="rect">
        <a:avLst/>
      </a:prstGeom>
      <a:solidFill>
        <a:schemeClr val="lt1"/>
      </a:solidFill>
      <a:ln w="9525">
        <a:solidFill>
          <a:schemeClr val="tx1">
            <a:lumMod val="15000"/>
            <a:lumOff val="85000"/>
          </a:schemeClr>
        </a:solidFill>
      </a:ln>
    </cs:spPr>
  </cs:upBar>
  <cs:valueAxis>
    <cs:lnRef idx="0"/>
    <cs:fillRef idx="0"/>
    <cs:effectRef idx="0"/>
    <cs:fontRef idx="minor">
      <a:schemeClr val="tx2"/>
    </cs:fontRef>
    <cs:defRPr sz="9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cs:axisTitle>
  <cs:categoryAxis>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defRPr sz="900"/>
  </cs:categoryAxis>
  <cs:chartArea>
    <cs:lnRef idx="0"/>
    <cs:fillRef idx="0"/>
    <cs:effectRef idx="0"/>
    <cs:fontRef idx="minor">
      <a:schemeClr val="tx2"/>
    </cs:fontRef>
    <cs:spPr bwMode="auto">
      <a:prstGeom prst="rect">
        <a:avLst/>
      </a:prstGeom>
      <a:solidFill>
        <a:schemeClr val="bg1"/>
      </a:solidFill>
      <a:ln w="9525" cap="flat" cmpd="sng" algn="ctr">
        <a:solidFill>
          <a:schemeClr val="tx2">
            <a:lumMod val="15000"/>
            <a:lumOff val="85000"/>
          </a:schemeClr>
        </a:solidFill>
        <a:round/>
      </a:ln>
    </cs:spPr>
    <cs:defRPr sz="900"/>
  </cs:chartArea>
  <cs:dataLabel>
    <cs:lnRef idx="0"/>
    <cs:fillRef idx="0"/>
    <cs:effectRef idx="0"/>
    <cs:fontRef idx="minor">
      <a:schemeClr val="tx2"/>
    </cs:fontRef>
    <cs:defRPr sz="900"/>
  </cs:dataLabel>
  <cs:dataLabelCallout>
    <cs:lnRef idx="0"/>
    <cs:fillRef idx="0"/>
    <cs:effectRef idx="0"/>
    <cs:fontRef idx="minor">
      <a:schemeClr val="dk2">
        <a:lumMod val="7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bwMode="auto">
      <a:prstGeom prst="rect">
        <a:avLst/>
      </a:prstGeom>
      <a:ln w="31750" cap="rnd">
        <a:solidFill>
          <a:schemeClr val="phClr"/>
        </a:solidFill>
        <a:round/>
      </a:ln>
    </cs:spPr>
  </cs:dataPointLine>
  <cs:dataPointMarker>
    <cs:lnRef idx="0"/>
    <cs:fillRef idx="3">
      <cs:styleClr val="auto"/>
    </cs:fillRef>
    <cs:effectRef idx="2"/>
    <cs:fontRef idx="minor">
      <a:schemeClr val="tx2"/>
    </cs:fontRef>
    <cs:spPr bwMode="auto">
      <a:prstGeom prst="rect">
        <a:avLst/>
      </a:prstGeom>
      <a:ln w="12700">
        <a:solidFill>
          <a:schemeClr val="lt2"/>
        </a:solidFill>
        <a:round/>
      </a:ln>
    </cs:spPr>
  </cs:dataPointMarker>
  <cs:dataPointMarkerLayout/>
  <cs:dataPointWireframe>
    <cs:lnRef idx="0">
      <cs:styleClr val="auto"/>
    </cs:lnRef>
    <cs:fillRef idx="3"/>
    <cs:effectRef idx="2"/>
    <cs:fontRef idx="minor">
      <a:schemeClr val="tx2"/>
    </cs:fontRef>
    <cs:spPr bwMode="auto">
      <a:prstGeom prst="rect">
        <a:avLst/>
      </a:prstGeom>
      <a:ln w="9525" cap="rnd">
        <a:solidFill>
          <a:schemeClr val="phClr"/>
        </a:solidFill>
        <a:round/>
      </a:ln>
    </cs:spPr>
  </cs:dataPointWireframe>
  <cs:dataTable>
    <cs:lnRef idx="0"/>
    <cs:fillRef idx="0"/>
    <cs:effectRef idx="0"/>
    <cs:fontRef idx="minor">
      <a:schemeClr val="tx2"/>
    </cs:fontRef>
    <cs:spPr bwMode="auto">
      <a:prstGeom prst="rect">
        <a:avLst/>
      </a:prstGeom>
      <a:ln w="9525">
        <a:solidFill>
          <a:schemeClr val="tx2">
            <a:lumMod val="15000"/>
            <a:lumOff val="85000"/>
          </a:schemeClr>
        </a:solidFill>
      </a:ln>
    </cs:spPr>
    <cs:defRPr sz="900"/>
  </cs:dataTable>
  <cs:downBar>
    <cs:lnRef idx="0"/>
    <cs:fillRef idx="0"/>
    <cs:effectRef idx="0"/>
    <cs:fontRef idx="minor">
      <a:schemeClr val="dk1"/>
    </cs:fontRef>
    <cs:spPr bwMode="auto">
      <a:prstGeom prst="rect">
        <a:avLst/>
      </a:prstGeom>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bwMode="auto">
      <a:prstGeom prst="rect">
        <a:avLst/>
      </a:prstGeom>
      <a:ln w="9525">
        <a:solidFill>
          <a:schemeClr val="tx2">
            <a:lumMod val="60000"/>
            <a:lumOff val="40000"/>
          </a:schemeClr>
        </a:solidFill>
        <a:prstDash val="dash"/>
      </a:ln>
    </cs:spPr>
  </cs:dropLine>
  <cs:errorBar>
    <cs:lnRef idx="0"/>
    <cs:fillRef idx="0"/>
    <cs:effectRef idx="0"/>
    <cs:fontRef idx="minor">
      <a:schemeClr val="tx2"/>
    </cs:fontRef>
    <cs:spPr bwMode="auto">
      <a:prstGeom prst="rect">
        <a:avLst/>
      </a:prstGeom>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gridlineMajor>
  <cs:gridlineMinor>
    <cs:lnRef idx="0"/>
    <cs:fillRef idx="0"/>
    <cs:effectRef idx="0"/>
    <cs:fontRef idx="minor">
      <a:schemeClr val="tx2"/>
    </cs:fontRef>
    <cs:spPr bwMode="auto">
      <a:prstGeom prst="rect">
        <a:avLst/>
      </a:prstGeom>
      <a:ln>
        <a:solidFill>
          <a:schemeClr val="tx2">
            <a:lumMod val="5000"/>
            <a:lumOff val="95000"/>
          </a:schemeClr>
        </a:solidFill>
      </a:ln>
    </cs:spPr>
  </cs:gridlineMinor>
  <cs:hiLoLine>
    <cs:lnRef idx="0"/>
    <cs:fillRef idx="0"/>
    <cs:effectRef idx="0"/>
    <cs:fontRef idx="minor">
      <a:schemeClr val="tx2"/>
    </cs:fontRef>
    <cs:spPr bwMode="auto">
      <a:prstGeom prst="rect">
        <a:avLst/>
      </a:prstGeom>
      <a:ln w="9525">
        <a:solidFill>
          <a:schemeClr val="tx2">
            <a:lumMod val="60000"/>
            <a:lumOff val="40000"/>
          </a:schemeClr>
        </a:solidFill>
        <a:prstDash val="dash"/>
      </a:ln>
    </cs:spPr>
  </cs:hiLoLine>
  <cs:leaderLine>
    <cs:lnRef idx="0"/>
    <cs:fillRef idx="0"/>
    <cs:effectRef idx="0"/>
    <cs:fontRef idx="minor">
      <a:schemeClr val="tx2"/>
    </cs:fontRef>
    <cs:spPr bwMode="auto">
      <a:prstGeom prst="rect">
        <a:avLst/>
      </a:prstGeom>
      <a:ln w="9525">
        <a:solidFill>
          <a:schemeClr val="tx2">
            <a:lumMod val="35000"/>
            <a:lumOff val="65000"/>
          </a:schemeClr>
        </a:solidFill>
      </a:ln>
    </cs:spPr>
  </cs:leaderLine>
  <cs:legend>
    <cs:lnRef idx="0"/>
    <cs:fillRef idx="0"/>
    <cs:effectRef idx="0"/>
    <cs:fontRef idx="minor">
      <a:schemeClr val="tx2"/>
    </cs:fontRef>
    <cs:defRPr sz="9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defRPr sz="900"/>
  </cs:seriesAxis>
  <cs:seriesLine>
    <cs:lnRef idx="0"/>
    <cs:fillRef idx="0"/>
    <cs:effectRef idx="0"/>
    <cs:fontRef idx="minor">
      <a:schemeClr val="tx2"/>
    </cs:fontRef>
    <cs:spPr bwMode="auto">
      <a:prstGeom prst="rect">
        <a:avLst/>
      </a:prstGeom>
      <a:ln w="9525">
        <a:solidFill>
          <a:schemeClr val="tx2">
            <a:lumMod val="60000"/>
            <a:lumOff val="40000"/>
          </a:schemeClr>
        </a:solidFill>
        <a:prstDash val="dash"/>
      </a:ln>
    </cs:spPr>
  </cs:seriesLine>
  <cs:title>
    <cs:lnRef idx="0"/>
    <cs:fillRef idx="0"/>
    <cs:effectRef idx="0"/>
    <cs:fontRef idx="minor">
      <a:schemeClr val="tx2"/>
    </cs:fontRef>
    <cs:defRPr sz="1600" b="1"/>
  </cs:title>
  <cs:trendline>
    <cs:lnRef idx="0">
      <cs:styleClr val="auto"/>
    </cs:lnRef>
    <cs:fillRef idx="0"/>
    <cs:effectRef idx="0"/>
    <cs:fontRef idx="minor">
      <a:schemeClr val="tx2"/>
    </cs:fontRef>
    <cs:spPr bwMode="auto">
      <a:prstGeom prst="rect">
        <a:avLst/>
      </a:prstGeom>
      <a:ln w="19050" cap="rnd">
        <a:solidFill>
          <a:schemeClr val="phClr"/>
        </a:solidFill>
        <a:prstDash val="sysDash"/>
      </a:ln>
    </cs:spPr>
  </cs:trendline>
  <cs:trendlineLabel>
    <cs:lnRef idx="0"/>
    <cs:fillRef idx="0"/>
    <cs:effectRef idx="0"/>
    <cs:fontRef idx="minor">
      <a:schemeClr val="tx2"/>
    </cs:fontRef>
    <cs:defRPr sz="900"/>
  </cs:trendlineLabel>
  <cs:upBar>
    <cs:lnRef idx="0"/>
    <cs:fillRef idx="0"/>
    <cs:effectRef idx="0"/>
    <cs:fontRef idx="minor">
      <a:schemeClr val="tx2"/>
    </cs:fontRef>
    <cs:spPr bwMode="auto">
      <a:prstGeom prst="rect">
        <a:avLst/>
      </a:prstGeom>
      <a:solidFill>
        <a:schemeClr val="lt1"/>
      </a:solidFill>
      <a:ln w="9525">
        <a:solidFill>
          <a:schemeClr val="tx1">
            <a:lumMod val="15000"/>
            <a:lumOff val="85000"/>
          </a:schemeClr>
        </a:solidFill>
      </a:ln>
    </cs:spPr>
  </cs:upBar>
  <cs:valueAxis>
    <cs:lnRef idx="0"/>
    <cs:fillRef idx="0"/>
    <cs:effectRef idx="0"/>
    <cs:fontRef idx="minor">
      <a:schemeClr val="tx2"/>
    </cs:fontRef>
    <cs:defRPr sz="9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cs:axisTitle>
  <cs:categoryAxis>
    <cs:lnRef idx="0"/>
    <cs:fillRef idx="0"/>
    <cs:effectRef idx="0"/>
    <cs:fontRef idx="minor">
      <a:schemeClr val="tx1">
        <a:lumMod val="65000"/>
        <a:lumOff val="35000"/>
      </a:schemeClr>
    </cs:fontRef>
    <cs:spPr bwMode="auto">
      <a:prstGeom prst="rect">
        <a:avLst/>
      </a:prstGeom>
      <a:ln w="9525" cap="flat" cmpd="sng" algn="ctr">
        <a:solidFill>
          <a:schemeClr val="tx1">
            <a:lumMod val="25000"/>
            <a:lumOff val="75000"/>
          </a:schemeClr>
        </a:solidFill>
        <a:round/>
      </a:ln>
    </cs:spPr>
    <cs:defRPr sz="900"/>
  </cs:categoryAxis>
  <cs:chartArea>
    <cs:lnRef idx="0"/>
    <cs:fillRef idx="0"/>
    <cs:effectRef idx="0"/>
    <cs:fontRef idx="minor">
      <a:schemeClr val="tx1"/>
    </cs:fontRef>
    <cs:spPr bwMode="auto">
      <a:prstGeom prst="rect">
        <a:avLst/>
      </a:prstGeom>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75000"/>
        <a:lumOff val="25000"/>
      </a:schemeClr>
    </cs:fontRef>
    <cs:defRPr sz="900"/>
  </cs:dataLabel>
  <cs:dataLabelCallout>
    <cs:lnRef idx="0"/>
    <cs:fillRef idx="0"/>
    <cs:effectRef idx="0"/>
    <cs:fontRef idx="minor">
      <a:schemeClr val="dk1">
        <a:lumMod val="65000"/>
        <a:lumOff val="3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bwMode="auto">
      <a:prstGeom prst="rect">
        <a:avLst/>
      </a:prstGeom>
      <a:ln w="19050" cap="rnd">
        <a:solidFill>
          <a:schemeClr val="phClr"/>
        </a:solidFill>
        <a:round/>
      </a:ln>
    </cs:spPr>
  </cs:dataPointLine>
  <cs:dataPointMarker>
    <cs:lnRef idx="0">
      <cs:styleClr val="auto"/>
    </cs:lnRef>
    <cs:fillRef idx="1">
      <cs:styleClr val="auto"/>
    </cs:fillRef>
    <cs:effectRef idx="0"/>
    <cs:fontRef idx="minor">
      <a:schemeClr val="tx1"/>
    </cs:fontRef>
    <cs:spPr bwMode="auto">
      <a:prstGeom prst="rect">
        <a:avLst/>
      </a:prstGeom>
      <a:ln w="9525">
        <a:solidFill>
          <a:schemeClr val="phClr"/>
        </a:solidFill>
      </a:ln>
    </cs:spPr>
  </cs:dataPointMarker>
  <cs:dataPointMarkerLayout/>
  <cs:dataPointWireframe>
    <cs:lnRef idx="0">
      <cs:styleClr val="auto"/>
    </cs:lnRef>
    <cs:fillRef idx="0"/>
    <cs:effectRef idx="0"/>
    <cs:fontRef idx="minor">
      <a:schemeClr val="dk1"/>
    </cs:fontRef>
    <cs:spPr bwMode="auto">
      <a:prstGeom prst="rect">
        <a:avLst/>
      </a:prstGeom>
      <a:ln w="9525" cap="rnd">
        <a:solidFill>
          <a:schemeClr val="phClr"/>
        </a:solidFill>
        <a:round/>
      </a:ln>
    </cs:spPr>
  </cs:dataPointWireframe>
  <cs:dataTable>
    <cs:lnRef idx="0"/>
    <cs:fillRef idx="0"/>
    <cs:effectRef idx="0"/>
    <cs:fontRef idx="minor">
      <a:schemeClr val="tx1">
        <a:lumMod val="65000"/>
        <a:lumOff val="35000"/>
      </a:schemeClr>
    </cs:fontRef>
    <cs:spPr bwMode="auto">
      <a:prstGeom prst="rect">
        <a:avLst/>
      </a:prstGeom>
      <a:noFill/>
      <a:ln w="9525" cap="flat" cmpd="sng" algn="ctr">
        <a:solidFill>
          <a:schemeClr val="tx1">
            <a:lumMod val="15000"/>
            <a:lumOff val="85000"/>
          </a:schemeClr>
        </a:solidFill>
        <a:round/>
      </a:ln>
    </cs:spPr>
    <cs:defRPr sz="900"/>
  </cs:dataTable>
  <cs:downBar>
    <cs:lnRef idx="0"/>
    <cs:fillRef idx="0"/>
    <cs:effectRef idx="0"/>
    <cs:fontRef idx="minor">
      <a:schemeClr val="tx1"/>
    </cs:fontRef>
    <cs:spPr bwMode="auto">
      <a:prstGeom prst="rect">
        <a:avLst/>
      </a:prstGeom>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dropLine>
  <cs:errorBar>
    <cs:lnRef idx="0"/>
    <cs:fillRef idx="0"/>
    <cs:effectRef idx="0"/>
    <cs:fontRef idx="minor">
      <a:schemeClr val="tx1"/>
    </cs:fontRef>
    <cs:spPr bwMode="auto">
      <a:prstGeom prst="rect">
        <a:avLst/>
      </a:prstGeom>
      <a:ln w="9525" cap="flat" cmpd="sng" algn="ctr">
        <a:solidFill>
          <a:schemeClr val="tx1">
            <a:lumMod val="65000"/>
            <a:lumOff val="35000"/>
          </a:schemeClr>
        </a:solidFill>
        <a:round/>
      </a:ln>
    </cs:spPr>
  </cs:errorBar>
  <cs:floor>
    <cs:lnRef idx="0"/>
    <cs:fillRef idx="0"/>
    <cs:effectRef idx="0"/>
    <cs:fontRef idx="minor">
      <a:schemeClr val="tx1"/>
    </cs:fontRef>
    <cs:spPr bwMode="auto">
      <a:prstGeom prst="rect">
        <a:avLst/>
      </a:prstGeom>
      <a:noFill/>
      <a:ln>
        <a:noFill/>
      </a:ln>
    </cs:spPr>
  </cs:floor>
  <cs:gridlineMajor>
    <cs:lnRef idx="0"/>
    <cs:fillRef idx="0"/>
    <cs:effectRef idx="0"/>
    <cs:fontRef idx="minor">
      <a:schemeClr val="tx1"/>
    </cs:fontRef>
    <cs:spPr bwMode="auto">
      <a:prstGeom prst="rect">
        <a:avLst/>
      </a:prstGeom>
      <a:ln w="9525" cap="flat" cmpd="sng" algn="ctr">
        <a:solidFill>
          <a:schemeClr val="tx1">
            <a:lumMod val="15000"/>
            <a:lumOff val="85000"/>
          </a:schemeClr>
        </a:solidFill>
        <a:round/>
      </a:ln>
    </cs:spPr>
  </cs:gridlineMajor>
  <cs:gridlineMinor>
    <cs:lnRef idx="0"/>
    <cs:fillRef idx="0"/>
    <cs:effectRef idx="0"/>
    <cs:fontRef idx="minor">
      <a:schemeClr val="tx1"/>
    </cs:fontRef>
    <cs:spPr bwMode="auto">
      <a:prstGeom prst="rect">
        <a:avLst/>
      </a:prstGeom>
      <a:ln w="9525" cap="flat" cmpd="sng" algn="ctr">
        <a:solidFill>
          <a:schemeClr val="tx1">
            <a:lumMod val="5000"/>
            <a:lumOff val="95000"/>
          </a:schemeClr>
        </a:solidFill>
        <a:round/>
      </a:ln>
    </cs:spPr>
  </cs:gridlineMinor>
  <cs:hiLoLine>
    <cs:lnRef idx="0"/>
    <cs:fillRef idx="0"/>
    <cs:effectRef idx="0"/>
    <cs:fontRef idx="minor">
      <a:schemeClr val="tx1"/>
    </cs:fontRef>
    <cs:spPr bwMode="auto">
      <a:prstGeom prst="rect">
        <a:avLst/>
      </a:prstGeom>
      <a:ln w="9525" cap="flat" cmpd="sng" algn="ctr">
        <a:solidFill>
          <a:schemeClr val="tx1">
            <a:lumMod val="50000"/>
            <a:lumOff val="50000"/>
          </a:schemeClr>
        </a:solidFill>
        <a:round/>
      </a:ln>
    </cs:spPr>
  </cs:hiLoLine>
  <cs:leader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spc="0"/>
  </cs:title>
  <cs:trendline>
    <cs:lnRef idx="0">
      <cs:styleClr val="auto"/>
    </cs:lnRef>
    <cs:fillRef idx="0"/>
    <cs:effectRef idx="0"/>
    <cs:fontRef idx="minor">
      <a:schemeClr val="tx1"/>
    </cs:fontRef>
    <cs:spPr bwMode="auto">
      <a:prstGeom prst="rect">
        <a:avLst/>
      </a:prstGeom>
      <a:ln w="19050" cap="rnd">
        <a:solidFill>
          <a:schemeClr val="phClr"/>
        </a:solidFill>
        <a:prstDash val="sysDot"/>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bwMode="auto">
      <a:prstGeom prst="rect">
        <a:avLst/>
      </a:prstGeom>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bwMode="auto">
      <a:prstGeom prst="rect">
        <a:avLst/>
      </a:prstGeom>
      <a:ln w="9525" cap="flat" cmpd="sng" algn="ctr">
        <a:solidFill>
          <a:schemeClr val="tx1">
            <a:lumMod val="25000"/>
            <a:lumOff val="75000"/>
          </a:schemeClr>
        </a:solidFill>
        <a:round/>
      </a:ln>
    </cs:spPr>
    <cs:defRPr sz="900"/>
  </cs:valueAxis>
  <cs:wall>
    <cs:lnRef idx="0"/>
    <cs:fillRef idx="0"/>
    <cs:effectRef idx="0"/>
    <cs:fontRef idx="minor">
      <a:schemeClr val="tx1"/>
    </cs:fontRef>
    <cs:spPr bwMode="auto">
      <a:prstGeom prst="rect">
        <a:avLst/>
      </a:prstGeom>
      <a:noFill/>
      <a:ln>
        <a:noFill/>
      </a:ln>
    </cs:spPr>
  </cs:wall>
</cs:chartStyle>
</file>

<file path=xl/charts/style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cs:axisTitle>
  <cs:categoryAxis>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defRPr sz="900"/>
  </cs:categoryAxis>
  <cs:chartArea>
    <cs:lnRef idx="0"/>
    <cs:fillRef idx="0"/>
    <cs:effectRef idx="0"/>
    <cs:fontRef idx="minor">
      <a:schemeClr val="tx2"/>
    </cs:fontRef>
    <cs:spPr bwMode="auto">
      <a:prstGeom prst="rect">
        <a:avLst/>
      </a:prstGeom>
      <a:solidFill>
        <a:schemeClr val="bg1"/>
      </a:solidFill>
      <a:ln w="9525" cap="flat" cmpd="sng" algn="ctr">
        <a:solidFill>
          <a:schemeClr val="tx2">
            <a:lumMod val="15000"/>
            <a:lumOff val="85000"/>
          </a:schemeClr>
        </a:solidFill>
        <a:round/>
      </a:ln>
    </cs:spPr>
    <cs:defRPr sz="900"/>
  </cs:chartArea>
  <cs:dataLabel>
    <cs:lnRef idx="0"/>
    <cs:fillRef idx="0"/>
    <cs:effectRef idx="0"/>
    <cs:fontRef idx="minor">
      <a:schemeClr val="tx2"/>
    </cs:fontRef>
    <cs:defRPr sz="900"/>
  </cs:dataLabel>
  <cs:dataLabelCallout>
    <cs:lnRef idx="0"/>
    <cs:fillRef idx="0"/>
    <cs:effectRef idx="0"/>
    <cs:fontRef idx="minor">
      <a:schemeClr val="dk2">
        <a:lumMod val="7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bwMode="auto">
      <a:prstGeom prst="rect">
        <a:avLst/>
      </a:prstGeom>
      <a:ln w="31750" cap="rnd">
        <a:solidFill>
          <a:schemeClr val="phClr"/>
        </a:solidFill>
        <a:round/>
      </a:ln>
    </cs:spPr>
  </cs:dataPointLine>
  <cs:dataPointMarker>
    <cs:lnRef idx="0"/>
    <cs:fillRef idx="3">
      <cs:styleClr val="auto"/>
    </cs:fillRef>
    <cs:effectRef idx="2"/>
    <cs:fontRef idx="minor">
      <a:schemeClr val="tx2"/>
    </cs:fontRef>
    <cs:spPr bwMode="auto">
      <a:prstGeom prst="rect">
        <a:avLst/>
      </a:prstGeom>
      <a:ln w="12700">
        <a:solidFill>
          <a:schemeClr val="lt2"/>
        </a:solidFill>
        <a:round/>
      </a:ln>
    </cs:spPr>
  </cs:dataPointMarker>
  <cs:dataPointMarkerLayout/>
  <cs:dataPointWireframe>
    <cs:lnRef idx="0">
      <cs:styleClr val="auto"/>
    </cs:lnRef>
    <cs:fillRef idx="3"/>
    <cs:effectRef idx="2"/>
    <cs:fontRef idx="minor">
      <a:schemeClr val="tx2"/>
    </cs:fontRef>
    <cs:spPr bwMode="auto">
      <a:prstGeom prst="rect">
        <a:avLst/>
      </a:prstGeom>
      <a:ln w="9525" cap="rnd">
        <a:solidFill>
          <a:schemeClr val="phClr"/>
        </a:solidFill>
        <a:round/>
      </a:ln>
    </cs:spPr>
  </cs:dataPointWireframe>
  <cs:dataTable>
    <cs:lnRef idx="0"/>
    <cs:fillRef idx="0"/>
    <cs:effectRef idx="0"/>
    <cs:fontRef idx="minor">
      <a:schemeClr val="tx2"/>
    </cs:fontRef>
    <cs:spPr bwMode="auto">
      <a:prstGeom prst="rect">
        <a:avLst/>
      </a:prstGeom>
      <a:ln w="9525">
        <a:solidFill>
          <a:schemeClr val="tx2">
            <a:lumMod val="15000"/>
            <a:lumOff val="85000"/>
          </a:schemeClr>
        </a:solidFill>
      </a:ln>
    </cs:spPr>
    <cs:defRPr sz="900"/>
  </cs:dataTable>
  <cs:downBar>
    <cs:lnRef idx="0"/>
    <cs:fillRef idx="0"/>
    <cs:effectRef idx="0"/>
    <cs:fontRef idx="minor">
      <a:schemeClr val="dk1"/>
    </cs:fontRef>
    <cs:spPr bwMode="auto">
      <a:prstGeom prst="rect">
        <a:avLst/>
      </a:prstGeom>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bwMode="auto">
      <a:prstGeom prst="rect">
        <a:avLst/>
      </a:prstGeom>
      <a:ln w="9525">
        <a:solidFill>
          <a:schemeClr val="tx2">
            <a:lumMod val="60000"/>
            <a:lumOff val="40000"/>
          </a:schemeClr>
        </a:solidFill>
        <a:prstDash val="dash"/>
      </a:ln>
    </cs:spPr>
  </cs:dropLine>
  <cs:errorBar>
    <cs:lnRef idx="0"/>
    <cs:fillRef idx="0"/>
    <cs:effectRef idx="0"/>
    <cs:fontRef idx="minor">
      <a:schemeClr val="tx2"/>
    </cs:fontRef>
    <cs:spPr bwMode="auto">
      <a:prstGeom prst="rect">
        <a:avLst/>
      </a:prstGeom>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gridlineMajor>
  <cs:gridlineMinor>
    <cs:lnRef idx="0"/>
    <cs:fillRef idx="0"/>
    <cs:effectRef idx="0"/>
    <cs:fontRef idx="minor">
      <a:schemeClr val="tx2"/>
    </cs:fontRef>
    <cs:spPr bwMode="auto">
      <a:prstGeom prst="rect">
        <a:avLst/>
      </a:prstGeom>
      <a:ln>
        <a:solidFill>
          <a:schemeClr val="tx2">
            <a:lumMod val="5000"/>
            <a:lumOff val="95000"/>
          </a:schemeClr>
        </a:solidFill>
      </a:ln>
    </cs:spPr>
  </cs:gridlineMinor>
  <cs:hiLoLine>
    <cs:lnRef idx="0"/>
    <cs:fillRef idx="0"/>
    <cs:effectRef idx="0"/>
    <cs:fontRef idx="minor">
      <a:schemeClr val="tx2"/>
    </cs:fontRef>
    <cs:spPr bwMode="auto">
      <a:prstGeom prst="rect">
        <a:avLst/>
      </a:prstGeom>
      <a:ln w="9525">
        <a:solidFill>
          <a:schemeClr val="tx2">
            <a:lumMod val="60000"/>
            <a:lumOff val="40000"/>
          </a:schemeClr>
        </a:solidFill>
        <a:prstDash val="dash"/>
      </a:ln>
    </cs:spPr>
  </cs:hiLoLine>
  <cs:leaderLine>
    <cs:lnRef idx="0"/>
    <cs:fillRef idx="0"/>
    <cs:effectRef idx="0"/>
    <cs:fontRef idx="minor">
      <a:schemeClr val="tx2"/>
    </cs:fontRef>
    <cs:spPr bwMode="auto">
      <a:prstGeom prst="rect">
        <a:avLst/>
      </a:prstGeom>
      <a:ln w="9525">
        <a:solidFill>
          <a:schemeClr val="tx2">
            <a:lumMod val="35000"/>
            <a:lumOff val="65000"/>
          </a:schemeClr>
        </a:solidFill>
      </a:ln>
    </cs:spPr>
  </cs:leaderLine>
  <cs:legend>
    <cs:lnRef idx="0"/>
    <cs:fillRef idx="0"/>
    <cs:effectRef idx="0"/>
    <cs:fontRef idx="minor">
      <a:schemeClr val="tx2"/>
    </cs:fontRef>
    <cs:defRPr sz="9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defRPr sz="900"/>
  </cs:seriesAxis>
  <cs:seriesLine>
    <cs:lnRef idx="0"/>
    <cs:fillRef idx="0"/>
    <cs:effectRef idx="0"/>
    <cs:fontRef idx="minor">
      <a:schemeClr val="tx2"/>
    </cs:fontRef>
    <cs:spPr bwMode="auto">
      <a:prstGeom prst="rect">
        <a:avLst/>
      </a:prstGeom>
      <a:ln w="9525">
        <a:solidFill>
          <a:schemeClr val="tx2">
            <a:lumMod val="60000"/>
            <a:lumOff val="40000"/>
          </a:schemeClr>
        </a:solidFill>
        <a:prstDash val="dash"/>
      </a:ln>
    </cs:spPr>
  </cs:seriesLine>
  <cs:title>
    <cs:lnRef idx="0"/>
    <cs:fillRef idx="0"/>
    <cs:effectRef idx="0"/>
    <cs:fontRef idx="minor">
      <a:schemeClr val="tx2"/>
    </cs:fontRef>
    <cs:defRPr sz="1600" b="1"/>
  </cs:title>
  <cs:trendline>
    <cs:lnRef idx="0">
      <cs:styleClr val="auto"/>
    </cs:lnRef>
    <cs:fillRef idx="0"/>
    <cs:effectRef idx="0"/>
    <cs:fontRef idx="minor">
      <a:schemeClr val="tx2"/>
    </cs:fontRef>
    <cs:spPr bwMode="auto">
      <a:prstGeom prst="rect">
        <a:avLst/>
      </a:prstGeom>
      <a:ln w="19050" cap="rnd">
        <a:solidFill>
          <a:schemeClr val="phClr"/>
        </a:solidFill>
        <a:prstDash val="sysDash"/>
      </a:ln>
    </cs:spPr>
  </cs:trendline>
  <cs:trendlineLabel>
    <cs:lnRef idx="0"/>
    <cs:fillRef idx="0"/>
    <cs:effectRef idx="0"/>
    <cs:fontRef idx="minor">
      <a:schemeClr val="tx2"/>
    </cs:fontRef>
    <cs:defRPr sz="900"/>
  </cs:trendlineLabel>
  <cs:upBar>
    <cs:lnRef idx="0"/>
    <cs:fillRef idx="0"/>
    <cs:effectRef idx="0"/>
    <cs:fontRef idx="minor">
      <a:schemeClr val="tx2"/>
    </cs:fontRef>
    <cs:spPr bwMode="auto">
      <a:prstGeom prst="rect">
        <a:avLst/>
      </a:prstGeom>
      <a:solidFill>
        <a:schemeClr val="lt1"/>
      </a:solidFill>
      <a:ln w="9525">
        <a:solidFill>
          <a:schemeClr val="tx1">
            <a:lumMod val="15000"/>
            <a:lumOff val="85000"/>
          </a:schemeClr>
        </a:solidFill>
      </a:ln>
    </cs:spPr>
  </cs:upBar>
  <cs:valueAxis>
    <cs:lnRef idx="0"/>
    <cs:fillRef idx="0"/>
    <cs:effectRef idx="0"/>
    <cs:fontRef idx="minor">
      <a:schemeClr val="tx2"/>
    </cs:fontRef>
    <cs:defRPr sz="9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cs:axisTitle>
  <cs:categoryAxis>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defRPr sz="900"/>
  </cs:categoryAxis>
  <cs:chartArea>
    <cs:lnRef idx="0"/>
    <cs:fillRef idx="0"/>
    <cs:effectRef idx="0"/>
    <cs:fontRef idx="minor">
      <a:schemeClr val="tx2"/>
    </cs:fontRef>
    <cs:spPr bwMode="auto">
      <a:prstGeom prst="rect">
        <a:avLst/>
      </a:prstGeom>
      <a:solidFill>
        <a:schemeClr val="bg1"/>
      </a:solidFill>
      <a:ln w="9525" cap="flat" cmpd="sng" algn="ctr">
        <a:solidFill>
          <a:schemeClr val="tx2">
            <a:lumMod val="15000"/>
            <a:lumOff val="85000"/>
          </a:schemeClr>
        </a:solidFill>
        <a:round/>
      </a:ln>
    </cs:spPr>
    <cs:defRPr sz="900"/>
  </cs:chartArea>
  <cs:dataLabel>
    <cs:lnRef idx="0"/>
    <cs:fillRef idx="0"/>
    <cs:effectRef idx="0"/>
    <cs:fontRef idx="minor">
      <a:schemeClr val="tx2"/>
    </cs:fontRef>
    <cs:defRPr sz="900"/>
  </cs:dataLabel>
  <cs:dataLabelCallout>
    <cs:lnRef idx="0"/>
    <cs:fillRef idx="0"/>
    <cs:effectRef idx="0"/>
    <cs:fontRef idx="minor">
      <a:schemeClr val="dk2">
        <a:lumMod val="7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bwMode="auto">
      <a:prstGeom prst="rect">
        <a:avLst/>
      </a:prstGeom>
      <a:ln w="31750" cap="rnd">
        <a:solidFill>
          <a:schemeClr val="phClr"/>
        </a:solidFill>
        <a:round/>
      </a:ln>
    </cs:spPr>
  </cs:dataPointLine>
  <cs:dataPointMarker>
    <cs:lnRef idx="0"/>
    <cs:fillRef idx="3">
      <cs:styleClr val="auto"/>
    </cs:fillRef>
    <cs:effectRef idx="2"/>
    <cs:fontRef idx="minor">
      <a:schemeClr val="tx2"/>
    </cs:fontRef>
    <cs:spPr bwMode="auto">
      <a:prstGeom prst="rect">
        <a:avLst/>
      </a:prstGeom>
      <a:ln w="12700">
        <a:solidFill>
          <a:schemeClr val="lt2"/>
        </a:solidFill>
        <a:round/>
      </a:ln>
    </cs:spPr>
  </cs:dataPointMarker>
  <cs:dataPointMarkerLayout/>
  <cs:dataPointWireframe>
    <cs:lnRef idx="0">
      <cs:styleClr val="auto"/>
    </cs:lnRef>
    <cs:fillRef idx="3"/>
    <cs:effectRef idx="2"/>
    <cs:fontRef idx="minor">
      <a:schemeClr val="tx2"/>
    </cs:fontRef>
    <cs:spPr bwMode="auto">
      <a:prstGeom prst="rect">
        <a:avLst/>
      </a:prstGeom>
      <a:ln w="9525" cap="rnd">
        <a:solidFill>
          <a:schemeClr val="phClr"/>
        </a:solidFill>
        <a:round/>
      </a:ln>
    </cs:spPr>
  </cs:dataPointWireframe>
  <cs:dataTable>
    <cs:lnRef idx="0"/>
    <cs:fillRef idx="0"/>
    <cs:effectRef idx="0"/>
    <cs:fontRef idx="minor">
      <a:schemeClr val="tx2"/>
    </cs:fontRef>
    <cs:spPr bwMode="auto">
      <a:prstGeom prst="rect">
        <a:avLst/>
      </a:prstGeom>
      <a:ln w="9525">
        <a:solidFill>
          <a:schemeClr val="tx2">
            <a:lumMod val="15000"/>
            <a:lumOff val="85000"/>
          </a:schemeClr>
        </a:solidFill>
      </a:ln>
    </cs:spPr>
    <cs:defRPr sz="900"/>
  </cs:dataTable>
  <cs:downBar>
    <cs:lnRef idx="0"/>
    <cs:fillRef idx="0"/>
    <cs:effectRef idx="0"/>
    <cs:fontRef idx="minor">
      <a:schemeClr val="dk1"/>
    </cs:fontRef>
    <cs:spPr bwMode="auto">
      <a:prstGeom prst="rect">
        <a:avLst/>
      </a:prstGeom>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bwMode="auto">
      <a:prstGeom prst="rect">
        <a:avLst/>
      </a:prstGeom>
      <a:ln w="9525">
        <a:solidFill>
          <a:schemeClr val="tx2">
            <a:lumMod val="60000"/>
            <a:lumOff val="40000"/>
          </a:schemeClr>
        </a:solidFill>
        <a:prstDash val="dash"/>
      </a:ln>
    </cs:spPr>
  </cs:dropLine>
  <cs:errorBar>
    <cs:lnRef idx="0"/>
    <cs:fillRef idx="0"/>
    <cs:effectRef idx="0"/>
    <cs:fontRef idx="minor">
      <a:schemeClr val="tx2"/>
    </cs:fontRef>
    <cs:spPr bwMode="auto">
      <a:prstGeom prst="rect">
        <a:avLst/>
      </a:prstGeom>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gridlineMajor>
  <cs:gridlineMinor>
    <cs:lnRef idx="0"/>
    <cs:fillRef idx="0"/>
    <cs:effectRef idx="0"/>
    <cs:fontRef idx="minor">
      <a:schemeClr val="tx2"/>
    </cs:fontRef>
    <cs:spPr bwMode="auto">
      <a:prstGeom prst="rect">
        <a:avLst/>
      </a:prstGeom>
      <a:ln>
        <a:solidFill>
          <a:schemeClr val="tx2">
            <a:lumMod val="5000"/>
            <a:lumOff val="95000"/>
          </a:schemeClr>
        </a:solidFill>
      </a:ln>
    </cs:spPr>
  </cs:gridlineMinor>
  <cs:hiLoLine>
    <cs:lnRef idx="0"/>
    <cs:fillRef idx="0"/>
    <cs:effectRef idx="0"/>
    <cs:fontRef idx="minor">
      <a:schemeClr val="tx2"/>
    </cs:fontRef>
    <cs:spPr bwMode="auto">
      <a:prstGeom prst="rect">
        <a:avLst/>
      </a:prstGeom>
      <a:ln w="9525">
        <a:solidFill>
          <a:schemeClr val="tx2">
            <a:lumMod val="60000"/>
            <a:lumOff val="40000"/>
          </a:schemeClr>
        </a:solidFill>
        <a:prstDash val="dash"/>
      </a:ln>
    </cs:spPr>
  </cs:hiLoLine>
  <cs:leaderLine>
    <cs:lnRef idx="0"/>
    <cs:fillRef idx="0"/>
    <cs:effectRef idx="0"/>
    <cs:fontRef idx="minor">
      <a:schemeClr val="tx2"/>
    </cs:fontRef>
    <cs:spPr bwMode="auto">
      <a:prstGeom prst="rect">
        <a:avLst/>
      </a:prstGeom>
      <a:ln w="9525">
        <a:solidFill>
          <a:schemeClr val="tx2">
            <a:lumMod val="35000"/>
            <a:lumOff val="65000"/>
          </a:schemeClr>
        </a:solidFill>
      </a:ln>
    </cs:spPr>
  </cs:leaderLine>
  <cs:legend>
    <cs:lnRef idx="0"/>
    <cs:fillRef idx="0"/>
    <cs:effectRef idx="0"/>
    <cs:fontRef idx="minor">
      <a:schemeClr val="tx2"/>
    </cs:fontRef>
    <cs:defRPr sz="9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defRPr sz="900"/>
  </cs:seriesAxis>
  <cs:seriesLine>
    <cs:lnRef idx="0"/>
    <cs:fillRef idx="0"/>
    <cs:effectRef idx="0"/>
    <cs:fontRef idx="minor">
      <a:schemeClr val="tx2"/>
    </cs:fontRef>
    <cs:spPr bwMode="auto">
      <a:prstGeom prst="rect">
        <a:avLst/>
      </a:prstGeom>
      <a:ln w="9525">
        <a:solidFill>
          <a:schemeClr val="tx2">
            <a:lumMod val="60000"/>
            <a:lumOff val="40000"/>
          </a:schemeClr>
        </a:solidFill>
        <a:prstDash val="dash"/>
      </a:ln>
    </cs:spPr>
  </cs:seriesLine>
  <cs:title>
    <cs:lnRef idx="0"/>
    <cs:fillRef idx="0"/>
    <cs:effectRef idx="0"/>
    <cs:fontRef idx="minor">
      <a:schemeClr val="tx2"/>
    </cs:fontRef>
    <cs:defRPr sz="1600" b="1"/>
  </cs:title>
  <cs:trendline>
    <cs:lnRef idx="0">
      <cs:styleClr val="auto"/>
    </cs:lnRef>
    <cs:fillRef idx="0"/>
    <cs:effectRef idx="0"/>
    <cs:fontRef idx="minor">
      <a:schemeClr val="tx2"/>
    </cs:fontRef>
    <cs:spPr bwMode="auto">
      <a:prstGeom prst="rect">
        <a:avLst/>
      </a:prstGeom>
      <a:ln w="19050" cap="rnd">
        <a:solidFill>
          <a:schemeClr val="phClr"/>
        </a:solidFill>
        <a:prstDash val="sysDash"/>
      </a:ln>
    </cs:spPr>
  </cs:trendline>
  <cs:trendlineLabel>
    <cs:lnRef idx="0"/>
    <cs:fillRef idx="0"/>
    <cs:effectRef idx="0"/>
    <cs:fontRef idx="minor">
      <a:schemeClr val="tx2"/>
    </cs:fontRef>
    <cs:defRPr sz="900"/>
  </cs:trendlineLabel>
  <cs:upBar>
    <cs:lnRef idx="0"/>
    <cs:fillRef idx="0"/>
    <cs:effectRef idx="0"/>
    <cs:fontRef idx="minor">
      <a:schemeClr val="tx2"/>
    </cs:fontRef>
    <cs:spPr bwMode="auto">
      <a:prstGeom prst="rect">
        <a:avLst/>
      </a:prstGeom>
      <a:solidFill>
        <a:schemeClr val="lt1"/>
      </a:solidFill>
      <a:ln w="9525">
        <a:solidFill>
          <a:schemeClr val="tx1">
            <a:lumMod val="15000"/>
            <a:lumOff val="85000"/>
          </a:schemeClr>
        </a:solidFill>
      </a:ln>
    </cs:spPr>
  </cs:upBar>
  <cs:valueAxis>
    <cs:lnRef idx="0"/>
    <cs:fillRef idx="0"/>
    <cs:effectRef idx="0"/>
    <cs:fontRef idx="minor">
      <a:schemeClr val="tx2"/>
    </cs:fontRef>
    <cs:defRPr sz="900"/>
  </cs:valueAxis>
  <cs:wall>
    <cs:lnRef idx="0"/>
    <cs:fillRef idx="0"/>
    <cs:effectRef idx="0"/>
    <cs:fontRef idx="minor">
      <a:schemeClr val="tx2"/>
    </cs:fontRef>
  </cs:wall>
</cs:chartStyle>
</file>

<file path=xl/charts/style9.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cs:axisTitle>
  <cs:categoryAxis>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defRPr sz="900"/>
  </cs:categoryAxis>
  <cs:chartArea>
    <cs:lnRef idx="0"/>
    <cs:fillRef idx="0"/>
    <cs:effectRef idx="0"/>
    <cs:fontRef idx="minor">
      <a:schemeClr val="tx2"/>
    </cs:fontRef>
    <cs:spPr bwMode="auto">
      <a:prstGeom prst="rect">
        <a:avLst/>
      </a:prstGeom>
      <a:solidFill>
        <a:schemeClr val="bg1"/>
      </a:solidFill>
      <a:ln w="9525" cap="flat" cmpd="sng" algn="ctr">
        <a:solidFill>
          <a:schemeClr val="tx2">
            <a:lumMod val="15000"/>
            <a:lumOff val="85000"/>
          </a:schemeClr>
        </a:solidFill>
        <a:round/>
      </a:ln>
    </cs:spPr>
    <cs:defRPr sz="900"/>
  </cs:chartArea>
  <cs:dataLabel>
    <cs:lnRef idx="0"/>
    <cs:fillRef idx="0"/>
    <cs:effectRef idx="0"/>
    <cs:fontRef idx="minor">
      <a:schemeClr val="tx2"/>
    </cs:fontRef>
    <cs:defRPr sz="900"/>
  </cs:dataLabel>
  <cs:dataLabelCallout>
    <cs:lnRef idx="0"/>
    <cs:fillRef idx="0"/>
    <cs:effectRef idx="0"/>
    <cs:fontRef idx="minor">
      <a:schemeClr val="dk2">
        <a:lumMod val="7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bwMode="auto">
      <a:prstGeom prst="rect">
        <a:avLst/>
      </a:prstGeom>
      <a:ln w="31750" cap="rnd">
        <a:solidFill>
          <a:schemeClr val="phClr"/>
        </a:solidFill>
        <a:round/>
      </a:ln>
    </cs:spPr>
  </cs:dataPointLine>
  <cs:dataPointMarker>
    <cs:lnRef idx="0"/>
    <cs:fillRef idx="3">
      <cs:styleClr val="auto"/>
    </cs:fillRef>
    <cs:effectRef idx="2"/>
    <cs:fontRef idx="minor">
      <a:schemeClr val="tx2"/>
    </cs:fontRef>
    <cs:spPr bwMode="auto">
      <a:prstGeom prst="rect">
        <a:avLst/>
      </a:prstGeom>
      <a:ln w="12700">
        <a:solidFill>
          <a:schemeClr val="lt2"/>
        </a:solidFill>
        <a:round/>
      </a:ln>
    </cs:spPr>
  </cs:dataPointMarker>
  <cs:dataPointMarkerLayout/>
  <cs:dataPointWireframe>
    <cs:lnRef idx="0">
      <cs:styleClr val="auto"/>
    </cs:lnRef>
    <cs:fillRef idx="3"/>
    <cs:effectRef idx="2"/>
    <cs:fontRef idx="minor">
      <a:schemeClr val="tx2"/>
    </cs:fontRef>
    <cs:spPr bwMode="auto">
      <a:prstGeom prst="rect">
        <a:avLst/>
      </a:prstGeom>
      <a:ln w="9525" cap="rnd">
        <a:solidFill>
          <a:schemeClr val="phClr"/>
        </a:solidFill>
        <a:round/>
      </a:ln>
    </cs:spPr>
  </cs:dataPointWireframe>
  <cs:dataTable>
    <cs:lnRef idx="0"/>
    <cs:fillRef idx="0"/>
    <cs:effectRef idx="0"/>
    <cs:fontRef idx="minor">
      <a:schemeClr val="tx2"/>
    </cs:fontRef>
    <cs:spPr bwMode="auto">
      <a:prstGeom prst="rect">
        <a:avLst/>
      </a:prstGeom>
      <a:ln w="9525">
        <a:solidFill>
          <a:schemeClr val="tx2">
            <a:lumMod val="15000"/>
            <a:lumOff val="85000"/>
          </a:schemeClr>
        </a:solidFill>
      </a:ln>
    </cs:spPr>
    <cs:defRPr sz="900"/>
  </cs:dataTable>
  <cs:downBar>
    <cs:lnRef idx="0"/>
    <cs:fillRef idx="0"/>
    <cs:effectRef idx="0"/>
    <cs:fontRef idx="minor">
      <a:schemeClr val="dk1"/>
    </cs:fontRef>
    <cs:spPr bwMode="auto">
      <a:prstGeom prst="rect">
        <a:avLst/>
      </a:prstGeom>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bwMode="auto">
      <a:prstGeom prst="rect">
        <a:avLst/>
      </a:prstGeom>
      <a:ln w="9525">
        <a:solidFill>
          <a:schemeClr val="tx2">
            <a:lumMod val="60000"/>
            <a:lumOff val="40000"/>
          </a:schemeClr>
        </a:solidFill>
        <a:prstDash val="dash"/>
      </a:ln>
    </cs:spPr>
  </cs:dropLine>
  <cs:errorBar>
    <cs:lnRef idx="0"/>
    <cs:fillRef idx="0"/>
    <cs:effectRef idx="0"/>
    <cs:fontRef idx="minor">
      <a:schemeClr val="tx2"/>
    </cs:fontRef>
    <cs:spPr bwMode="auto">
      <a:prstGeom prst="rect">
        <a:avLst/>
      </a:prstGeom>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gridlineMajor>
  <cs:gridlineMinor>
    <cs:lnRef idx="0"/>
    <cs:fillRef idx="0"/>
    <cs:effectRef idx="0"/>
    <cs:fontRef idx="minor">
      <a:schemeClr val="tx2"/>
    </cs:fontRef>
    <cs:spPr bwMode="auto">
      <a:prstGeom prst="rect">
        <a:avLst/>
      </a:prstGeom>
      <a:ln>
        <a:solidFill>
          <a:schemeClr val="tx2">
            <a:lumMod val="5000"/>
            <a:lumOff val="95000"/>
          </a:schemeClr>
        </a:solidFill>
      </a:ln>
    </cs:spPr>
  </cs:gridlineMinor>
  <cs:hiLoLine>
    <cs:lnRef idx="0"/>
    <cs:fillRef idx="0"/>
    <cs:effectRef idx="0"/>
    <cs:fontRef idx="minor">
      <a:schemeClr val="tx2"/>
    </cs:fontRef>
    <cs:spPr bwMode="auto">
      <a:prstGeom prst="rect">
        <a:avLst/>
      </a:prstGeom>
      <a:ln w="9525">
        <a:solidFill>
          <a:schemeClr val="tx2">
            <a:lumMod val="60000"/>
            <a:lumOff val="40000"/>
          </a:schemeClr>
        </a:solidFill>
        <a:prstDash val="dash"/>
      </a:ln>
    </cs:spPr>
  </cs:hiLoLine>
  <cs:leaderLine>
    <cs:lnRef idx="0"/>
    <cs:fillRef idx="0"/>
    <cs:effectRef idx="0"/>
    <cs:fontRef idx="minor">
      <a:schemeClr val="tx2"/>
    </cs:fontRef>
    <cs:spPr bwMode="auto">
      <a:prstGeom prst="rect">
        <a:avLst/>
      </a:prstGeom>
      <a:ln w="9525">
        <a:solidFill>
          <a:schemeClr val="tx2">
            <a:lumMod val="35000"/>
            <a:lumOff val="65000"/>
          </a:schemeClr>
        </a:solidFill>
      </a:ln>
    </cs:spPr>
  </cs:leaderLine>
  <cs:legend>
    <cs:lnRef idx="0"/>
    <cs:fillRef idx="0"/>
    <cs:effectRef idx="0"/>
    <cs:fontRef idx="minor">
      <a:schemeClr val="tx2"/>
    </cs:fontRef>
    <cs:defRPr sz="9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defRPr sz="900"/>
  </cs:seriesAxis>
  <cs:seriesLine>
    <cs:lnRef idx="0"/>
    <cs:fillRef idx="0"/>
    <cs:effectRef idx="0"/>
    <cs:fontRef idx="minor">
      <a:schemeClr val="tx2"/>
    </cs:fontRef>
    <cs:spPr bwMode="auto">
      <a:prstGeom prst="rect">
        <a:avLst/>
      </a:prstGeom>
      <a:ln w="9525">
        <a:solidFill>
          <a:schemeClr val="tx2">
            <a:lumMod val="60000"/>
            <a:lumOff val="40000"/>
          </a:schemeClr>
        </a:solidFill>
        <a:prstDash val="dash"/>
      </a:ln>
    </cs:spPr>
  </cs:seriesLine>
  <cs:title>
    <cs:lnRef idx="0"/>
    <cs:fillRef idx="0"/>
    <cs:effectRef idx="0"/>
    <cs:fontRef idx="minor">
      <a:schemeClr val="tx2"/>
    </cs:fontRef>
    <cs:defRPr sz="1600" b="1"/>
  </cs:title>
  <cs:trendline>
    <cs:lnRef idx="0">
      <cs:styleClr val="auto"/>
    </cs:lnRef>
    <cs:fillRef idx="0"/>
    <cs:effectRef idx="0"/>
    <cs:fontRef idx="minor">
      <a:schemeClr val="tx2"/>
    </cs:fontRef>
    <cs:spPr bwMode="auto">
      <a:prstGeom prst="rect">
        <a:avLst/>
      </a:prstGeom>
      <a:ln w="19050" cap="rnd">
        <a:solidFill>
          <a:schemeClr val="phClr"/>
        </a:solidFill>
        <a:prstDash val="sysDash"/>
      </a:ln>
    </cs:spPr>
  </cs:trendline>
  <cs:trendlineLabel>
    <cs:lnRef idx="0"/>
    <cs:fillRef idx="0"/>
    <cs:effectRef idx="0"/>
    <cs:fontRef idx="minor">
      <a:schemeClr val="tx2"/>
    </cs:fontRef>
    <cs:defRPr sz="900"/>
  </cs:trendlineLabel>
  <cs:upBar>
    <cs:lnRef idx="0"/>
    <cs:fillRef idx="0"/>
    <cs:effectRef idx="0"/>
    <cs:fontRef idx="minor">
      <a:schemeClr val="tx2"/>
    </cs:fontRef>
    <cs:spPr bwMode="auto">
      <a:prstGeom prst="rect">
        <a:avLst/>
      </a:prstGeom>
      <a:solidFill>
        <a:schemeClr val="lt1"/>
      </a:solidFill>
      <a:ln w="9525">
        <a:solidFill>
          <a:schemeClr val="tx1">
            <a:lumMod val="15000"/>
            <a:lumOff val="85000"/>
          </a:schemeClr>
        </a:solidFill>
      </a:ln>
    </cs:spPr>
  </cs:upBar>
  <cs:valueAxis>
    <cs:lnRef idx="0"/>
    <cs:fillRef idx="0"/>
    <cs:effectRef idx="0"/>
    <cs:fontRef idx="minor">
      <a:schemeClr val="tx2"/>
    </cs:fontRef>
    <cs:defRPr sz="9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hyperlink" Target="#'Bilan global'!A1"/></Relationships>
</file>

<file path=xl/drawings/_rels/drawing10.xml.rels><?xml version="1.0" encoding="UTF-8" standalone="yes"?>
<Relationships xmlns="http://schemas.openxmlformats.org/package/2006/relationships"><Relationship Id="rId2" Type="http://schemas.openxmlformats.org/officeDocument/2006/relationships/hyperlink" Target="#'9'!A1"/><Relationship Id="rId1" Type="http://schemas.openxmlformats.org/officeDocument/2006/relationships/hyperlink" Target="#'Bilan global'!A1"/></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A1"/><Relationship Id="rId1" Type="http://schemas.openxmlformats.org/officeDocument/2006/relationships/hyperlink" Target="#'Bilan global'!A1"/><Relationship Id="rId4"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1" Type="http://schemas.openxmlformats.org/officeDocument/2006/relationships/hyperlink" Target="#'Bilan global'!A1"/></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10'!A1"/><Relationship Id="rId1" Type="http://schemas.openxmlformats.org/officeDocument/2006/relationships/hyperlink" Target="#'Bilan global'!A1"/><Relationship Id="rId4"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10'!A1"/><Relationship Id="rId1" Type="http://schemas.openxmlformats.org/officeDocument/2006/relationships/hyperlink" Target="#'Bilan global'!A1"/></Relationships>
</file>

<file path=xl/drawings/_rels/drawing1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10'!A1"/><Relationship Id="rId1" Type="http://schemas.openxmlformats.org/officeDocument/2006/relationships/hyperlink" Target="#'Bilan global'!A1"/></Relationships>
</file>

<file path=xl/drawings/_rels/drawing1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hyperlink" Target="#'Bilan global'!A1"/><Relationship Id="rId4"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hyperlink" Target="#'Bilan global'!A1"/></Relationships>
</file>

<file path=xl/drawings/_rels/drawing18.xml.rels><?xml version="1.0" encoding="UTF-8" standalone="yes"?>
<Relationships xmlns="http://schemas.openxmlformats.org/package/2006/relationships"><Relationship Id="rId1" Type="http://schemas.openxmlformats.org/officeDocument/2006/relationships/hyperlink" Target="#'Bilan global'!A1"/></Relationships>
</file>

<file path=xl/drawings/_rels/drawing19.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hyperlink" Target="#'16'!A1"/></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Bilan global'!A1"/><Relationship Id="rId4"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hyperlink" Target="#'16'!A1"/></Relationships>
</file>

<file path=xl/drawings/_rels/drawing21.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hyperlink" Target="#'Bilan global'!A1"/></Relationships>
</file>

<file path=xl/drawings/_rels/drawing2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10'!A1"/><Relationship Id="rId1" Type="http://schemas.openxmlformats.org/officeDocument/2006/relationships/hyperlink" Target="#'Bilan global'!A1"/><Relationship Id="rId5" Type="http://schemas.openxmlformats.org/officeDocument/2006/relationships/chart" Target="../charts/chart22.xml"/><Relationship Id="rId4"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hyperlink" Target="#'10'!A1"/><Relationship Id="rId1" Type="http://schemas.openxmlformats.org/officeDocument/2006/relationships/hyperlink" Target="#'Bilan global'!A1"/><Relationship Id="rId4"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1" Type="http://schemas.openxmlformats.org/officeDocument/2006/relationships/image" Target="../media/image7.png"/></Relationships>
</file>

<file path=xl/drawings/_rels/drawing25.xml.rels><?xml version="1.0" encoding="UTF-8" standalone="yes"?>
<Relationships xmlns="http://schemas.openxmlformats.org/package/2006/relationships"><Relationship Id="rId2" Type="http://schemas.openxmlformats.org/officeDocument/2006/relationships/hyperlink" Target="#'9'!A1"/><Relationship Id="rId1" Type="http://schemas.openxmlformats.org/officeDocument/2006/relationships/hyperlink" Target="#'Bilan global'!A1"/></Relationships>
</file>

<file path=xl/drawings/_rels/drawing26.xml.rels><?xml version="1.0" encoding="UTF-8" standalone="yes"?>
<Relationships xmlns="http://schemas.openxmlformats.org/package/2006/relationships"><Relationship Id="rId3" Type="http://schemas.openxmlformats.org/officeDocument/2006/relationships/hyperlink" Target="#'Graphiques_mesures_compress (2)'!AF81"/><Relationship Id="rId2" Type="http://schemas.openxmlformats.org/officeDocument/2006/relationships/hyperlink" Target="#'9'!A1"/><Relationship Id="rId1" Type="http://schemas.openxmlformats.org/officeDocument/2006/relationships/hyperlink" Target="#'Bilan global'!A1"/></Relationships>
</file>

<file path=xl/drawings/_rels/drawing27.xml.rels><?xml version="1.0" encoding="UTF-8" standalone="yes"?>
<Relationships xmlns="http://schemas.openxmlformats.org/package/2006/relationships"><Relationship Id="rId3" Type="http://schemas.openxmlformats.org/officeDocument/2006/relationships/hyperlink" Target="#'Graphiques_mesures_compress (2)'!AF81"/><Relationship Id="rId2" Type="http://schemas.openxmlformats.org/officeDocument/2006/relationships/hyperlink" Target="#'9'!A1"/><Relationship Id="rId1" Type="http://schemas.openxmlformats.org/officeDocument/2006/relationships/hyperlink" Target="#'Bilan global'!A1"/></Relationships>
</file>

<file path=xl/drawings/_rels/drawing28.xml.rels><?xml version="1.0" encoding="UTF-8" standalone="yes"?>
<Relationships xmlns="http://schemas.openxmlformats.org/package/2006/relationships"><Relationship Id="rId2" Type="http://schemas.openxmlformats.org/officeDocument/2006/relationships/hyperlink" Target="#'9'!A1"/><Relationship Id="rId1" Type="http://schemas.openxmlformats.org/officeDocument/2006/relationships/hyperlink" Target="#'Bilan global'!A1"/></Relationships>
</file>

<file path=xl/drawings/_rels/drawing29.xml.rels><?xml version="1.0" encoding="UTF-8" standalone="yes"?>
<Relationships xmlns="http://schemas.openxmlformats.org/package/2006/relationships"><Relationship Id="rId2" Type="http://schemas.openxmlformats.org/officeDocument/2006/relationships/hyperlink" Target="#'9'!A1"/><Relationship Id="rId1" Type="http://schemas.openxmlformats.org/officeDocument/2006/relationships/hyperlink" Target="#'Bilan global'!A1"/></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Bilan global'!A1"/></Relationships>
</file>

<file path=xl/drawings/_rels/drawing30.xml.rels><?xml version="1.0" encoding="UTF-8" standalone="yes"?>
<Relationships xmlns="http://schemas.openxmlformats.org/package/2006/relationships"><Relationship Id="rId2" Type="http://schemas.openxmlformats.org/officeDocument/2006/relationships/hyperlink" Target="#'9'!A1"/><Relationship Id="rId1" Type="http://schemas.openxmlformats.org/officeDocument/2006/relationships/hyperlink" Target="#'Bilan global'!A1"/></Relationships>
</file>

<file path=xl/drawings/_rels/drawing31.xml.rels><?xml version="1.0" encoding="UTF-8" standalone="yes"?>
<Relationships xmlns="http://schemas.openxmlformats.org/package/2006/relationships"><Relationship Id="rId2" Type="http://schemas.openxmlformats.org/officeDocument/2006/relationships/hyperlink" Target="#'9'!A1"/><Relationship Id="rId1" Type="http://schemas.openxmlformats.org/officeDocument/2006/relationships/hyperlink" Target="#'Bilan global'!A1"/></Relationships>
</file>

<file path=xl/drawings/_rels/drawing32.xml.rels><?xml version="1.0" encoding="UTF-8" standalone="yes"?>
<Relationships xmlns="http://schemas.openxmlformats.org/package/2006/relationships"><Relationship Id="rId2" Type="http://schemas.openxmlformats.org/officeDocument/2006/relationships/hyperlink" Target="#'9'!A1"/><Relationship Id="rId1" Type="http://schemas.openxmlformats.org/officeDocument/2006/relationships/hyperlink" Target="#'Bilan global'!A1"/></Relationships>
</file>

<file path=xl/drawings/_rels/drawing33.xml.rels><?xml version="1.0" encoding="UTF-8" standalone="yes"?>
<Relationships xmlns="http://schemas.openxmlformats.org/package/2006/relationships"><Relationship Id="rId2" Type="http://schemas.openxmlformats.org/officeDocument/2006/relationships/hyperlink" Target="#'9'!A1"/><Relationship Id="rId1" Type="http://schemas.openxmlformats.org/officeDocument/2006/relationships/hyperlink" Target="#'Bilan global'!A1"/></Relationships>
</file>

<file path=xl/drawings/_rels/drawing34.xml.rels><?xml version="1.0" encoding="UTF-8" standalone="yes"?>
<Relationships xmlns="http://schemas.openxmlformats.org/package/2006/relationships"><Relationship Id="rId2" Type="http://schemas.openxmlformats.org/officeDocument/2006/relationships/hyperlink" Target="#'9'!A1"/><Relationship Id="rId1" Type="http://schemas.openxmlformats.org/officeDocument/2006/relationships/hyperlink" Target="#'Bilan global'!A1"/></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hyperlink" Target="#'Bilan global'!A1"/><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hyperlink" Target="#'Bilan global'!A1"/></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hyperlink" Target="#'9'!A1"/><Relationship Id="rId1" Type="http://schemas.openxmlformats.org/officeDocument/2006/relationships/hyperlink" Target="#'Bilan global'!A1"/><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9'!A1"/><Relationship Id="rId1" Type="http://schemas.openxmlformats.org/officeDocument/2006/relationships/hyperlink" Target="#'Bilan global'!A1"/></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9'!A1"/><Relationship Id="rId1" Type="http://schemas.openxmlformats.org/officeDocument/2006/relationships/hyperlink" Target="#'Bilan global'!A1"/></Relationships>
</file>

<file path=xl/drawings/_rels/drawing9.xml.rels><?xml version="1.0" encoding="UTF-8" standalone="yes"?>
<Relationships xmlns="http://schemas.openxmlformats.org/package/2006/relationships"><Relationship Id="rId2" Type="http://schemas.openxmlformats.org/officeDocument/2006/relationships/hyperlink" Target="#'9'!A1"/><Relationship Id="rId1" Type="http://schemas.openxmlformats.org/officeDocument/2006/relationships/hyperlink" Target="#'Bilan global'!A1"/></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 name="Flèche gauch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 name="Flèche gauche 1">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 name="Flèche gauche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bwMode="auto">
        <a:xfrm>
          <a:off x="76200" y="60960"/>
          <a:ext cx="381000" cy="2298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 name="Flèche gauche 1">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bwMode="auto">
        <a:xfrm>
          <a:off x="76200" y="60960"/>
          <a:ext cx="381000" cy="2298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 name="Flèche gauche 1">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bwMode="auto">
        <a:xfrm>
          <a:off x="76200" y="60960"/>
          <a:ext cx="381000" cy="2298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 name="Flèche gauche 1">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bwMode="auto">
        <a:xfrm>
          <a:off x="76200" y="60960"/>
          <a:ext cx="381000" cy="2298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 name="Flèche gauche 1">
          <a:hlinkClick xmlns:r="http://schemas.openxmlformats.org/officeDocument/2006/relationships" r:id="rId1"/>
          <a:extLst>
            <a:ext uri="{FF2B5EF4-FFF2-40B4-BE49-F238E27FC236}">
              <a16:creationId xmlns:a16="http://schemas.microsoft.com/office/drawing/2014/main" id="{00000000-0008-0000-0B00-000006000000}"/>
            </a:ext>
          </a:extLst>
        </xdr:cNvPr>
        <xdr:cNvSpPr/>
      </xdr:nvSpPr>
      <xdr:spPr bwMode="auto">
        <a:xfrm>
          <a:off x="76200" y="60960"/>
          <a:ext cx="381000" cy="2298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 name="Flèche gauche 1">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bwMode="auto">
        <a:xfrm>
          <a:off x="76200" y="60960"/>
          <a:ext cx="381000" cy="2298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 name="Flèche gauche 1">
          <a:hlinkClick xmlns:r="http://schemas.openxmlformats.org/officeDocument/2006/relationships" r:id="rId1"/>
          <a:extLst>
            <a:ext uri="{FF2B5EF4-FFF2-40B4-BE49-F238E27FC236}">
              <a16:creationId xmlns:a16="http://schemas.microsoft.com/office/drawing/2014/main" id="{00000000-0008-0000-0B00-000008000000}"/>
            </a:ext>
          </a:extLst>
        </xdr:cNvPr>
        <xdr:cNvSpPr/>
      </xdr:nvSpPr>
      <xdr:spPr bwMode="auto">
        <a:xfrm>
          <a:off x="76200" y="60960"/>
          <a:ext cx="381000" cy="2298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 name="Flèche gauche 1">
          <a:hlinkClick xmlns:r="http://schemas.openxmlformats.org/officeDocument/2006/relationships" r:id="rId2"/>
          <a:extLst>
            <a:ext uri="{FF2B5EF4-FFF2-40B4-BE49-F238E27FC236}">
              <a16:creationId xmlns:a16="http://schemas.microsoft.com/office/drawing/2014/main" id="{00000000-0008-0000-0B00-000009000000}"/>
            </a:ext>
          </a:extLst>
        </xdr:cNvPr>
        <xdr:cNvSpPr/>
      </xdr:nvSpPr>
      <xdr:spPr bwMode="auto">
        <a:xfrm>
          <a:off x="76200" y="60960"/>
          <a:ext cx="381000" cy="2298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 name="Flèche gauche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 name="Flèche gauche 1">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 name="Flèche gauche 1">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 name="Flèche gauche 1">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 name="Flèche gauche 1">
          <a:hlinkClick xmlns:r="http://schemas.openxmlformats.org/officeDocument/2006/relationships" r:id="rId1"/>
          <a:extLst>
            <a:ext uri="{FF2B5EF4-FFF2-40B4-BE49-F238E27FC236}">
              <a16:creationId xmlns:a16="http://schemas.microsoft.com/office/drawing/2014/main" id="{00000000-0008-0000-0C00-000006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 name="Flèche gauche 1">
          <a:hlinkClick xmlns:r="http://schemas.openxmlformats.org/officeDocument/2006/relationships" r:id="rId1"/>
          <a:extLst>
            <a:ext uri="{FF2B5EF4-FFF2-40B4-BE49-F238E27FC236}">
              <a16:creationId xmlns:a16="http://schemas.microsoft.com/office/drawing/2014/main" id="{00000000-0008-0000-0C00-000007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 name="Flèche gauche 1">
          <a:hlinkClick xmlns:r="http://schemas.openxmlformats.org/officeDocument/2006/relationships" r:id="rId1"/>
          <a:extLst>
            <a:ext uri="{FF2B5EF4-FFF2-40B4-BE49-F238E27FC236}">
              <a16:creationId xmlns:a16="http://schemas.microsoft.com/office/drawing/2014/main" id="{00000000-0008-0000-0C00-000008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 name="Flèche gauche 1">
          <a:hlinkClick xmlns:r="http://schemas.openxmlformats.org/officeDocument/2006/relationships" r:id="rId2"/>
          <a:extLst>
            <a:ext uri="{FF2B5EF4-FFF2-40B4-BE49-F238E27FC236}">
              <a16:creationId xmlns:a16="http://schemas.microsoft.com/office/drawing/2014/main" id="{00000000-0008-0000-0C00-000009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 name="Flèche gauche 1">
          <a:hlinkClick xmlns:r="http://schemas.openxmlformats.org/officeDocument/2006/relationships" r:id="rId1"/>
          <a:extLst>
            <a:ext uri="{FF2B5EF4-FFF2-40B4-BE49-F238E27FC236}">
              <a16:creationId xmlns:a16="http://schemas.microsoft.com/office/drawing/2014/main" id="{00000000-0008-0000-0C00-00000A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 name="Flèche gauche 1">
          <a:hlinkClick xmlns:r="http://schemas.openxmlformats.org/officeDocument/2006/relationships" r:id="rId1"/>
          <a:extLst>
            <a:ext uri="{FF2B5EF4-FFF2-40B4-BE49-F238E27FC236}">
              <a16:creationId xmlns:a16="http://schemas.microsoft.com/office/drawing/2014/main" id="{00000000-0008-0000-0C00-00000B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 name="Flèche gauche 1">
          <a:hlinkClick xmlns:r="http://schemas.openxmlformats.org/officeDocument/2006/relationships" r:id="rId1"/>
          <a:extLst>
            <a:ext uri="{FF2B5EF4-FFF2-40B4-BE49-F238E27FC236}">
              <a16:creationId xmlns:a16="http://schemas.microsoft.com/office/drawing/2014/main" id="{00000000-0008-0000-0C00-00000C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 name="Flèche gauche 1">
          <a:hlinkClick xmlns:r="http://schemas.openxmlformats.org/officeDocument/2006/relationships" r:id="rId2"/>
          <a:extLst>
            <a:ext uri="{FF2B5EF4-FFF2-40B4-BE49-F238E27FC236}">
              <a16:creationId xmlns:a16="http://schemas.microsoft.com/office/drawing/2014/main" id="{00000000-0008-0000-0C00-00000D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 name="Flèche gauche 1">
          <a:hlinkClick xmlns:r="http://schemas.openxmlformats.org/officeDocument/2006/relationships" r:id="rId1"/>
          <a:extLst>
            <a:ext uri="{FF2B5EF4-FFF2-40B4-BE49-F238E27FC236}">
              <a16:creationId xmlns:a16="http://schemas.microsoft.com/office/drawing/2014/main" id="{00000000-0008-0000-0C00-00000E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 name="Flèche gauche 1">
          <a:hlinkClick xmlns:r="http://schemas.openxmlformats.org/officeDocument/2006/relationships" r:id="rId1"/>
          <a:extLst>
            <a:ext uri="{FF2B5EF4-FFF2-40B4-BE49-F238E27FC236}">
              <a16:creationId xmlns:a16="http://schemas.microsoft.com/office/drawing/2014/main" id="{00000000-0008-0000-0C00-00000F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 name="Flèche gauche 1">
          <a:hlinkClick xmlns:r="http://schemas.openxmlformats.org/officeDocument/2006/relationships" r:id="rId1"/>
          <a:extLst>
            <a:ext uri="{FF2B5EF4-FFF2-40B4-BE49-F238E27FC236}">
              <a16:creationId xmlns:a16="http://schemas.microsoft.com/office/drawing/2014/main" id="{00000000-0008-0000-0C00-000010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 name="Flèche gauche 1">
          <a:hlinkClick xmlns:r="http://schemas.openxmlformats.org/officeDocument/2006/relationships" r:id="rId2"/>
          <a:extLst>
            <a:ext uri="{FF2B5EF4-FFF2-40B4-BE49-F238E27FC236}">
              <a16:creationId xmlns:a16="http://schemas.microsoft.com/office/drawing/2014/main" id="{00000000-0008-0000-0C00-000011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oneCellAnchor>
    <xdr:from>
      <xdr:col>13</xdr:col>
      <xdr:colOff>690893</xdr:colOff>
      <xdr:row>45</xdr:row>
      <xdr:rowOff>0</xdr:rowOff>
    </xdr:from>
    <xdr:ext cx="3565837" cy="3226418"/>
    <xdr:pic>
      <xdr:nvPicPr>
        <xdr:cNvPr id="18" name="Image 17">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3"/>
        <a:stretch/>
      </xdr:blipFill>
      <xdr:spPr bwMode="auto">
        <a:xfrm>
          <a:off x="11422393" y="8953500"/>
          <a:ext cx="3565839" cy="3226418"/>
        </a:xfrm>
        <a:prstGeom prst="rect">
          <a:avLst/>
        </a:prstGeom>
      </xdr:spPr>
    </xdr:pic>
    <xdr:clientData/>
  </xdr:oneCellAnchor>
  <xdr:twoCellAnchor>
    <xdr:from>
      <xdr:col>1</xdr:col>
      <xdr:colOff>381000</xdr:colOff>
      <xdr:row>102</xdr:row>
      <xdr:rowOff>76200</xdr:rowOff>
    </xdr:from>
    <xdr:to>
      <xdr:col>4</xdr:col>
      <xdr:colOff>711200</xdr:colOff>
      <xdr:row>121</xdr:row>
      <xdr:rowOff>88900</xdr:rowOff>
    </xdr:to>
    <xdr:graphicFrame macro="">
      <xdr:nvGraphicFramePr>
        <xdr:cNvPr id="19" name="Graphique 18">
          <a:extLst>
            <a:ext uri="{FF2B5EF4-FFF2-40B4-BE49-F238E27FC236}">
              <a16:creationId xmlns:a16="http://schemas.microsoft.com/office/drawing/2014/main" id="{00000000-0008-0000-0C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4" name="Flèche gauche 1">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 name="Flèche gauche 1">
          <a:hlinkClick xmlns:r="http://schemas.openxmlformats.org/officeDocument/2006/relationships" r:id="rId1"/>
          <a:extLst>
            <a:ext uri="{FF2B5EF4-FFF2-40B4-BE49-F238E27FC236}">
              <a16:creationId xmlns:a16="http://schemas.microsoft.com/office/drawing/2014/main" id="{00000000-0008-0000-0D00-000005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 name="Flèche gauche 1">
          <a:hlinkClick xmlns:r="http://schemas.openxmlformats.org/officeDocument/2006/relationships" r:id="rId1"/>
          <a:extLst>
            <a:ext uri="{FF2B5EF4-FFF2-40B4-BE49-F238E27FC236}">
              <a16:creationId xmlns:a16="http://schemas.microsoft.com/office/drawing/2014/main" id="{00000000-0008-0000-0D00-000006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 name="Flèche gauche 1">
          <a:hlinkClick xmlns:r="http://schemas.openxmlformats.org/officeDocument/2006/relationships" r:id="rId1"/>
          <a:extLst>
            <a:ext uri="{FF2B5EF4-FFF2-40B4-BE49-F238E27FC236}">
              <a16:creationId xmlns:a16="http://schemas.microsoft.com/office/drawing/2014/main" id="{00000000-0008-0000-0D00-000007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4" name="Flèche gauche 1">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 name="Flèche gauche 1">
          <a:hlinkClick xmlns:r="http://schemas.openxmlformats.org/officeDocument/2006/relationships" r:id="rId1"/>
          <a:extLst>
            <a:ext uri="{FF2B5EF4-FFF2-40B4-BE49-F238E27FC236}">
              <a16:creationId xmlns:a16="http://schemas.microsoft.com/office/drawing/2014/main" id="{00000000-0008-0000-0E00-000005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 name="Flèche gauche 1">
          <a:hlinkClick xmlns:r="http://schemas.openxmlformats.org/officeDocument/2006/relationships" r:id="rId1"/>
          <a:extLst>
            <a:ext uri="{FF2B5EF4-FFF2-40B4-BE49-F238E27FC236}">
              <a16:creationId xmlns:a16="http://schemas.microsoft.com/office/drawing/2014/main" id="{00000000-0008-0000-0E00-000006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 name="Flèche gauche 1">
          <a:hlinkClick xmlns:r="http://schemas.openxmlformats.org/officeDocument/2006/relationships" r:id="rId2"/>
          <a:extLst>
            <a:ext uri="{FF2B5EF4-FFF2-40B4-BE49-F238E27FC236}">
              <a16:creationId xmlns:a16="http://schemas.microsoft.com/office/drawing/2014/main" id="{00000000-0008-0000-0E00-000007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oneCellAnchor>
    <xdr:from>
      <xdr:col>1</xdr:col>
      <xdr:colOff>1184700</xdr:colOff>
      <xdr:row>344</xdr:row>
      <xdr:rowOff>11904</xdr:rowOff>
    </xdr:from>
    <xdr:ext cx="2978562" cy="439458"/>
    <xdr:pic>
      <xdr:nvPicPr>
        <xdr:cNvPr id="509018332" name="Image 509018331">
          <a:extLst>
            <a:ext uri="{FF2B5EF4-FFF2-40B4-BE49-F238E27FC236}">
              <a16:creationId xmlns:a16="http://schemas.microsoft.com/office/drawing/2014/main" id="{00000000-0008-0000-0E00-0000DC00571E}"/>
            </a:ext>
          </a:extLst>
        </xdr:cNvPr>
        <xdr:cNvPicPr>
          <a:picLocks noChangeAspect="1"/>
        </xdr:cNvPicPr>
      </xdr:nvPicPr>
      <xdr:blipFill>
        <a:blip xmlns:r="http://schemas.openxmlformats.org/officeDocument/2006/relationships" r:embed="rId3"/>
        <a:stretch/>
      </xdr:blipFill>
      <xdr:spPr bwMode="auto">
        <a:xfrm>
          <a:off x="1946700" y="67687029"/>
          <a:ext cx="2978562" cy="439457"/>
        </a:xfrm>
        <a:prstGeom prst="rect">
          <a:avLst/>
        </a:prstGeom>
      </xdr:spPr>
    </xdr:pic>
    <xdr:clientData/>
  </xdr:oneCellAnchor>
  <xdr:twoCellAnchor editAs="oneCell">
    <xdr:from>
      <xdr:col>0</xdr:col>
      <xdr:colOff>644070</xdr:colOff>
      <xdr:row>297</xdr:row>
      <xdr:rowOff>72571</xdr:rowOff>
    </xdr:from>
    <xdr:to>
      <xdr:col>9</xdr:col>
      <xdr:colOff>1483560</xdr:colOff>
      <xdr:row>316</xdr:row>
      <xdr:rowOff>72569</xdr:rowOff>
    </xdr:to>
    <xdr:pic>
      <xdr:nvPicPr>
        <xdr:cNvPr id="14" name="Image 13">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4"/>
        <a:srcRect t="3063" b="7349"/>
        <a:stretch/>
      </xdr:blipFill>
      <xdr:spPr bwMode="auto">
        <a:xfrm>
          <a:off x="644070" y="62429571"/>
          <a:ext cx="15399133" cy="344714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 name="Flèche gauche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 name="Flèche gauche 1">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 name="Flèche gauche 1">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 name="Flèche gauche 1">
          <a:hlinkClick xmlns:r="http://schemas.openxmlformats.org/officeDocument/2006/relationships" r:id="rId2"/>
          <a:extLst>
            <a:ext uri="{FF2B5EF4-FFF2-40B4-BE49-F238E27FC236}">
              <a16:creationId xmlns:a16="http://schemas.microsoft.com/office/drawing/2014/main" id="{00000000-0008-0000-0F00-000005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oneCellAnchor>
    <xdr:from>
      <xdr:col>5</xdr:col>
      <xdr:colOff>1012533</xdr:colOff>
      <xdr:row>26</xdr:row>
      <xdr:rowOff>485917</xdr:rowOff>
    </xdr:from>
    <xdr:ext cx="7162800" cy="3357563"/>
    <xdr:pic>
      <xdr:nvPicPr>
        <xdr:cNvPr id="11" name="Image 10">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3"/>
        <a:stretch/>
      </xdr:blipFill>
      <xdr:spPr bwMode="auto">
        <a:xfrm>
          <a:off x="10906988" y="6270190"/>
          <a:ext cx="7162800" cy="3357563"/>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 name="Flèche gauche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 name="Flèche gauche 1">
          <a:hlinkClick xmlns:r="http://schemas.openxmlformats.org/officeDocument/2006/relationships" r:id="rId1"/>
          <a:extLst>
            <a:ext uri="{FF2B5EF4-FFF2-40B4-BE49-F238E27FC236}">
              <a16:creationId xmlns:a16="http://schemas.microsoft.com/office/drawing/2014/main" id="{00000000-0008-0000-1000-000003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 name="Flèche gauche 1">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 name="Flèche gauche 1">
          <a:hlinkClick xmlns:r="http://schemas.openxmlformats.org/officeDocument/2006/relationships" r:id="rId2"/>
          <a:extLst>
            <a:ext uri="{FF2B5EF4-FFF2-40B4-BE49-F238E27FC236}">
              <a16:creationId xmlns:a16="http://schemas.microsoft.com/office/drawing/2014/main" id="{00000000-0008-0000-1000-000005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 name="Flèche gauche 1">
          <a:hlinkClick xmlns:r="http://schemas.openxmlformats.org/officeDocument/2006/relationships" r:id="rId1"/>
          <a:extLst>
            <a:ext uri="{FF2B5EF4-FFF2-40B4-BE49-F238E27FC236}">
              <a16:creationId xmlns:a16="http://schemas.microsoft.com/office/drawing/2014/main" id="{00000000-0008-0000-1000-000006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 name="Flèche gauche 1">
          <a:hlinkClick xmlns:r="http://schemas.openxmlformats.org/officeDocument/2006/relationships" r:id="rId1"/>
          <a:extLst>
            <a:ext uri="{FF2B5EF4-FFF2-40B4-BE49-F238E27FC236}">
              <a16:creationId xmlns:a16="http://schemas.microsoft.com/office/drawing/2014/main" id="{00000000-0008-0000-1000-000007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 name="Flèche gauche 1">
          <a:hlinkClick xmlns:r="http://schemas.openxmlformats.org/officeDocument/2006/relationships" r:id="rId1"/>
          <a:extLst>
            <a:ext uri="{FF2B5EF4-FFF2-40B4-BE49-F238E27FC236}">
              <a16:creationId xmlns:a16="http://schemas.microsoft.com/office/drawing/2014/main" id="{00000000-0008-0000-1000-000008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 name="Flèche gauche 1">
          <a:hlinkClick xmlns:r="http://schemas.openxmlformats.org/officeDocument/2006/relationships" r:id="rId2"/>
          <a:extLst>
            <a:ext uri="{FF2B5EF4-FFF2-40B4-BE49-F238E27FC236}">
              <a16:creationId xmlns:a16="http://schemas.microsoft.com/office/drawing/2014/main" id="{00000000-0008-0000-1000-000009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oneCellAnchor>
    <xdr:from>
      <xdr:col>7</xdr:col>
      <xdr:colOff>590549</xdr:colOff>
      <xdr:row>26</xdr:row>
      <xdr:rowOff>638175</xdr:rowOff>
    </xdr:from>
    <xdr:ext cx="5248170" cy="2466980"/>
    <xdr:pic>
      <xdr:nvPicPr>
        <xdr:cNvPr id="15" name="Image 14">
          <a:extLst>
            <a:ext uri="{FF2B5EF4-FFF2-40B4-BE49-F238E27FC236}">
              <a16:creationId xmlns:a16="http://schemas.microsoft.com/office/drawing/2014/main" id="{00000000-0008-0000-1000-00000F000000}"/>
            </a:ext>
          </a:extLst>
        </xdr:cNvPr>
        <xdr:cNvPicPr>
          <a:picLocks noChangeAspect="1"/>
        </xdr:cNvPicPr>
      </xdr:nvPicPr>
      <xdr:blipFill>
        <a:blip xmlns:r="http://schemas.openxmlformats.org/officeDocument/2006/relationships" r:embed="rId3"/>
        <a:stretch/>
      </xdr:blipFill>
      <xdr:spPr bwMode="auto">
        <a:xfrm>
          <a:off x="10445750" y="6645275"/>
          <a:ext cx="5248170" cy="246698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 name="Flèche gauche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bwMode="auto">
        <a:xfrm>
          <a:off x="76200" y="60960"/>
          <a:ext cx="381000" cy="228600"/>
        </a:xfrm>
        <a:prstGeom prst="leftArrow">
          <a:avLst>
            <a:gd name="adj1" fmla="val 50000"/>
            <a:gd name="adj2" fmla="val 50000"/>
          </a:avLst>
        </a:prstGeom>
        <a:ln>
          <a:solidFill>
            <a:sysClr val="windowText" lastClr="000000"/>
          </a:solidFill>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472963</xdr:colOff>
      <xdr:row>32</xdr:row>
      <xdr:rowOff>22225</xdr:rowOff>
    </xdr:from>
    <xdr:to>
      <xdr:col>5</xdr:col>
      <xdr:colOff>1219200</xdr:colOff>
      <xdr:row>52</xdr:row>
      <xdr:rowOff>9525</xdr:rowOff>
    </xdr:to>
    <xdr:graphicFrame macro="">
      <xdr:nvGraphicFramePr>
        <xdr:cNvPr id="11" name="Graphique 10">
          <a:extLst>
            <a:ext uri="{FF2B5EF4-FFF2-40B4-BE49-F238E27FC236}">
              <a16:creationId xmlns:a16="http://schemas.microsoft.com/office/drawing/2014/main" id="{00000000-0008-0000-1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403391</xdr:colOff>
      <xdr:row>32</xdr:row>
      <xdr:rowOff>18183</xdr:rowOff>
    </xdr:from>
    <xdr:to>
      <xdr:col>12</xdr:col>
      <xdr:colOff>288924</xdr:colOff>
      <xdr:row>52</xdr:row>
      <xdr:rowOff>9524</xdr:rowOff>
    </xdr:to>
    <xdr:graphicFrame macro="">
      <xdr:nvGraphicFramePr>
        <xdr:cNvPr id="12" name="Graphique 11">
          <a:extLst>
            <a:ext uri="{FF2B5EF4-FFF2-40B4-BE49-F238E27FC236}">
              <a16:creationId xmlns:a16="http://schemas.microsoft.com/office/drawing/2014/main" id="{00000000-0008-0000-1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714376</xdr:colOff>
      <xdr:row>32</xdr:row>
      <xdr:rowOff>38100</xdr:rowOff>
    </xdr:from>
    <xdr:to>
      <xdr:col>19</xdr:col>
      <xdr:colOff>190500</xdr:colOff>
      <xdr:row>52</xdr:row>
      <xdr:rowOff>29441</xdr:rowOff>
    </xdr:to>
    <xdr:graphicFrame macro="">
      <xdr:nvGraphicFramePr>
        <xdr:cNvPr id="13" name="Graphique 12">
          <a:extLst>
            <a:ext uri="{FF2B5EF4-FFF2-40B4-BE49-F238E27FC236}">
              <a16:creationId xmlns:a16="http://schemas.microsoft.com/office/drawing/2014/main" id="{00000000-0008-0000-1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4" name="Flèche gauche 1">
          <a:hlinkClick xmlns:r="http://schemas.openxmlformats.org/officeDocument/2006/relationships" r:id="rId1"/>
          <a:extLst>
            <a:ext uri="{FF2B5EF4-FFF2-40B4-BE49-F238E27FC236}">
              <a16:creationId xmlns:a16="http://schemas.microsoft.com/office/drawing/2014/main" id="{00000000-0008-0000-1200-000004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 name="Flèche gauche 1">
          <a:hlinkClick xmlns:r="http://schemas.openxmlformats.org/officeDocument/2006/relationships" r:id="rId1"/>
          <a:extLst>
            <a:ext uri="{FF2B5EF4-FFF2-40B4-BE49-F238E27FC236}">
              <a16:creationId xmlns:a16="http://schemas.microsoft.com/office/drawing/2014/main" id="{00000000-0008-0000-1200-000005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 name="Flèche gauche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 name="Flèche gauche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3</xdr:col>
      <xdr:colOff>961296</xdr:colOff>
      <xdr:row>268</xdr:row>
      <xdr:rowOff>0</xdr:rowOff>
    </xdr:from>
    <xdr:to>
      <xdr:col>9</xdr:col>
      <xdr:colOff>469102</xdr:colOff>
      <xdr:row>276</xdr:row>
      <xdr:rowOff>0</xdr:rowOff>
    </xdr:to>
    <xdr:graphicFrame macro="">
      <xdr:nvGraphicFramePr>
        <xdr:cNvPr id="28" name="Graphique 27">
          <a:extLst>
            <a:ext uri="{FF2B5EF4-FFF2-40B4-BE49-F238E27FC236}">
              <a16:creationId xmlns:a16="http://schemas.microsoft.com/office/drawing/2014/main" id="{00000000-0008-0000-14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 name="Flèche gauch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bwMode="auto">
        <a:xfrm>
          <a:off x="76200" y="60960"/>
          <a:ext cx="381000" cy="22860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472965</xdr:colOff>
      <xdr:row>38</xdr:row>
      <xdr:rowOff>75191</xdr:rowOff>
    </xdr:from>
    <xdr:to>
      <xdr:col>3</xdr:col>
      <xdr:colOff>1566334</xdr:colOff>
      <xdr:row>55</xdr:row>
      <xdr:rowOff>76690</xdr:rowOff>
    </xdr:to>
    <xdr:graphicFrame macro="">
      <xdr:nvGraphicFramePr>
        <xdr:cNvPr id="11" name="Graphique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1657517</xdr:colOff>
      <xdr:row>38</xdr:row>
      <xdr:rowOff>82741</xdr:rowOff>
    </xdr:from>
    <xdr:to>
      <xdr:col>9</xdr:col>
      <xdr:colOff>943985</xdr:colOff>
      <xdr:row>57</xdr:row>
      <xdr:rowOff>63242</xdr:rowOff>
    </xdr:to>
    <xdr:graphicFrame macro="">
      <xdr:nvGraphicFramePr>
        <xdr:cNvPr id="12" name="Graphique 11">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482599</xdr:colOff>
      <xdr:row>37</xdr:row>
      <xdr:rowOff>160866</xdr:rowOff>
    </xdr:from>
    <xdr:to>
      <xdr:col>15</xdr:col>
      <xdr:colOff>519161</xdr:colOff>
      <xdr:row>56</xdr:row>
      <xdr:rowOff>141366</xdr:rowOff>
    </xdr:to>
    <xdr:graphicFrame macro="">
      <xdr:nvGraphicFramePr>
        <xdr:cNvPr id="13" name="Graphique 12">
          <a:extLst>
            <a:ext uri="{FF2B5EF4-FFF2-40B4-BE49-F238E27FC236}">
              <a16:creationId xmlns:a16="http://schemas.microsoft.com/office/drawing/2014/main" id="{00000000-0008-0000-0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 name="Flèche gauche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5</xdr:col>
      <xdr:colOff>3112</xdr:colOff>
      <xdr:row>132</xdr:row>
      <xdr:rowOff>113177</xdr:rowOff>
    </xdr:from>
    <xdr:to>
      <xdr:col>10</xdr:col>
      <xdr:colOff>468779</xdr:colOff>
      <xdr:row>142</xdr:row>
      <xdr:rowOff>187260</xdr:rowOff>
    </xdr:to>
    <xdr:graphicFrame macro="">
      <xdr:nvGraphicFramePr>
        <xdr:cNvPr id="4" name="Graphique 3">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 name="Flèche gauche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5</xdr:col>
      <xdr:colOff>427264</xdr:colOff>
      <xdr:row>157</xdr:row>
      <xdr:rowOff>161016</xdr:rowOff>
    </xdr:from>
    <xdr:to>
      <xdr:col>14</xdr:col>
      <xdr:colOff>619126</xdr:colOff>
      <xdr:row>173</xdr:row>
      <xdr:rowOff>185204</xdr:rowOff>
    </xdr:to>
    <xdr:graphicFrame macro="">
      <xdr:nvGraphicFramePr>
        <xdr:cNvPr id="12" name="Graphique 11">
          <a:extLst>
            <a:ext uri="{FF2B5EF4-FFF2-40B4-BE49-F238E27FC236}">
              <a16:creationId xmlns:a16="http://schemas.microsoft.com/office/drawing/2014/main" id="{00000000-0008-0000-1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18" name="Flèche gauche 1">
          <a:hlinkClick xmlns:r="http://schemas.openxmlformats.org/officeDocument/2006/relationships" r:id="rId1"/>
          <a:extLst>
            <a:ext uri="{FF2B5EF4-FFF2-40B4-BE49-F238E27FC236}">
              <a16:creationId xmlns:a16="http://schemas.microsoft.com/office/drawing/2014/main" id="{00000000-0008-0000-1700-000012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 name="Flèche gauche 1">
          <a:hlinkClick xmlns:r="http://schemas.openxmlformats.org/officeDocument/2006/relationships" r:id="rId1"/>
          <a:extLst>
            <a:ext uri="{FF2B5EF4-FFF2-40B4-BE49-F238E27FC236}">
              <a16:creationId xmlns:a16="http://schemas.microsoft.com/office/drawing/2014/main" id="{00000000-0008-0000-1700-000013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 name="Flèche gauche 1">
          <a:hlinkClick xmlns:r="http://schemas.openxmlformats.org/officeDocument/2006/relationships" r:id="rId1"/>
          <a:extLst>
            <a:ext uri="{FF2B5EF4-FFF2-40B4-BE49-F238E27FC236}">
              <a16:creationId xmlns:a16="http://schemas.microsoft.com/office/drawing/2014/main" id="{00000000-0008-0000-1700-000014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 name="Flèche gauche 1">
          <a:hlinkClick xmlns:r="http://schemas.openxmlformats.org/officeDocument/2006/relationships" r:id="rId2"/>
          <a:extLst>
            <a:ext uri="{FF2B5EF4-FFF2-40B4-BE49-F238E27FC236}">
              <a16:creationId xmlns:a16="http://schemas.microsoft.com/office/drawing/2014/main" id="{00000000-0008-0000-1700-000015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 name="Flèche gauche 1">
          <a:hlinkClick xmlns:r="http://schemas.openxmlformats.org/officeDocument/2006/relationships" r:id="rId1"/>
          <a:extLst>
            <a:ext uri="{FF2B5EF4-FFF2-40B4-BE49-F238E27FC236}">
              <a16:creationId xmlns:a16="http://schemas.microsoft.com/office/drawing/2014/main" id="{00000000-0008-0000-1700-000016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 name="Flèche gauche 1">
          <a:hlinkClick xmlns:r="http://schemas.openxmlformats.org/officeDocument/2006/relationships" r:id="rId1"/>
          <a:extLst>
            <a:ext uri="{FF2B5EF4-FFF2-40B4-BE49-F238E27FC236}">
              <a16:creationId xmlns:a16="http://schemas.microsoft.com/office/drawing/2014/main" id="{00000000-0008-0000-1700-000017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 name="Flèche gauche 1">
          <a:hlinkClick xmlns:r="http://schemas.openxmlformats.org/officeDocument/2006/relationships" r:id="rId1"/>
          <a:extLst>
            <a:ext uri="{FF2B5EF4-FFF2-40B4-BE49-F238E27FC236}">
              <a16:creationId xmlns:a16="http://schemas.microsoft.com/office/drawing/2014/main" id="{00000000-0008-0000-1700-000018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 name="Flèche gauche 1">
          <a:hlinkClick xmlns:r="http://schemas.openxmlformats.org/officeDocument/2006/relationships" r:id="rId2"/>
          <a:extLst>
            <a:ext uri="{FF2B5EF4-FFF2-40B4-BE49-F238E27FC236}">
              <a16:creationId xmlns:a16="http://schemas.microsoft.com/office/drawing/2014/main" id="{00000000-0008-0000-1700-000019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 name="Flèche gauche 1">
          <a:hlinkClick xmlns:r="http://schemas.openxmlformats.org/officeDocument/2006/relationships" r:id="rId1"/>
          <a:extLst>
            <a:ext uri="{FF2B5EF4-FFF2-40B4-BE49-F238E27FC236}">
              <a16:creationId xmlns:a16="http://schemas.microsoft.com/office/drawing/2014/main" id="{00000000-0008-0000-1700-00001A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 name="Flèche gauche 1">
          <a:hlinkClick xmlns:r="http://schemas.openxmlformats.org/officeDocument/2006/relationships" r:id="rId1"/>
          <a:extLst>
            <a:ext uri="{FF2B5EF4-FFF2-40B4-BE49-F238E27FC236}">
              <a16:creationId xmlns:a16="http://schemas.microsoft.com/office/drawing/2014/main" id="{00000000-0008-0000-1700-00001B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 name="Flèche gauche 1">
          <a:hlinkClick xmlns:r="http://schemas.openxmlformats.org/officeDocument/2006/relationships" r:id="rId1"/>
          <a:extLst>
            <a:ext uri="{FF2B5EF4-FFF2-40B4-BE49-F238E27FC236}">
              <a16:creationId xmlns:a16="http://schemas.microsoft.com/office/drawing/2014/main" id="{00000000-0008-0000-1700-00001C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 name="Flèche gauche 1">
          <a:hlinkClick xmlns:r="http://schemas.openxmlformats.org/officeDocument/2006/relationships" r:id="rId2"/>
          <a:extLst>
            <a:ext uri="{FF2B5EF4-FFF2-40B4-BE49-F238E27FC236}">
              <a16:creationId xmlns:a16="http://schemas.microsoft.com/office/drawing/2014/main" id="{00000000-0008-0000-1700-00001D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 name="Flèche gauche 1">
          <a:hlinkClick xmlns:r="http://schemas.openxmlformats.org/officeDocument/2006/relationships" r:id="rId1"/>
          <a:extLst>
            <a:ext uri="{FF2B5EF4-FFF2-40B4-BE49-F238E27FC236}">
              <a16:creationId xmlns:a16="http://schemas.microsoft.com/office/drawing/2014/main" id="{00000000-0008-0000-1700-00001E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 name="Flèche gauche 1">
          <a:hlinkClick xmlns:r="http://schemas.openxmlformats.org/officeDocument/2006/relationships" r:id="rId1"/>
          <a:extLst>
            <a:ext uri="{FF2B5EF4-FFF2-40B4-BE49-F238E27FC236}">
              <a16:creationId xmlns:a16="http://schemas.microsoft.com/office/drawing/2014/main" id="{00000000-0008-0000-1700-00001F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 name="Flèche gauche 1">
          <a:hlinkClick xmlns:r="http://schemas.openxmlformats.org/officeDocument/2006/relationships" r:id="rId1"/>
          <a:extLst>
            <a:ext uri="{FF2B5EF4-FFF2-40B4-BE49-F238E27FC236}">
              <a16:creationId xmlns:a16="http://schemas.microsoft.com/office/drawing/2014/main" id="{00000000-0008-0000-1700-000020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 name="Flèche gauche 1">
          <a:hlinkClick xmlns:r="http://schemas.openxmlformats.org/officeDocument/2006/relationships" r:id="rId2"/>
          <a:extLst>
            <a:ext uri="{FF2B5EF4-FFF2-40B4-BE49-F238E27FC236}">
              <a16:creationId xmlns:a16="http://schemas.microsoft.com/office/drawing/2014/main" id="{00000000-0008-0000-1700-000021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1</xdr:col>
      <xdr:colOff>491065</xdr:colOff>
      <xdr:row>49</xdr:row>
      <xdr:rowOff>8465</xdr:rowOff>
    </xdr:from>
    <xdr:to>
      <xdr:col>3</xdr:col>
      <xdr:colOff>237064</xdr:colOff>
      <xdr:row>70</xdr:row>
      <xdr:rowOff>0</xdr:rowOff>
    </xdr:to>
    <xdr:graphicFrame macro="">
      <xdr:nvGraphicFramePr>
        <xdr:cNvPr id="2" name="Graphique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524930</xdr:colOff>
      <xdr:row>48</xdr:row>
      <xdr:rowOff>118532</xdr:rowOff>
    </xdr:from>
    <xdr:to>
      <xdr:col>6</xdr:col>
      <xdr:colOff>677331</xdr:colOff>
      <xdr:row>70</xdr:row>
      <xdr:rowOff>0</xdr:rowOff>
    </xdr:to>
    <xdr:graphicFrame macro="">
      <xdr:nvGraphicFramePr>
        <xdr:cNvPr id="3" name="Graphique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237064</xdr:colOff>
      <xdr:row>25</xdr:row>
      <xdr:rowOff>26458</xdr:rowOff>
    </xdr:from>
    <xdr:to>
      <xdr:col>4</xdr:col>
      <xdr:colOff>1427689</xdr:colOff>
      <xdr:row>40</xdr:row>
      <xdr:rowOff>26458</xdr:rowOff>
    </xdr:to>
    <xdr:graphicFrame macro="">
      <xdr:nvGraphicFramePr>
        <xdr:cNvPr id="1159333901" name="Graphique 1159333900">
          <a:extLst>
            <a:ext uri="{FF2B5EF4-FFF2-40B4-BE49-F238E27FC236}">
              <a16:creationId xmlns:a16="http://schemas.microsoft.com/office/drawing/2014/main" id="{00000000-0008-0000-1700-00000D081A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6" name="Flèche gauche 1">
          <a:hlinkClick xmlns:r="http://schemas.openxmlformats.org/officeDocument/2006/relationships" r:id="rId1"/>
          <a:extLst>
            <a:ext uri="{FF2B5EF4-FFF2-40B4-BE49-F238E27FC236}">
              <a16:creationId xmlns:a16="http://schemas.microsoft.com/office/drawing/2014/main" id="{00000000-0008-0000-1800-000006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 name="Flèche gauche 1">
          <a:hlinkClick xmlns:r="http://schemas.openxmlformats.org/officeDocument/2006/relationships" r:id="rId1"/>
          <a:extLst>
            <a:ext uri="{FF2B5EF4-FFF2-40B4-BE49-F238E27FC236}">
              <a16:creationId xmlns:a16="http://schemas.microsoft.com/office/drawing/2014/main" id="{00000000-0008-0000-1800-000007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 name="Flèche gauche 1">
          <a:hlinkClick xmlns:r="http://schemas.openxmlformats.org/officeDocument/2006/relationships" r:id="rId1"/>
          <a:extLst>
            <a:ext uri="{FF2B5EF4-FFF2-40B4-BE49-F238E27FC236}">
              <a16:creationId xmlns:a16="http://schemas.microsoft.com/office/drawing/2014/main" id="{00000000-0008-0000-1800-000008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 name="Flèche gauche 1">
          <a:hlinkClick xmlns:r="http://schemas.openxmlformats.org/officeDocument/2006/relationships" r:id="rId2"/>
          <a:extLst>
            <a:ext uri="{FF2B5EF4-FFF2-40B4-BE49-F238E27FC236}">
              <a16:creationId xmlns:a16="http://schemas.microsoft.com/office/drawing/2014/main" id="{00000000-0008-0000-1800-000009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 name="Flèche gauche 1">
          <a:hlinkClick xmlns:r="http://schemas.openxmlformats.org/officeDocument/2006/relationships" r:id="rId1"/>
          <a:extLst>
            <a:ext uri="{FF2B5EF4-FFF2-40B4-BE49-F238E27FC236}">
              <a16:creationId xmlns:a16="http://schemas.microsoft.com/office/drawing/2014/main" id="{00000000-0008-0000-1800-00000A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 name="Flèche gauche 1">
          <a:hlinkClick xmlns:r="http://schemas.openxmlformats.org/officeDocument/2006/relationships" r:id="rId1"/>
          <a:extLst>
            <a:ext uri="{FF2B5EF4-FFF2-40B4-BE49-F238E27FC236}">
              <a16:creationId xmlns:a16="http://schemas.microsoft.com/office/drawing/2014/main" id="{00000000-0008-0000-1800-00000B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 name="Flèche gauche 1">
          <a:hlinkClick xmlns:r="http://schemas.openxmlformats.org/officeDocument/2006/relationships" r:id="rId1"/>
          <a:extLst>
            <a:ext uri="{FF2B5EF4-FFF2-40B4-BE49-F238E27FC236}">
              <a16:creationId xmlns:a16="http://schemas.microsoft.com/office/drawing/2014/main" id="{00000000-0008-0000-1800-00000C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 name="Flèche gauche 1">
          <a:hlinkClick xmlns:r="http://schemas.openxmlformats.org/officeDocument/2006/relationships" r:id="rId2"/>
          <a:extLst>
            <a:ext uri="{FF2B5EF4-FFF2-40B4-BE49-F238E27FC236}">
              <a16:creationId xmlns:a16="http://schemas.microsoft.com/office/drawing/2014/main" id="{00000000-0008-0000-1800-00000D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1</xdr:col>
      <xdr:colOff>2052178</xdr:colOff>
      <xdr:row>31</xdr:row>
      <xdr:rowOff>130560</xdr:rowOff>
    </xdr:from>
    <xdr:to>
      <xdr:col>3</xdr:col>
      <xdr:colOff>178037</xdr:colOff>
      <xdr:row>47</xdr:row>
      <xdr:rowOff>713</xdr:rowOff>
    </xdr:to>
    <xdr:graphicFrame macro="">
      <xdr:nvGraphicFramePr>
        <xdr:cNvPr id="2" name="Graphique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983952</xdr:colOff>
      <xdr:row>31</xdr:row>
      <xdr:rowOff>165456</xdr:rowOff>
    </xdr:from>
    <xdr:to>
      <xdr:col>4</xdr:col>
      <xdr:colOff>2268196</xdr:colOff>
      <xdr:row>46</xdr:row>
      <xdr:rowOff>60056</xdr:rowOff>
    </xdr:to>
    <xdr:graphicFrame macro="">
      <xdr:nvGraphicFramePr>
        <xdr:cNvPr id="3" name="Graphique 2">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9</xdr:row>
      <xdr:rowOff>181425</xdr:rowOff>
    </xdr:from>
    <xdr:to>
      <xdr:col>5</xdr:col>
      <xdr:colOff>905042</xdr:colOff>
      <xdr:row>37</xdr:row>
      <xdr:rowOff>117925</xdr:rowOff>
    </xdr:to>
    <xdr:pic>
      <xdr:nvPicPr>
        <xdr:cNvPr id="2" name="Imag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xdr:blipFill>
      <xdr:spPr bwMode="auto">
        <a:xfrm>
          <a:off x="762000" y="1142998"/>
          <a:ext cx="8688328" cy="501650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 name="Flèche gauche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 name="Flèche gauche 1">
          <a:hlinkClick xmlns:r="http://schemas.openxmlformats.org/officeDocument/2006/relationships" r:id="rId1"/>
          <a:extLst>
            <a:ext uri="{FF2B5EF4-FFF2-40B4-BE49-F238E27FC236}">
              <a16:creationId xmlns:a16="http://schemas.microsoft.com/office/drawing/2014/main" id="{00000000-0008-0000-1B00-000003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 name="Flèche gauche 1">
          <a:hlinkClick xmlns:r="http://schemas.openxmlformats.org/officeDocument/2006/relationships" r:id="rId1"/>
          <a:extLst>
            <a:ext uri="{FF2B5EF4-FFF2-40B4-BE49-F238E27FC236}">
              <a16:creationId xmlns:a16="http://schemas.microsoft.com/office/drawing/2014/main" id="{00000000-0008-0000-1B00-000004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 name="Flèche gauche 1">
          <a:hlinkClick xmlns:r="http://schemas.openxmlformats.org/officeDocument/2006/relationships" r:id="rId2"/>
          <a:extLst>
            <a:ext uri="{FF2B5EF4-FFF2-40B4-BE49-F238E27FC236}">
              <a16:creationId xmlns:a16="http://schemas.microsoft.com/office/drawing/2014/main" id="{00000000-0008-0000-1B00-000005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 name="Flèche gauche 1">
          <a:hlinkClick xmlns:r="http://schemas.openxmlformats.org/officeDocument/2006/relationships" r:id="rId1"/>
          <a:extLst>
            <a:ext uri="{FF2B5EF4-FFF2-40B4-BE49-F238E27FC236}">
              <a16:creationId xmlns:a16="http://schemas.microsoft.com/office/drawing/2014/main" id="{00000000-0008-0000-1B00-000006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 name="Flèche gauche 1">
          <a:hlinkClick xmlns:r="http://schemas.openxmlformats.org/officeDocument/2006/relationships" r:id="rId1"/>
          <a:extLst>
            <a:ext uri="{FF2B5EF4-FFF2-40B4-BE49-F238E27FC236}">
              <a16:creationId xmlns:a16="http://schemas.microsoft.com/office/drawing/2014/main" id="{00000000-0008-0000-1B00-000007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 name="Flèche gauche 1">
          <a:hlinkClick xmlns:r="http://schemas.openxmlformats.org/officeDocument/2006/relationships" r:id="rId1"/>
          <a:extLst>
            <a:ext uri="{FF2B5EF4-FFF2-40B4-BE49-F238E27FC236}">
              <a16:creationId xmlns:a16="http://schemas.microsoft.com/office/drawing/2014/main" id="{00000000-0008-0000-1B00-000008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 name="Flèche gauche 1">
          <a:hlinkClick xmlns:r="http://schemas.openxmlformats.org/officeDocument/2006/relationships" r:id="rId2"/>
          <a:extLst>
            <a:ext uri="{FF2B5EF4-FFF2-40B4-BE49-F238E27FC236}">
              <a16:creationId xmlns:a16="http://schemas.microsoft.com/office/drawing/2014/main" id="{00000000-0008-0000-1B00-000009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 name="Flèche gauche 1">
          <a:hlinkClick xmlns:r="http://schemas.openxmlformats.org/officeDocument/2006/relationships" r:id="rId1"/>
          <a:extLst>
            <a:ext uri="{FF2B5EF4-FFF2-40B4-BE49-F238E27FC236}">
              <a16:creationId xmlns:a16="http://schemas.microsoft.com/office/drawing/2014/main" id="{00000000-0008-0000-1B00-00000A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 name="Flèche gauche 1">
          <a:hlinkClick xmlns:r="http://schemas.openxmlformats.org/officeDocument/2006/relationships" r:id="rId1"/>
          <a:extLst>
            <a:ext uri="{FF2B5EF4-FFF2-40B4-BE49-F238E27FC236}">
              <a16:creationId xmlns:a16="http://schemas.microsoft.com/office/drawing/2014/main" id="{00000000-0008-0000-1B00-00000B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 name="Flèche gauche 1">
          <a:hlinkClick xmlns:r="http://schemas.openxmlformats.org/officeDocument/2006/relationships" r:id="rId1"/>
          <a:extLst>
            <a:ext uri="{FF2B5EF4-FFF2-40B4-BE49-F238E27FC236}">
              <a16:creationId xmlns:a16="http://schemas.microsoft.com/office/drawing/2014/main" id="{00000000-0008-0000-1B00-00000C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 name="Flèche gauche 1">
          <a:hlinkClick xmlns:r="http://schemas.openxmlformats.org/officeDocument/2006/relationships" r:id="rId2"/>
          <a:extLst>
            <a:ext uri="{FF2B5EF4-FFF2-40B4-BE49-F238E27FC236}">
              <a16:creationId xmlns:a16="http://schemas.microsoft.com/office/drawing/2014/main" id="{00000000-0008-0000-1B00-00000D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 name="Flèche gauche 1">
          <a:hlinkClick xmlns:r="http://schemas.openxmlformats.org/officeDocument/2006/relationships" r:id="rId1"/>
          <a:extLst>
            <a:ext uri="{FF2B5EF4-FFF2-40B4-BE49-F238E27FC236}">
              <a16:creationId xmlns:a16="http://schemas.microsoft.com/office/drawing/2014/main" id="{00000000-0008-0000-1B00-00000E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 name="Flèche gauche 1">
          <a:hlinkClick xmlns:r="http://schemas.openxmlformats.org/officeDocument/2006/relationships" r:id="rId1"/>
          <a:extLst>
            <a:ext uri="{FF2B5EF4-FFF2-40B4-BE49-F238E27FC236}">
              <a16:creationId xmlns:a16="http://schemas.microsoft.com/office/drawing/2014/main" id="{00000000-0008-0000-1B00-00000F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 name="Flèche gauche 1">
          <a:hlinkClick xmlns:r="http://schemas.openxmlformats.org/officeDocument/2006/relationships" r:id="rId1"/>
          <a:extLst>
            <a:ext uri="{FF2B5EF4-FFF2-40B4-BE49-F238E27FC236}">
              <a16:creationId xmlns:a16="http://schemas.microsoft.com/office/drawing/2014/main" id="{00000000-0008-0000-1B00-000010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 name="Flèche gauche 1">
          <a:hlinkClick xmlns:r="http://schemas.openxmlformats.org/officeDocument/2006/relationships" r:id="rId2"/>
          <a:extLst>
            <a:ext uri="{FF2B5EF4-FFF2-40B4-BE49-F238E27FC236}">
              <a16:creationId xmlns:a16="http://schemas.microsoft.com/office/drawing/2014/main" id="{00000000-0008-0000-1B00-000011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 name="Flèche gauche 1">
          <a:hlinkClick xmlns:r="http://schemas.openxmlformats.org/officeDocument/2006/relationships" r:id="rId1"/>
          <a:extLst>
            <a:ext uri="{FF2B5EF4-FFF2-40B4-BE49-F238E27FC236}">
              <a16:creationId xmlns:a16="http://schemas.microsoft.com/office/drawing/2014/main" id="{00000000-0008-0000-1B00-000012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 name="Flèche gauche 1">
          <a:hlinkClick xmlns:r="http://schemas.openxmlformats.org/officeDocument/2006/relationships" r:id="rId1"/>
          <a:extLst>
            <a:ext uri="{FF2B5EF4-FFF2-40B4-BE49-F238E27FC236}">
              <a16:creationId xmlns:a16="http://schemas.microsoft.com/office/drawing/2014/main" id="{00000000-0008-0000-1B00-000013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 name="Flèche gauche 1">
          <a:hlinkClick xmlns:r="http://schemas.openxmlformats.org/officeDocument/2006/relationships" r:id="rId1"/>
          <a:extLst>
            <a:ext uri="{FF2B5EF4-FFF2-40B4-BE49-F238E27FC236}">
              <a16:creationId xmlns:a16="http://schemas.microsoft.com/office/drawing/2014/main" id="{00000000-0008-0000-1B00-000014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 name="Flèche gauche 1">
          <a:hlinkClick xmlns:r="http://schemas.openxmlformats.org/officeDocument/2006/relationships" r:id="rId2"/>
          <a:extLst>
            <a:ext uri="{FF2B5EF4-FFF2-40B4-BE49-F238E27FC236}">
              <a16:creationId xmlns:a16="http://schemas.microsoft.com/office/drawing/2014/main" id="{00000000-0008-0000-1B00-000015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 name="Flèche gauche 1">
          <a:hlinkClick xmlns:r="http://schemas.openxmlformats.org/officeDocument/2006/relationships" r:id="rId1"/>
          <a:extLst>
            <a:ext uri="{FF2B5EF4-FFF2-40B4-BE49-F238E27FC236}">
              <a16:creationId xmlns:a16="http://schemas.microsoft.com/office/drawing/2014/main" id="{00000000-0008-0000-1B00-000016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 name="Flèche gauche 1">
          <a:hlinkClick xmlns:r="http://schemas.openxmlformats.org/officeDocument/2006/relationships" r:id="rId1"/>
          <a:extLst>
            <a:ext uri="{FF2B5EF4-FFF2-40B4-BE49-F238E27FC236}">
              <a16:creationId xmlns:a16="http://schemas.microsoft.com/office/drawing/2014/main" id="{00000000-0008-0000-1B00-000017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 name="Flèche gauche 1">
          <a:hlinkClick xmlns:r="http://schemas.openxmlformats.org/officeDocument/2006/relationships" r:id="rId1"/>
          <a:extLst>
            <a:ext uri="{FF2B5EF4-FFF2-40B4-BE49-F238E27FC236}">
              <a16:creationId xmlns:a16="http://schemas.microsoft.com/office/drawing/2014/main" id="{00000000-0008-0000-1B00-000018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 name="Flèche gauche 1">
          <a:hlinkClick xmlns:r="http://schemas.openxmlformats.org/officeDocument/2006/relationships" r:id="rId2"/>
          <a:extLst>
            <a:ext uri="{FF2B5EF4-FFF2-40B4-BE49-F238E27FC236}">
              <a16:creationId xmlns:a16="http://schemas.microsoft.com/office/drawing/2014/main" id="{00000000-0008-0000-1B00-000019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 name="Flèche gauche 1">
          <a:hlinkClick xmlns:r="http://schemas.openxmlformats.org/officeDocument/2006/relationships" r:id="rId1"/>
          <a:extLst>
            <a:ext uri="{FF2B5EF4-FFF2-40B4-BE49-F238E27FC236}">
              <a16:creationId xmlns:a16="http://schemas.microsoft.com/office/drawing/2014/main" id="{00000000-0008-0000-1B00-00001A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 name="Flèche gauche 1">
          <a:hlinkClick xmlns:r="http://schemas.openxmlformats.org/officeDocument/2006/relationships" r:id="rId1"/>
          <a:extLst>
            <a:ext uri="{FF2B5EF4-FFF2-40B4-BE49-F238E27FC236}">
              <a16:creationId xmlns:a16="http://schemas.microsoft.com/office/drawing/2014/main" id="{00000000-0008-0000-1B00-00001B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 name="Flèche gauche 1">
          <a:hlinkClick xmlns:r="http://schemas.openxmlformats.org/officeDocument/2006/relationships" r:id="rId1"/>
          <a:extLst>
            <a:ext uri="{FF2B5EF4-FFF2-40B4-BE49-F238E27FC236}">
              <a16:creationId xmlns:a16="http://schemas.microsoft.com/office/drawing/2014/main" id="{00000000-0008-0000-1B00-00001C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 name="Flèche gauche 1">
          <a:hlinkClick xmlns:r="http://schemas.openxmlformats.org/officeDocument/2006/relationships" r:id="rId2"/>
          <a:extLst>
            <a:ext uri="{FF2B5EF4-FFF2-40B4-BE49-F238E27FC236}">
              <a16:creationId xmlns:a16="http://schemas.microsoft.com/office/drawing/2014/main" id="{00000000-0008-0000-1B00-00001D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 name="Flèche gauche 1">
          <a:hlinkClick xmlns:r="http://schemas.openxmlformats.org/officeDocument/2006/relationships" r:id="rId1"/>
          <a:extLst>
            <a:ext uri="{FF2B5EF4-FFF2-40B4-BE49-F238E27FC236}">
              <a16:creationId xmlns:a16="http://schemas.microsoft.com/office/drawing/2014/main" id="{00000000-0008-0000-1B00-00001E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 name="Flèche gauche 1">
          <a:hlinkClick xmlns:r="http://schemas.openxmlformats.org/officeDocument/2006/relationships" r:id="rId1"/>
          <a:extLst>
            <a:ext uri="{FF2B5EF4-FFF2-40B4-BE49-F238E27FC236}">
              <a16:creationId xmlns:a16="http://schemas.microsoft.com/office/drawing/2014/main" id="{00000000-0008-0000-1B00-00001F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 name="Flèche gauche 1">
          <a:hlinkClick xmlns:r="http://schemas.openxmlformats.org/officeDocument/2006/relationships" r:id="rId1"/>
          <a:extLst>
            <a:ext uri="{FF2B5EF4-FFF2-40B4-BE49-F238E27FC236}">
              <a16:creationId xmlns:a16="http://schemas.microsoft.com/office/drawing/2014/main" id="{00000000-0008-0000-1B00-000020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 name="Flèche gauche 1">
          <a:hlinkClick xmlns:r="http://schemas.openxmlformats.org/officeDocument/2006/relationships" r:id="rId2"/>
          <a:extLst>
            <a:ext uri="{FF2B5EF4-FFF2-40B4-BE49-F238E27FC236}">
              <a16:creationId xmlns:a16="http://schemas.microsoft.com/office/drawing/2014/main" id="{00000000-0008-0000-1B00-000021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 name="Flèche gauche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 name="Flèche gauche 1">
          <a:hlinkClick xmlns:r="http://schemas.openxmlformats.org/officeDocument/2006/relationships" r:id="rId1"/>
          <a:extLst>
            <a:ext uri="{FF2B5EF4-FFF2-40B4-BE49-F238E27FC236}">
              <a16:creationId xmlns:a16="http://schemas.microsoft.com/office/drawing/2014/main" id="{00000000-0008-0000-1C00-000003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 name="Flèche gauche 1">
          <a:hlinkClick xmlns:r="http://schemas.openxmlformats.org/officeDocument/2006/relationships" r:id="rId1"/>
          <a:extLst>
            <a:ext uri="{FF2B5EF4-FFF2-40B4-BE49-F238E27FC236}">
              <a16:creationId xmlns:a16="http://schemas.microsoft.com/office/drawing/2014/main" id="{00000000-0008-0000-1C00-000004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 name="Flèche gauche 1">
          <a:hlinkClick xmlns:r="http://schemas.openxmlformats.org/officeDocument/2006/relationships" r:id="rId2"/>
          <a:extLst>
            <a:ext uri="{FF2B5EF4-FFF2-40B4-BE49-F238E27FC236}">
              <a16:creationId xmlns:a16="http://schemas.microsoft.com/office/drawing/2014/main" id="{00000000-0008-0000-1C00-000005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 name="Flèche gauche 1">
          <a:hlinkClick xmlns:r="http://schemas.openxmlformats.org/officeDocument/2006/relationships" r:id="rId1"/>
          <a:extLst>
            <a:ext uri="{FF2B5EF4-FFF2-40B4-BE49-F238E27FC236}">
              <a16:creationId xmlns:a16="http://schemas.microsoft.com/office/drawing/2014/main" id="{00000000-0008-0000-1C00-000006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 name="Flèche gauche 1">
          <a:hlinkClick xmlns:r="http://schemas.openxmlformats.org/officeDocument/2006/relationships" r:id="rId1"/>
          <a:extLst>
            <a:ext uri="{FF2B5EF4-FFF2-40B4-BE49-F238E27FC236}">
              <a16:creationId xmlns:a16="http://schemas.microsoft.com/office/drawing/2014/main" id="{00000000-0008-0000-1C00-000007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 name="Flèche gauche 1">
          <a:hlinkClick xmlns:r="http://schemas.openxmlformats.org/officeDocument/2006/relationships" r:id="rId1"/>
          <a:extLst>
            <a:ext uri="{FF2B5EF4-FFF2-40B4-BE49-F238E27FC236}">
              <a16:creationId xmlns:a16="http://schemas.microsoft.com/office/drawing/2014/main" id="{00000000-0008-0000-1C00-000008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 name="Flèche gauche 1">
          <a:hlinkClick xmlns:r="http://schemas.openxmlformats.org/officeDocument/2006/relationships" r:id="rId2"/>
          <a:extLst>
            <a:ext uri="{FF2B5EF4-FFF2-40B4-BE49-F238E27FC236}">
              <a16:creationId xmlns:a16="http://schemas.microsoft.com/office/drawing/2014/main" id="{00000000-0008-0000-1C00-000009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 name="Flèche gauche 1">
          <a:hlinkClick xmlns:r="http://schemas.openxmlformats.org/officeDocument/2006/relationships" r:id="rId1"/>
          <a:extLst>
            <a:ext uri="{FF2B5EF4-FFF2-40B4-BE49-F238E27FC236}">
              <a16:creationId xmlns:a16="http://schemas.microsoft.com/office/drawing/2014/main" id="{00000000-0008-0000-1C00-00000A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 name="Flèche gauche 1">
          <a:hlinkClick xmlns:r="http://schemas.openxmlformats.org/officeDocument/2006/relationships" r:id="rId1"/>
          <a:extLst>
            <a:ext uri="{FF2B5EF4-FFF2-40B4-BE49-F238E27FC236}">
              <a16:creationId xmlns:a16="http://schemas.microsoft.com/office/drawing/2014/main" id="{00000000-0008-0000-1C00-00000B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 name="Flèche gauche 1">
          <a:hlinkClick xmlns:r="http://schemas.openxmlformats.org/officeDocument/2006/relationships" r:id="rId1"/>
          <a:extLst>
            <a:ext uri="{FF2B5EF4-FFF2-40B4-BE49-F238E27FC236}">
              <a16:creationId xmlns:a16="http://schemas.microsoft.com/office/drawing/2014/main" id="{00000000-0008-0000-1C00-00000C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 name="Flèche gauche 1">
          <a:hlinkClick xmlns:r="http://schemas.openxmlformats.org/officeDocument/2006/relationships" r:id="rId2"/>
          <a:extLst>
            <a:ext uri="{FF2B5EF4-FFF2-40B4-BE49-F238E27FC236}">
              <a16:creationId xmlns:a16="http://schemas.microsoft.com/office/drawing/2014/main" id="{00000000-0008-0000-1C00-00000D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 name="Flèche gauche 1">
          <a:hlinkClick xmlns:r="http://schemas.openxmlformats.org/officeDocument/2006/relationships" r:id="rId1"/>
          <a:extLst>
            <a:ext uri="{FF2B5EF4-FFF2-40B4-BE49-F238E27FC236}">
              <a16:creationId xmlns:a16="http://schemas.microsoft.com/office/drawing/2014/main" id="{00000000-0008-0000-1C00-00000E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 name="Flèche gauche 1">
          <a:hlinkClick xmlns:r="http://schemas.openxmlformats.org/officeDocument/2006/relationships" r:id="rId1"/>
          <a:extLst>
            <a:ext uri="{FF2B5EF4-FFF2-40B4-BE49-F238E27FC236}">
              <a16:creationId xmlns:a16="http://schemas.microsoft.com/office/drawing/2014/main" id="{00000000-0008-0000-1C00-00000F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 name="Flèche gauche 1">
          <a:hlinkClick xmlns:r="http://schemas.openxmlformats.org/officeDocument/2006/relationships" r:id="rId1"/>
          <a:extLst>
            <a:ext uri="{FF2B5EF4-FFF2-40B4-BE49-F238E27FC236}">
              <a16:creationId xmlns:a16="http://schemas.microsoft.com/office/drawing/2014/main" id="{00000000-0008-0000-1C00-000010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 name="Flèche gauche 1">
          <a:hlinkClick xmlns:r="http://schemas.openxmlformats.org/officeDocument/2006/relationships" r:id="rId2"/>
          <a:extLst>
            <a:ext uri="{FF2B5EF4-FFF2-40B4-BE49-F238E27FC236}">
              <a16:creationId xmlns:a16="http://schemas.microsoft.com/office/drawing/2014/main" id="{00000000-0008-0000-1C00-000011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 name="Flèche gauche 1">
          <a:hlinkClick xmlns:r="http://schemas.openxmlformats.org/officeDocument/2006/relationships" r:id="rId1"/>
          <a:extLst>
            <a:ext uri="{FF2B5EF4-FFF2-40B4-BE49-F238E27FC236}">
              <a16:creationId xmlns:a16="http://schemas.microsoft.com/office/drawing/2014/main" id="{00000000-0008-0000-1C00-000012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 name="Flèche gauche 1">
          <a:hlinkClick xmlns:r="http://schemas.openxmlformats.org/officeDocument/2006/relationships" r:id="rId1"/>
          <a:extLst>
            <a:ext uri="{FF2B5EF4-FFF2-40B4-BE49-F238E27FC236}">
              <a16:creationId xmlns:a16="http://schemas.microsoft.com/office/drawing/2014/main" id="{00000000-0008-0000-1C00-000013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 name="Flèche gauche 1">
          <a:hlinkClick xmlns:r="http://schemas.openxmlformats.org/officeDocument/2006/relationships" r:id="rId1"/>
          <a:extLst>
            <a:ext uri="{FF2B5EF4-FFF2-40B4-BE49-F238E27FC236}">
              <a16:creationId xmlns:a16="http://schemas.microsoft.com/office/drawing/2014/main" id="{00000000-0008-0000-1C00-000014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 name="Flèche gauche 1">
          <a:hlinkClick xmlns:r="http://schemas.openxmlformats.org/officeDocument/2006/relationships" r:id="rId2"/>
          <a:extLst>
            <a:ext uri="{FF2B5EF4-FFF2-40B4-BE49-F238E27FC236}">
              <a16:creationId xmlns:a16="http://schemas.microsoft.com/office/drawing/2014/main" id="{00000000-0008-0000-1C00-000015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 name="Flèche gauche 1">
          <a:hlinkClick xmlns:r="http://schemas.openxmlformats.org/officeDocument/2006/relationships" r:id="rId1"/>
          <a:extLst>
            <a:ext uri="{FF2B5EF4-FFF2-40B4-BE49-F238E27FC236}">
              <a16:creationId xmlns:a16="http://schemas.microsoft.com/office/drawing/2014/main" id="{00000000-0008-0000-1C00-000016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 name="Flèche gauche 1">
          <a:hlinkClick xmlns:r="http://schemas.openxmlformats.org/officeDocument/2006/relationships" r:id="rId1"/>
          <a:extLst>
            <a:ext uri="{FF2B5EF4-FFF2-40B4-BE49-F238E27FC236}">
              <a16:creationId xmlns:a16="http://schemas.microsoft.com/office/drawing/2014/main" id="{00000000-0008-0000-1C00-000017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 name="Flèche gauche 1">
          <a:hlinkClick xmlns:r="http://schemas.openxmlformats.org/officeDocument/2006/relationships" r:id="rId1"/>
          <a:extLst>
            <a:ext uri="{FF2B5EF4-FFF2-40B4-BE49-F238E27FC236}">
              <a16:creationId xmlns:a16="http://schemas.microsoft.com/office/drawing/2014/main" id="{00000000-0008-0000-1C00-000018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 name="Flèche gauche 1">
          <a:hlinkClick xmlns:r="http://schemas.openxmlformats.org/officeDocument/2006/relationships" r:id="rId2"/>
          <a:extLst>
            <a:ext uri="{FF2B5EF4-FFF2-40B4-BE49-F238E27FC236}">
              <a16:creationId xmlns:a16="http://schemas.microsoft.com/office/drawing/2014/main" id="{00000000-0008-0000-1C00-000019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 name="Flèche gauche 1">
          <a:hlinkClick xmlns:r="http://schemas.openxmlformats.org/officeDocument/2006/relationships" r:id="rId1"/>
          <a:extLst>
            <a:ext uri="{FF2B5EF4-FFF2-40B4-BE49-F238E27FC236}">
              <a16:creationId xmlns:a16="http://schemas.microsoft.com/office/drawing/2014/main" id="{00000000-0008-0000-1C00-00001A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 name="Flèche gauche 1">
          <a:hlinkClick xmlns:r="http://schemas.openxmlformats.org/officeDocument/2006/relationships" r:id="rId1"/>
          <a:extLst>
            <a:ext uri="{FF2B5EF4-FFF2-40B4-BE49-F238E27FC236}">
              <a16:creationId xmlns:a16="http://schemas.microsoft.com/office/drawing/2014/main" id="{00000000-0008-0000-1C00-00001B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 name="Flèche gauche 1">
          <a:hlinkClick xmlns:r="http://schemas.openxmlformats.org/officeDocument/2006/relationships" r:id="rId1"/>
          <a:extLst>
            <a:ext uri="{FF2B5EF4-FFF2-40B4-BE49-F238E27FC236}">
              <a16:creationId xmlns:a16="http://schemas.microsoft.com/office/drawing/2014/main" id="{00000000-0008-0000-1C00-00001C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 name="Flèche gauche 1">
          <a:hlinkClick xmlns:r="http://schemas.openxmlformats.org/officeDocument/2006/relationships" r:id="rId2"/>
          <a:extLst>
            <a:ext uri="{FF2B5EF4-FFF2-40B4-BE49-F238E27FC236}">
              <a16:creationId xmlns:a16="http://schemas.microsoft.com/office/drawing/2014/main" id="{00000000-0008-0000-1C00-00001D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 name="Flèche gauche 1">
          <a:hlinkClick xmlns:r="http://schemas.openxmlformats.org/officeDocument/2006/relationships" r:id="rId1"/>
          <a:extLst>
            <a:ext uri="{FF2B5EF4-FFF2-40B4-BE49-F238E27FC236}">
              <a16:creationId xmlns:a16="http://schemas.microsoft.com/office/drawing/2014/main" id="{00000000-0008-0000-1C00-00001E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 name="Flèche gauche 1">
          <a:hlinkClick xmlns:r="http://schemas.openxmlformats.org/officeDocument/2006/relationships" r:id="rId1"/>
          <a:extLst>
            <a:ext uri="{FF2B5EF4-FFF2-40B4-BE49-F238E27FC236}">
              <a16:creationId xmlns:a16="http://schemas.microsoft.com/office/drawing/2014/main" id="{00000000-0008-0000-1C00-00001F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 name="Flèche gauche 1">
          <a:hlinkClick xmlns:r="http://schemas.openxmlformats.org/officeDocument/2006/relationships" r:id="rId1"/>
          <a:extLst>
            <a:ext uri="{FF2B5EF4-FFF2-40B4-BE49-F238E27FC236}">
              <a16:creationId xmlns:a16="http://schemas.microsoft.com/office/drawing/2014/main" id="{00000000-0008-0000-1C00-000020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 name="Flèche gauche 1">
          <a:hlinkClick xmlns:r="http://schemas.openxmlformats.org/officeDocument/2006/relationships" r:id="rId3"/>
          <a:extLst>
            <a:ext uri="{FF2B5EF4-FFF2-40B4-BE49-F238E27FC236}">
              <a16:creationId xmlns:a16="http://schemas.microsoft.com/office/drawing/2014/main" id="{00000000-0008-0000-1C00-000021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 name="Flèche gauche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 name="Flèche gauche 1">
          <a:hlinkClick xmlns:r="http://schemas.openxmlformats.org/officeDocument/2006/relationships" r:id="rId1"/>
          <a:extLst>
            <a:ext uri="{FF2B5EF4-FFF2-40B4-BE49-F238E27FC236}">
              <a16:creationId xmlns:a16="http://schemas.microsoft.com/office/drawing/2014/main" id="{00000000-0008-0000-1D00-000003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 name="Flèche gauche 1">
          <a:hlinkClick xmlns:r="http://schemas.openxmlformats.org/officeDocument/2006/relationships" r:id="rId1"/>
          <a:extLst>
            <a:ext uri="{FF2B5EF4-FFF2-40B4-BE49-F238E27FC236}">
              <a16:creationId xmlns:a16="http://schemas.microsoft.com/office/drawing/2014/main" id="{00000000-0008-0000-1D00-000004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 name="Flèche gauche 1">
          <a:hlinkClick xmlns:r="http://schemas.openxmlformats.org/officeDocument/2006/relationships" r:id="rId2"/>
          <a:extLst>
            <a:ext uri="{FF2B5EF4-FFF2-40B4-BE49-F238E27FC236}">
              <a16:creationId xmlns:a16="http://schemas.microsoft.com/office/drawing/2014/main" id="{00000000-0008-0000-1D00-000005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 name="Flèche gauche 1">
          <a:hlinkClick xmlns:r="http://schemas.openxmlformats.org/officeDocument/2006/relationships" r:id="rId1"/>
          <a:extLst>
            <a:ext uri="{FF2B5EF4-FFF2-40B4-BE49-F238E27FC236}">
              <a16:creationId xmlns:a16="http://schemas.microsoft.com/office/drawing/2014/main" id="{00000000-0008-0000-1D00-000006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 name="Flèche gauche 1">
          <a:hlinkClick xmlns:r="http://schemas.openxmlformats.org/officeDocument/2006/relationships" r:id="rId1"/>
          <a:extLst>
            <a:ext uri="{FF2B5EF4-FFF2-40B4-BE49-F238E27FC236}">
              <a16:creationId xmlns:a16="http://schemas.microsoft.com/office/drawing/2014/main" id="{00000000-0008-0000-1D00-000007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 name="Flèche gauche 1">
          <a:hlinkClick xmlns:r="http://schemas.openxmlformats.org/officeDocument/2006/relationships" r:id="rId1"/>
          <a:extLst>
            <a:ext uri="{FF2B5EF4-FFF2-40B4-BE49-F238E27FC236}">
              <a16:creationId xmlns:a16="http://schemas.microsoft.com/office/drawing/2014/main" id="{00000000-0008-0000-1D00-000008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 name="Flèche gauche 1">
          <a:hlinkClick xmlns:r="http://schemas.openxmlformats.org/officeDocument/2006/relationships" r:id="rId2"/>
          <a:extLst>
            <a:ext uri="{FF2B5EF4-FFF2-40B4-BE49-F238E27FC236}">
              <a16:creationId xmlns:a16="http://schemas.microsoft.com/office/drawing/2014/main" id="{00000000-0008-0000-1D00-000009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 name="Flèche gauche 1">
          <a:hlinkClick xmlns:r="http://schemas.openxmlformats.org/officeDocument/2006/relationships" r:id="rId1"/>
          <a:extLst>
            <a:ext uri="{FF2B5EF4-FFF2-40B4-BE49-F238E27FC236}">
              <a16:creationId xmlns:a16="http://schemas.microsoft.com/office/drawing/2014/main" id="{00000000-0008-0000-1D00-00000A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 name="Flèche gauche 1">
          <a:hlinkClick xmlns:r="http://schemas.openxmlformats.org/officeDocument/2006/relationships" r:id="rId1"/>
          <a:extLst>
            <a:ext uri="{FF2B5EF4-FFF2-40B4-BE49-F238E27FC236}">
              <a16:creationId xmlns:a16="http://schemas.microsoft.com/office/drawing/2014/main" id="{00000000-0008-0000-1D00-00000B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 name="Flèche gauche 1">
          <a:hlinkClick xmlns:r="http://schemas.openxmlformats.org/officeDocument/2006/relationships" r:id="rId1"/>
          <a:extLst>
            <a:ext uri="{FF2B5EF4-FFF2-40B4-BE49-F238E27FC236}">
              <a16:creationId xmlns:a16="http://schemas.microsoft.com/office/drawing/2014/main" id="{00000000-0008-0000-1D00-00000C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 name="Flèche gauche 1">
          <a:hlinkClick xmlns:r="http://schemas.openxmlformats.org/officeDocument/2006/relationships" r:id="rId2"/>
          <a:extLst>
            <a:ext uri="{FF2B5EF4-FFF2-40B4-BE49-F238E27FC236}">
              <a16:creationId xmlns:a16="http://schemas.microsoft.com/office/drawing/2014/main" id="{00000000-0008-0000-1D00-00000D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 name="Flèche gauche 1">
          <a:hlinkClick xmlns:r="http://schemas.openxmlformats.org/officeDocument/2006/relationships" r:id="rId1"/>
          <a:extLst>
            <a:ext uri="{FF2B5EF4-FFF2-40B4-BE49-F238E27FC236}">
              <a16:creationId xmlns:a16="http://schemas.microsoft.com/office/drawing/2014/main" id="{00000000-0008-0000-1D00-00000E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 name="Flèche gauche 1">
          <a:hlinkClick xmlns:r="http://schemas.openxmlformats.org/officeDocument/2006/relationships" r:id="rId1"/>
          <a:extLst>
            <a:ext uri="{FF2B5EF4-FFF2-40B4-BE49-F238E27FC236}">
              <a16:creationId xmlns:a16="http://schemas.microsoft.com/office/drawing/2014/main" id="{00000000-0008-0000-1D00-00000F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 name="Flèche gauche 1">
          <a:hlinkClick xmlns:r="http://schemas.openxmlformats.org/officeDocument/2006/relationships" r:id="rId1"/>
          <a:extLst>
            <a:ext uri="{FF2B5EF4-FFF2-40B4-BE49-F238E27FC236}">
              <a16:creationId xmlns:a16="http://schemas.microsoft.com/office/drawing/2014/main" id="{00000000-0008-0000-1D00-000010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 name="Flèche gauche 1">
          <a:hlinkClick xmlns:r="http://schemas.openxmlformats.org/officeDocument/2006/relationships" r:id="rId2"/>
          <a:extLst>
            <a:ext uri="{FF2B5EF4-FFF2-40B4-BE49-F238E27FC236}">
              <a16:creationId xmlns:a16="http://schemas.microsoft.com/office/drawing/2014/main" id="{00000000-0008-0000-1D00-000011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 name="Flèche gauche 1">
          <a:hlinkClick xmlns:r="http://schemas.openxmlformats.org/officeDocument/2006/relationships" r:id="rId1"/>
          <a:extLst>
            <a:ext uri="{FF2B5EF4-FFF2-40B4-BE49-F238E27FC236}">
              <a16:creationId xmlns:a16="http://schemas.microsoft.com/office/drawing/2014/main" id="{00000000-0008-0000-1D00-000012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 name="Flèche gauche 1">
          <a:hlinkClick xmlns:r="http://schemas.openxmlformats.org/officeDocument/2006/relationships" r:id="rId1"/>
          <a:extLst>
            <a:ext uri="{FF2B5EF4-FFF2-40B4-BE49-F238E27FC236}">
              <a16:creationId xmlns:a16="http://schemas.microsoft.com/office/drawing/2014/main" id="{00000000-0008-0000-1D00-000013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 name="Flèche gauche 1">
          <a:hlinkClick xmlns:r="http://schemas.openxmlformats.org/officeDocument/2006/relationships" r:id="rId1"/>
          <a:extLst>
            <a:ext uri="{FF2B5EF4-FFF2-40B4-BE49-F238E27FC236}">
              <a16:creationId xmlns:a16="http://schemas.microsoft.com/office/drawing/2014/main" id="{00000000-0008-0000-1D00-000014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 name="Flèche gauche 1">
          <a:hlinkClick xmlns:r="http://schemas.openxmlformats.org/officeDocument/2006/relationships" r:id="rId2"/>
          <a:extLst>
            <a:ext uri="{FF2B5EF4-FFF2-40B4-BE49-F238E27FC236}">
              <a16:creationId xmlns:a16="http://schemas.microsoft.com/office/drawing/2014/main" id="{00000000-0008-0000-1D00-000015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 name="Flèche gauche 1">
          <a:hlinkClick xmlns:r="http://schemas.openxmlformats.org/officeDocument/2006/relationships" r:id="rId1"/>
          <a:extLst>
            <a:ext uri="{FF2B5EF4-FFF2-40B4-BE49-F238E27FC236}">
              <a16:creationId xmlns:a16="http://schemas.microsoft.com/office/drawing/2014/main" id="{00000000-0008-0000-1D00-000016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 name="Flèche gauche 1">
          <a:hlinkClick xmlns:r="http://schemas.openxmlformats.org/officeDocument/2006/relationships" r:id="rId1"/>
          <a:extLst>
            <a:ext uri="{FF2B5EF4-FFF2-40B4-BE49-F238E27FC236}">
              <a16:creationId xmlns:a16="http://schemas.microsoft.com/office/drawing/2014/main" id="{00000000-0008-0000-1D00-000017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 name="Flèche gauche 1">
          <a:hlinkClick xmlns:r="http://schemas.openxmlformats.org/officeDocument/2006/relationships" r:id="rId1"/>
          <a:extLst>
            <a:ext uri="{FF2B5EF4-FFF2-40B4-BE49-F238E27FC236}">
              <a16:creationId xmlns:a16="http://schemas.microsoft.com/office/drawing/2014/main" id="{00000000-0008-0000-1D00-000018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 name="Flèche gauche 1">
          <a:hlinkClick xmlns:r="http://schemas.openxmlformats.org/officeDocument/2006/relationships" r:id="rId2"/>
          <a:extLst>
            <a:ext uri="{FF2B5EF4-FFF2-40B4-BE49-F238E27FC236}">
              <a16:creationId xmlns:a16="http://schemas.microsoft.com/office/drawing/2014/main" id="{00000000-0008-0000-1D00-000019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 name="Flèche gauche 1">
          <a:hlinkClick xmlns:r="http://schemas.openxmlformats.org/officeDocument/2006/relationships" r:id="rId1"/>
          <a:extLst>
            <a:ext uri="{FF2B5EF4-FFF2-40B4-BE49-F238E27FC236}">
              <a16:creationId xmlns:a16="http://schemas.microsoft.com/office/drawing/2014/main" id="{00000000-0008-0000-1D00-00001A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 name="Flèche gauche 1">
          <a:hlinkClick xmlns:r="http://schemas.openxmlformats.org/officeDocument/2006/relationships" r:id="rId1"/>
          <a:extLst>
            <a:ext uri="{FF2B5EF4-FFF2-40B4-BE49-F238E27FC236}">
              <a16:creationId xmlns:a16="http://schemas.microsoft.com/office/drawing/2014/main" id="{00000000-0008-0000-1D00-00001B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 name="Flèche gauche 1">
          <a:hlinkClick xmlns:r="http://schemas.openxmlformats.org/officeDocument/2006/relationships" r:id="rId1"/>
          <a:extLst>
            <a:ext uri="{FF2B5EF4-FFF2-40B4-BE49-F238E27FC236}">
              <a16:creationId xmlns:a16="http://schemas.microsoft.com/office/drawing/2014/main" id="{00000000-0008-0000-1D00-00001C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 name="Flèche gauche 1">
          <a:hlinkClick xmlns:r="http://schemas.openxmlformats.org/officeDocument/2006/relationships" r:id="rId2"/>
          <a:extLst>
            <a:ext uri="{FF2B5EF4-FFF2-40B4-BE49-F238E27FC236}">
              <a16:creationId xmlns:a16="http://schemas.microsoft.com/office/drawing/2014/main" id="{00000000-0008-0000-1D00-00001D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 name="Flèche gauche 1">
          <a:hlinkClick xmlns:r="http://schemas.openxmlformats.org/officeDocument/2006/relationships" r:id="rId1"/>
          <a:extLst>
            <a:ext uri="{FF2B5EF4-FFF2-40B4-BE49-F238E27FC236}">
              <a16:creationId xmlns:a16="http://schemas.microsoft.com/office/drawing/2014/main" id="{00000000-0008-0000-1D00-00001E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 name="Flèche gauche 1">
          <a:hlinkClick xmlns:r="http://schemas.openxmlformats.org/officeDocument/2006/relationships" r:id="rId1"/>
          <a:extLst>
            <a:ext uri="{FF2B5EF4-FFF2-40B4-BE49-F238E27FC236}">
              <a16:creationId xmlns:a16="http://schemas.microsoft.com/office/drawing/2014/main" id="{00000000-0008-0000-1D00-00001F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 name="Flèche gauche 1">
          <a:hlinkClick xmlns:r="http://schemas.openxmlformats.org/officeDocument/2006/relationships" r:id="rId1"/>
          <a:extLst>
            <a:ext uri="{FF2B5EF4-FFF2-40B4-BE49-F238E27FC236}">
              <a16:creationId xmlns:a16="http://schemas.microsoft.com/office/drawing/2014/main" id="{00000000-0008-0000-1D00-000020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 name="Flèche gauche 1">
          <a:hlinkClick xmlns:r="http://schemas.openxmlformats.org/officeDocument/2006/relationships" r:id="rId2"/>
          <a:extLst>
            <a:ext uri="{FF2B5EF4-FFF2-40B4-BE49-F238E27FC236}">
              <a16:creationId xmlns:a16="http://schemas.microsoft.com/office/drawing/2014/main" id="{00000000-0008-0000-1D00-000021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 name="Flèche gauche 1">
          <a:hlinkClick xmlns:r="http://schemas.openxmlformats.org/officeDocument/2006/relationships" r:id="rId1"/>
          <a:extLst>
            <a:ext uri="{FF2B5EF4-FFF2-40B4-BE49-F238E27FC236}">
              <a16:creationId xmlns:a16="http://schemas.microsoft.com/office/drawing/2014/main" id="{00000000-0008-0000-1D00-000022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 name="Flèche gauche 1">
          <a:hlinkClick xmlns:r="http://schemas.openxmlformats.org/officeDocument/2006/relationships" r:id="rId1"/>
          <a:extLst>
            <a:ext uri="{FF2B5EF4-FFF2-40B4-BE49-F238E27FC236}">
              <a16:creationId xmlns:a16="http://schemas.microsoft.com/office/drawing/2014/main" id="{00000000-0008-0000-1D00-000023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 name="Flèche gauche 1">
          <a:hlinkClick xmlns:r="http://schemas.openxmlformats.org/officeDocument/2006/relationships" r:id="rId1"/>
          <a:extLst>
            <a:ext uri="{FF2B5EF4-FFF2-40B4-BE49-F238E27FC236}">
              <a16:creationId xmlns:a16="http://schemas.microsoft.com/office/drawing/2014/main" id="{00000000-0008-0000-1D00-000024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 name="Flèche gauche 1">
          <a:hlinkClick xmlns:r="http://schemas.openxmlformats.org/officeDocument/2006/relationships" r:id="rId2"/>
          <a:extLst>
            <a:ext uri="{FF2B5EF4-FFF2-40B4-BE49-F238E27FC236}">
              <a16:creationId xmlns:a16="http://schemas.microsoft.com/office/drawing/2014/main" id="{00000000-0008-0000-1D00-000025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8" name="Flèche gauche 1">
          <a:hlinkClick xmlns:r="http://schemas.openxmlformats.org/officeDocument/2006/relationships" r:id="rId1"/>
          <a:extLst>
            <a:ext uri="{FF2B5EF4-FFF2-40B4-BE49-F238E27FC236}">
              <a16:creationId xmlns:a16="http://schemas.microsoft.com/office/drawing/2014/main" id="{00000000-0008-0000-1D00-000026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9" name="Flèche gauche 1">
          <a:hlinkClick xmlns:r="http://schemas.openxmlformats.org/officeDocument/2006/relationships" r:id="rId1"/>
          <a:extLst>
            <a:ext uri="{FF2B5EF4-FFF2-40B4-BE49-F238E27FC236}">
              <a16:creationId xmlns:a16="http://schemas.microsoft.com/office/drawing/2014/main" id="{00000000-0008-0000-1D00-000027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0" name="Flèche gauche 1">
          <a:hlinkClick xmlns:r="http://schemas.openxmlformats.org/officeDocument/2006/relationships" r:id="rId1"/>
          <a:extLst>
            <a:ext uri="{FF2B5EF4-FFF2-40B4-BE49-F238E27FC236}">
              <a16:creationId xmlns:a16="http://schemas.microsoft.com/office/drawing/2014/main" id="{00000000-0008-0000-1D00-000028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1" name="Flèche gauche 1">
          <a:hlinkClick xmlns:r="http://schemas.openxmlformats.org/officeDocument/2006/relationships" r:id="rId2"/>
          <a:extLst>
            <a:ext uri="{FF2B5EF4-FFF2-40B4-BE49-F238E27FC236}">
              <a16:creationId xmlns:a16="http://schemas.microsoft.com/office/drawing/2014/main" id="{00000000-0008-0000-1D00-000029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2" name="Flèche gauche 1">
          <a:hlinkClick xmlns:r="http://schemas.openxmlformats.org/officeDocument/2006/relationships" r:id="rId1"/>
          <a:extLst>
            <a:ext uri="{FF2B5EF4-FFF2-40B4-BE49-F238E27FC236}">
              <a16:creationId xmlns:a16="http://schemas.microsoft.com/office/drawing/2014/main" id="{00000000-0008-0000-1D00-00002A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3" name="Flèche gauche 1">
          <a:hlinkClick xmlns:r="http://schemas.openxmlformats.org/officeDocument/2006/relationships" r:id="rId1"/>
          <a:extLst>
            <a:ext uri="{FF2B5EF4-FFF2-40B4-BE49-F238E27FC236}">
              <a16:creationId xmlns:a16="http://schemas.microsoft.com/office/drawing/2014/main" id="{00000000-0008-0000-1D00-00002B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4" name="Flèche gauche 1">
          <a:hlinkClick xmlns:r="http://schemas.openxmlformats.org/officeDocument/2006/relationships" r:id="rId1"/>
          <a:extLst>
            <a:ext uri="{FF2B5EF4-FFF2-40B4-BE49-F238E27FC236}">
              <a16:creationId xmlns:a16="http://schemas.microsoft.com/office/drawing/2014/main" id="{00000000-0008-0000-1D00-00002C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5" name="Flèche gauche 1">
          <a:hlinkClick xmlns:r="http://schemas.openxmlformats.org/officeDocument/2006/relationships" r:id="rId2"/>
          <a:extLst>
            <a:ext uri="{FF2B5EF4-FFF2-40B4-BE49-F238E27FC236}">
              <a16:creationId xmlns:a16="http://schemas.microsoft.com/office/drawing/2014/main" id="{00000000-0008-0000-1D00-00002D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6" name="Flèche gauche 1">
          <a:hlinkClick xmlns:r="http://schemas.openxmlformats.org/officeDocument/2006/relationships" r:id="rId1"/>
          <a:extLst>
            <a:ext uri="{FF2B5EF4-FFF2-40B4-BE49-F238E27FC236}">
              <a16:creationId xmlns:a16="http://schemas.microsoft.com/office/drawing/2014/main" id="{00000000-0008-0000-1D00-00002E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7" name="Flèche gauche 1">
          <a:hlinkClick xmlns:r="http://schemas.openxmlformats.org/officeDocument/2006/relationships" r:id="rId1"/>
          <a:extLst>
            <a:ext uri="{FF2B5EF4-FFF2-40B4-BE49-F238E27FC236}">
              <a16:creationId xmlns:a16="http://schemas.microsoft.com/office/drawing/2014/main" id="{00000000-0008-0000-1D00-00002F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8" name="Flèche gauche 1">
          <a:hlinkClick xmlns:r="http://schemas.openxmlformats.org/officeDocument/2006/relationships" r:id="rId1"/>
          <a:extLst>
            <a:ext uri="{FF2B5EF4-FFF2-40B4-BE49-F238E27FC236}">
              <a16:creationId xmlns:a16="http://schemas.microsoft.com/office/drawing/2014/main" id="{00000000-0008-0000-1D00-000030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9" name="Flèche gauche 1">
          <a:hlinkClick xmlns:r="http://schemas.openxmlformats.org/officeDocument/2006/relationships" r:id="rId2"/>
          <a:extLst>
            <a:ext uri="{FF2B5EF4-FFF2-40B4-BE49-F238E27FC236}">
              <a16:creationId xmlns:a16="http://schemas.microsoft.com/office/drawing/2014/main" id="{00000000-0008-0000-1D00-000031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0" name="Flèche gauche 1">
          <a:hlinkClick xmlns:r="http://schemas.openxmlformats.org/officeDocument/2006/relationships" r:id="rId1"/>
          <a:extLst>
            <a:ext uri="{FF2B5EF4-FFF2-40B4-BE49-F238E27FC236}">
              <a16:creationId xmlns:a16="http://schemas.microsoft.com/office/drawing/2014/main" id="{00000000-0008-0000-1D00-000032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1" name="Flèche gauche 1">
          <a:hlinkClick xmlns:r="http://schemas.openxmlformats.org/officeDocument/2006/relationships" r:id="rId1"/>
          <a:extLst>
            <a:ext uri="{FF2B5EF4-FFF2-40B4-BE49-F238E27FC236}">
              <a16:creationId xmlns:a16="http://schemas.microsoft.com/office/drawing/2014/main" id="{00000000-0008-0000-1D00-000033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 name="Flèche gauche 1">
          <a:hlinkClick xmlns:r="http://schemas.openxmlformats.org/officeDocument/2006/relationships" r:id="rId1"/>
          <a:extLst>
            <a:ext uri="{FF2B5EF4-FFF2-40B4-BE49-F238E27FC236}">
              <a16:creationId xmlns:a16="http://schemas.microsoft.com/office/drawing/2014/main" id="{00000000-0008-0000-1D00-000034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 name="Flèche gauche 1">
          <a:hlinkClick xmlns:r="http://schemas.openxmlformats.org/officeDocument/2006/relationships" r:id="rId2"/>
          <a:extLst>
            <a:ext uri="{FF2B5EF4-FFF2-40B4-BE49-F238E27FC236}">
              <a16:creationId xmlns:a16="http://schemas.microsoft.com/office/drawing/2014/main" id="{00000000-0008-0000-1D00-000035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 name="Flèche gauche 1">
          <a:hlinkClick xmlns:r="http://schemas.openxmlformats.org/officeDocument/2006/relationships" r:id="rId1"/>
          <a:extLst>
            <a:ext uri="{FF2B5EF4-FFF2-40B4-BE49-F238E27FC236}">
              <a16:creationId xmlns:a16="http://schemas.microsoft.com/office/drawing/2014/main" id="{00000000-0008-0000-1D00-000036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 name="Flèche gauche 1">
          <a:hlinkClick xmlns:r="http://schemas.openxmlformats.org/officeDocument/2006/relationships" r:id="rId1"/>
          <a:extLst>
            <a:ext uri="{FF2B5EF4-FFF2-40B4-BE49-F238E27FC236}">
              <a16:creationId xmlns:a16="http://schemas.microsoft.com/office/drawing/2014/main" id="{00000000-0008-0000-1D00-000037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 name="Flèche gauche 1">
          <a:hlinkClick xmlns:r="http://schemas.openxmlformats.org/officeDocument/2006/relationships" r:id="rId1"/>
          <a:extLst>
            <a:ext uri="{FF2B5EF4-FFF2-40B4-BE49-F238E27FC236}">
              <a16:creationId xmlns:a16="http://schemas.microsoft.com/office/drawing/2014/main" id="{00000000-0008-0000-1D00-000038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 name="Flèche gauche 1">
          <a:hlinkClick xmlns:r="http://schemas.openxmlformats.org/officeDocument/2006/relationships" r:id="rId2"/>
          <a:extLst>
            <a:ext uri="{FF2B5EF4-FFF2-40B4-BE49-F238E27FC236}">
              <a16:creationId xmlns:a16="http://schemas.microsoft.com/office/drawing/2014/main" id="{00000000-0008-0000-1D00-000039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 name="Flèche gauche 1">
          <a:hlinkClick xmlns:r="http://schemas.openxmlformats.org/officeDocument/2006/relationships" r:id="rId1"/>
          <a:extLst>
            <a:ext uri="{FF2B5EF4-FFF2-40B4-BE49-F238E27FC236}">
              <a16:creationId xmlns:a16="http://schemas.microsoft.com/office/drawing/2014/main" id="{00000000-0008-0000-1D00-00003A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 name="Flèche gauche 1">
          <a:hlinkClick xmlns:r="http://schemas.openxmlformats.org/officeDocument/2006/relationships" r:id="rId1"/>
          <a:extLst>
            <a:ext uri="{FF2B5EF4-FFF2-40B4-BE49-F238E27FC236}">
              <a16:creationId xmlns:a16="http://schemas.microsoft.com/office/drawing/2014/main" id="{00000000-0008-0000-1D00-00003B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 name="Flèche gauche 1">
          <a:hlinkClick xmlns:r="http://schemas.openxmlformats.org/officeDocument/2006/relationships" r:id="rId1"/>
          <a:extLst>
            <a:ext uri="{FF2B5EF4-FFF2-40B4-BE49-F238E27FC236}">
              <a16:creationId xmlns:a16="http://schemas.microsoft.com/office/drawing/2014/main" id="{00000000-0008-0000-1D00-00003C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 name="Flèche gauche 1">
          <a:hlinkClick xmlns:r="http://schemas.openxmlformats.org/officeDocument/2006/relationships" r:id="rId2"/>
          <a:extLst>
            <a:ext uri="{FF2B5EF4-FFF2-40B4-BE49-F238E27FC236}">
              <a16:creationId xmlns:a16="http://schemas.microsoft.com/office/drawing/2014/main" id="{00000000-0008-0000-1D00-00003D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 name="Flèche gauche 1">
          <a:hlinkClick xmlns:r="http://schemas.openxmlformats.org/officeDocument/2006/relationships" r:id="rId1"/>
          <a:extLst>
            <a:ext uri="{FF2B5EF4-FFF2-40B4-BE49-F238E27FC236}">
              <a16:creationId xmlns:a16="http://schemas.microsoft.com/office/drawing/2014/main" id="{00000000-0008-0000-1D00-00003E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 name="Flèche gauche 1">
          <a:hlinkClick xmlns:r="http://schemas.openxmlformats.org/officeDocument/2006/relationships" r:id="rId1"/>
          <a:extLst>
            <a:ext uri="{FF2B5EF4-FFF2-40B4-BE49-F238E27FC236}">
              <a16:creationId xmlns:a16="http://schemas.microsoft.com/office/drawing/2014/main" id="{00000000-0008-0000-1D00-00003F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 name="Flèche gauche 1">
          <a:hlinkClick xmlns:r="http://schemas.openxmlformats.org/officeDocument/2006/relationships" r:id="rId1"/>
          <a:extLst>
            <a:ext uri="{FF2B5EF4-FFF2-40B4-BE49-F238E27FC236}">
              <a16:creationId xmlns:a16="http://schemas.microsoft.com/office/drawing/2014/main" id="{00000000-0008-0000-1D00-000040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 name="Flèche gauche 1">
          <a:hlinkClick xmlns:r="http://schemas.openxmlformats.org/officeDocument/2006/relationships" r:id="rId3"/>
          <a:extLst>
            <a:ext uri="{FF2B5EF4-FFF2-40B4-BE49-F238E27FC236}">
              <a16:creationId xmlns:a16="http://schemas.microsoft.com/office/drawing/2014/main" id="{00000000-0008-0000-1D00-000041000000}"/>
            </a:ext>
          </a:extLst>
        </xdr:cNvPr>
        <xdr:cNvSpPr/>
      </xdr:nvSpPr>
      <xdr:spPr bwMode="auto">
        <a:xfrm>
          <a:off x="76200" y="60960"/>
          <a:ext cx="381000" cy="188594"/>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 name="Flèche gauche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 name="Flèche gauche 1">
          <a:hlinkClick xmlns:r="http://schemas.openxmlformats.org/officeDocument/2006/relationships" r:id="rId1"/>
          <a:extLst>
            <a:ext uri="{FF2B5EF4-FFF2-40B4-BE49-F238E27FC236}">
              <a16:creationId xmlns:a16="http://schemas.microsoft.com/office/drawing/2014/main" id="{00000000-0008-0000-1E00-000003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 name="Flèche gauche 1">
          <a:hlinkClick xmlns:r="http://schemas.openxmlformats.org/officeDocument/2006/relationships" r:id="rId1"/>
          <a:extLst>
            <a:ext uri="{FF2B5EF4-FFF2-40B4-BE49-F238E27FC236}">
              <a16:creationId xmlns:a16="http://schemas.microsoft.com/office/drawing/2014/main" id="{00000000-0008-0000-1E00-000004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 name="Flèche gauche 1">
          <a:hlinkClick xmlns:r="http://schemas.openxmlformats.org/officeDocument/2006/relationships" r:id="rId2"/>
          <a:extLst>
            <a:ext uri="{FF2B5EF4-FFF2-40B4-BE49-F238E27FC236}">
              <a16:creationId xmlns:a16="http://schemas.microsoft.com/office/drawing/2014/main" id="{00000000-0008-0000-1E00-000005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 name="Flèche gauche 1">
          <a:hlinkClick xmlns:r="http://schemas.openxmlformats.org/officeDocument/2006/relationships" r:id="rId1"/>
          <a:extLst>
            <a:ext uri="{FF2B5EF4-FFF2-40B4-BE49-F238E27FC236}">
              <a16:creationId xmlns:a16="http://schemas.microsoft.com/office/drawing/2014/main" id="{00000000-0008-0000-1E00-000006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 name="Flèche gauche 1">
          <a:hlinkClick xmlns:r="http://schemas.openxmlformats.org/officeDocument/2006/relationships" r:id="rId1"/>
          <a:extLst>
            <a:ext uri="{FF2B5EF4-FFF2-40B4-BE49-F238E27FC236}">
              <a16:creationId xmlns:a16="http://schemas.microsoft.com/office/drawing/2014/main" id="{00000000-0008-0000-1E00-000007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 name="Flèche gauche 1">
          <a:hlinkClick xmlns:r="http://schemas.openxmlformats.org/officeDocument/2006/relationships" r:id="rId1"/>
          <a:extLst>
            <a:ext uri="{FF2B5EF4-FFF2-40B4-BE49-F238E27FC236}">
              <a16:creationId xmlns:a16="http://schemas.microsoft.com/office/drawing/2014/main" id="{00000000-0008-0000-1E00-000008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 name="Flèche gauche 1">
          <a:hlinkClick xmlns:r="http://schemas.openxmlformats.org/officeDocument/2006/relationships" r:id="rId2"/>
          <a:extLst>
            <a:ext uri="{FF2B5EF4-FFF2-40B4-BE49-F238E27FC236}">
              <a16:creationId xmlns:a16="http://schemas.microsoft.com/office/drawing/2014/main" id="{00000000-0008-0000-1E00-000009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 name="Flèche gauche 1">
          <a:hlinkClick xmlns:r="http://schemas.openxmlformats.org/officeDocument/2006/relationships" r:id="rId1"/>
          <a:extLst>
            <a:ext uri="{FF2B5EF4-FFF2-40B4-BE49-F238E27FC236}">
              <a16:creationId xmlns:a16="http://schemas.microsoft.com/office/drawing/2014/main" id="{00000000-0008-0000-1E00-00000A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 name="Flèche gauche 1">
          <a:hlinkClick xmlns:r="http://schemas.openxmlformats.org/officeDocument/2006/relationships" r:id="rId1"/>
          <a:extLst>
            <a:ext uri="{FF2B5EF4-FFF2-40B4-BE49-F238E27FC236}">
              <a16:creationId xmlns:a16="http://schemas.microsoft.com/office/drawing/2014/main" id="{00000000-0008-0000-1E00-00000B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 name="Flèche gauche 1">
          <a:hlinkClick xmlns:r="http://schemas.openxmlformats.org/officeDocument/2006/relationships" r:id="rId1"/>
          <a:extLst>
            <a:ext uri="{FF2B5EF4-FFF2-40B4-BE49-F238E27FC236}">
              <a16:creationId xmlns:a16="http://schemas.microsoft.com/office/drawing/2014/main" id="{00000000-0008-0000-1E00-00000C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 name="Flèche gauche 1">
          <a:hlinkClick xmlns:r="http://schemas.openxmlformats.org/officeDocument/2006/relationships" r:id="rId2"/>
          <a:extLst>
            <a:ext uri="{FF2B5EF4-FFF2-40B4-BE49-F238E27FC236}">
              <a16:creationId xmlns:a16="http://schemas.microsoft.com/office/drawing/2014/main" id="{00000000-0008-0000-1E00-00000D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 name="Flèche gauche 1">
          <a:hlinkClick xmlns:r="http://schemas.openxmlformats.org/officeDocument/2006/relationships" r:id="rId1"/>
          <a:extLst>
            <a:ext uri="{FF2B5EF4-FFF2-40B4-BE49-F238E27FC236}">
              <a16:creationId xmlns:a16="http://schemas.microsoft.com/office/drawing/2014/main" id="{00000000-0008-0000-1E00-00000E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 name="Flèche gauche 1">
          <a:hlinkClick xmlns:r="http://schemas.openxmlformats.org/officeDocument/2006/relationships" r:id="rId1"/>
          <a:extLst>
            <a:ext uri="{FF2B5EF4-FFF2-40B4-BE49-F238E27FC236}">
              <a16:creationId xmlns:a16="http://schemas.microsoft.com/office/drawing/2014/main" id="{00000000-0008-0000-1E00-00000F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 name="Flèche gauche 1">
          <a:hlinkClick xmlns:r="http://schemas.openxmlformats.org/officeDocument/2006/relationships" r:id="rId1"/>
          <a:extLst>
            <a:ext uri="{FF2B5EF4-FFF2-40B4-BE49-F238E27FC236}">
              <a16:creationId xmlns:a16="http://schemas.microsoft.com/office/drawing/2014/main" id="{00000000-0008-0000-1E00-000010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 name="Flèche gauche 1">
          <a:hlinkClick xmlns:r="http://schemas.openxmlformats.org/officeDocument/2006/relationships" r:id="rId2"/>
          <a:extLst>
            <a:ext uri="{FF2B5EF4-FFF2-40B4-BE49-F238E27FC236}">
              <a16:creationId xmlns:a16="http://schemas.microsoft.com/office/drawing/2014/main" id="{00000000-0008-0000-1E00-000011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514" name="Flèche gauche 1">
          <a:hlinkClick xmlns:r="http://schemas.openxmlformats.org/officeDocument/2006/relationships" r:id="rId1"/>
          <a:extLst>
            <a:ext uri="{FF2B5EF4-FFF2-40B4-BE49-F238E27FC236}">
              <a16:creationId xmlns:a16="http://schemas.microsoft.com/office/drawing/2014/main" id="{00000000-0008-0000-1F00-00000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15" name="Flèche gauche 1">
          <a:hlinkClick xmlns:r="http://schemas.openxmlformats.org/officeDocument/2006/relationships" r:id="rId1"/>
          <a:extLst>
            <a:ext uri="{FF2B5EF4-FFF2-40B4-BE49-F238E27FC236}">
              <a16:creationId xmlns:a16="http://schemas.microsoft.com/office/drawing/2014/main" id="{00000000-0008-0000-1F00-00000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16" name="Flèche gauche 1">
          <a:hlinkClick xmlns:r="http://schemas.openxmlformats.org/officeDocument/2006/relationships" r:id="rId1"/>
          <a:extLst>
            <a:ext uri="{FF2B5EF4-FFF2-40B4-BE49-F238E27FC236}">
              <a16:creationId xmlns:a16="http://schemas.microsoft.com/office/drawing/2014/main" id="{00000000-0008-0000-1F00-00000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17" name="Flèche gauche 1">
          <a:hlinkClick xmlns:r="http://schemas.openxmlformats.org/officeDocument/2006/relationships" r:id="rId2"/>
          <a:extLst>
            <a:ext uri="{FF2B5EF4-FFF2-40B4-BE49-F238E27FC236}">
              <a16:creationId xmlns:a16="http://schemas.microsoft.com/office/drawing/2014/main" id="{00000000-0008-0000-1F00-00000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18" name="Flèche gauche 1">
          <a:hlinkClick xmlns:r="http://schemas.openxmlformats.org/officeDocument/2006/relationships" r:id="rId1"/>
          <a:extLst>
            <a:ext uri="{FF2B5EF4-FFF2-40B4-BE49-F238E27FC236}">
              <a16:creationId xmlns:a16="http://schemas.microsoft.com/office/drawing/2014/main" id="{00000000-0008-0000-1F00-00000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19" name="Flèche gauche 1">
          <a:hlinkClick xmlns:r="http://schemas.openxmlformats.org/officeDocument/2006/relationships" r:id="rId1"/>
          <a:extLst>
            <a:ext uri="{FF2B5EF4-FFF2-40B4-BE49-F238E27FC236}">
              <a16:creationId xmlns:a16="http://schemas.microsoft.com/office/drawing/2014/main" id="{00000000-0008-0000-1F00-00000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0" name="Flèche gauche 1">
          <a:hlinkClick xmlns:r="http://schemas.openxmlformats.org/officeDocument/2006/relationships" r:id="rId1"/>
          <a:extLst>
            <a:ext uri="{FF2B5EF4-FFF2-40B4-BE49-F238E27FC236}">
              <a16:creationId xmlns:a16="http://schemas.microsoft.com/office/drawing/2014/main" id="{00000000-0008-0000-1F00-00000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1" name="Flèche gauche 1">
          <a:hlinkClick xmlns:r="http://schemas.openxmlformats.org/officeDocument/2006/relationships" r:id="rId2"/>
          <a:extLst>
            <a:ext uri="{FF2B5EF4-FFF2-40B4-BE49-F238E27FC236}">
              <a16:creationId xmlns:a16="http://schemas.microsoft.com/office/drawing/2014/main" id="{00000000-0008-0000-1F00-00000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2" name="Flèche gauche 1">
          <a:hlinkClick xmlns:r="http://schemas.openxmlformats.org/officeDocument/2006/relationships" r:id="rId1"/>
          <a:extLst>
            <a:ext uri="{FF2B5EF4-FFF2-40B4-BE49-F238E27FC236}">
              <a16:creationId xmlns:a16="http://schemas.microsoft.com/office/drawing/2014/main" id="{00000000-0008-0000-1F00-00000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3" name="Flèche gauche 1">
          <a:hlinkClick xmlns:r="http://schemas.openxmlformats.org/officeDocument/2006/relationships" r:id="rId1"/>
          <a:extLst>
            <a:ext uri="{FF2B5EF4-FFF2-40B4-BE49-F238E27FC236}">
              <a16:creationId xmlns:a16="http://schemas.microsoft.com/office/drawing/2014/main" id="{00000000-0008-0000-1F00-00000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4" name="Flèche gauche 1">
          <a:hlinkClick xmlns:r="http://schemas.openxmlformats.org/officeDocument/2006/relationships" r:id="rId1"/>
          <a:extLst>
            <a:ext uri="{FF2B5EF4-FFF2-40B4-BE49-F238E27FC236}">
              <a16:creationId xmlns:a16="http://schemas.microsoft.com/office/drawing/2014/main" id="{00000000-0008-0000-1F00-00000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5" name="Flèche gauche 1">
          <a:hlinkClick xmlns:r="http://schemas.openxmlformats.org/officeDocument/2006/relationships" r:id="rId2"/>
          <a:extLst>
            <a:ext uri="{FF2B5EF4-FFF2-40B4-BE49-F238E27FC236}">
              <a16:creationId xmlns:a16="http://schemas.microsoft.com/office/drawing/2014/main" id="{00000000-0008-0000-1F00-00000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6" name="Flèche gauche 1">
          <a:hlinkClick xmlns:r="http://schemas.openxmlformats.org/officeDocument/2006/relationships" r:id="rId1"/>
          <a:extLst>
            <a:ext uri="{FF2B5EF4-FFF2-40B4-BE49-F238E27FC236}">
              <a16:creationId xmlns:a16="http://schemas.microsoft.com/office/drawing/2014/main" id="{00000000-0008-0000-1F00-00000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7" name="Flèche gauche 1">
          <a:hlinkClick xmlns:r="http://schemas.openxmlformats.org/officeDocument/2006/relationships" r:id="rId1"/>
          <a:extLst>
            <a:ext uri="{FF2B5EF4-FFF2-40B4-BE49-F238E27FC236}">
              <a16:creationId xmlns:a16="http://schemas.microsoft.com/office/drawing/2014/main" id="{00000000-0008-0000-1F00-00000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8" name="Flèche gauche 1">
          <a:hlinkClick xmlns:r="http://schemas.openxmlformats.org/officeDocument/2006/relationships" r:id="rId1"/>
          <a:extLst>
            <a:ext uri="{FF2B5EF4-FFF2-40B4-BE49-F238E27FC236}">
              <a16:creationId xmlns:a16="http://schemas.microsoft.com/office/drawing/2014/main" id="{00000000-0008-0000-1F00-00001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9" name="Flèche gauche 1">
          <a:hlinkClick xmlns:r="http://schemas.openxmlformats.org/officeDocument/2006/relationships" r:id="rId2"/>
          <a:extLst>
            <a:ext uri="{FF2B5EF4-FFF2-40B4-BE49-F238E27FC236}">
              <a16:creationId xmlns:a16="http://schemas.microsoft.com/office/drawing/2014/main" id="{00000000-0008-0000-1F00-00001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0" name="Flèche gauche 1">
          <a:hlinkClick xmlns:r="http://schemas.openxmlformats.org/officeDocument/2006/relationships" r:id="rId1"/>
          <a:extLst>
            <a:ext uri="{FF2B5EF4-FFF2-40B4-BE49-F238E27FC236}">
              <a16:creationId xmlns:a16="http://schemas.microsoft.com/office/drawing/2014/main" id="{00000000-0008-0000-1F00-00001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1" name="Flèche gauche 1">
          <a:hlinkClick xmlns:r="http://schemas.openxmlformats.org/officeDocument/2006/relationships" r:id="rId1"/>
          <a:extLst>
            <a:ext uri="{FF2B5EF4-FFF2-40B4-BE49-F238E27FC236}">
              <a16:creationId xmlns:a16="http://schemas.microsoft.com/office/drawing/2014/main" id="{00000000-0008-0000-1F00-00001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2" name="Flèche gauche 1">
          <a:hlinkClick xmlns:r="http://schemas.openxmlformats.org/officeDocument/2006/relationships" r:id="rId1"/>
          <a:extLst>
            <a:ext uri="{FF2B5EF4-FFF2-40B4-BE49-F238E27FC236}">
              <a16:creationId xmlns:a16="http://schemas.microsoft.com/office/drawing/2014/main" id="{00000000-0008-0000-1F00-00001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3" name="Flèche gauche 1">
          <a:hlinkClick xmlns:r="http://schemas.openxmlformats.org/officeDocument/2006/relationships" r:id="rId2"/>
          <a:extLst>
            <a:ext uri="{FF2B5EF4-FFF2-40B4-BE49-F238E27FC236}">
              <a16:creationId xmlns:a16="http://schemas.microsoft.com/office/drawing/2014/main" id="{00000000-0008-0000-1F00-00001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4" name="Flèche gauche 1">
          <a:hlinkClick xmlns:r="http://schemas.openxmlformats.org/officeDocument/2006/relationships" r:id="rId1"/>
          <a:extLst>
            <a:ext uri="{FF2B5EF4-FFF2-40B4-BE49-F238E27FC236}">
              <a16:creationId xmlns:a16="http://schemas.microsoft.com/office/drawing/2014/main" id="{00000000-0008-0000-1F00-00001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5" name="Flèche gauche 1">
          <a:hlinkClick xmlns:r="http://schemas.openxmlformats.org/officeDocument/2006/relationships" r:id="rId1"/>
          <a:extLst>
            <a:ext uri="{FF2B5EF4-FFF2-40B4-BE49-F238E27FC236}">
              <a16:creationId xmlns:a16="http://schemas.microsoft.com/office/drawing/2014/main" id="{00000000-0008-0000-1F00-00001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6" name="Flèche gauche 1">
          <a:hlinkClick xmlns:r="http://schemas.openxmlformats.org/officeDocument/2006/relationships" r:id="rId1"/>
          <a:extLst>
            <a:ext uri="{FF2B5EF4-FFF2-40B4-BE49-F238E27FC236}">
              <a16:creationId xmlns:a16="http://schemas.microsoft.com/office/drawing/2014/main" id="{00000000-0008-0000-1F00-00001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7" name="Flèche gauche 1">
          <a:hlinkClick xmlns:r="http://schemas.openxmlformats.org/officeDocument/2006/relationships" r:id="rId2"/>
          <a:extLst>
            <a:ext uri="{FF2B5EF4-FFF2-40B4-BE49-F238E27FC236}">
              <a16:creationId xmlns:a16="http://schemas.microsoft.com/office/drawing/2014/main" id="{00000000-0008-0000-1F00-00001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8" name="Flèche gauche 1">
          <a:hlinkClick xmlns:r="http://schemas.openxmlformats.org/officeDocument/2006/relationships" r:id="rId1"/>
          <a:extLst>
            <a:ext uri="{FF2B5EF4-FFF2-40B4-BE49-F238E27FC236}">
              <a16:creationId xmlns:a16="http://schemas.microsoft.com/office/drawing/2014/main" id="{00000000-0008-0000-1F00-00001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9" name="Flèche gauche 1">
          <a:hlinkClick xmlns:r="http://schemas.openxmlformats.org/officeDocument/2006/relationships" r:id="rId1"/>
          <a:extLst>
            <a:ext uri="{FF2B5EF4-FFF2-40B4-BE49-F238E27FC236}">
              <a16:creationId xmlns:a16="http://schemas.microsoft.com/office/drawing/2014/main" id="{00000000-0008-0000-1F00-00001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0" name="Flèche gauche 1">
          <a:hlinkClick xmlns:r="http://schemas.openxmlformats.org/officeDocument/2006/relationships" r:id="rId1"/>
          <a:extLst>
            <a:ext uri="{FF2B5EF4-FFF2-40B4-BE49-F238E27FC236}">
              <a16:creationId xmlns:a16="http://schemas.microsoft.com/office/drawing/2014/main" id="{00000000-0008-0000-1F00-00001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1" name="Flèche gauche 1">
          <a:hlinkClick xmlns:r="http://schemas.openxmlformats.org/officeDocument/2006/relationships" r:id="rId2"/>
          <a:extLst>
            <a:ext uri="{FF2B5EF4-FFF2-40B4-BE49-F238E27FC236}">
              <a16:creationId xmlns:a16="http://schemas.microsoft.com/office/drawing/2014/main" id="{00000000-0008-0000-1F00-00001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2" name="Flèche gauche 1">
          <a:hlinkClick xmlns:r="http://schemas.openxmlformats.org/officeDocument/2006/relationships" r:id="rId1"/>
          <a:extLst>
            <a:ext uri="{FF2B5EF4-FFF2-40B4-BE49-F238E27FC236}">
              <a16:creationId xmlns:a16="http://schemas.microsoft.com/office/drawing/2014/main" id="{00000000-0008-0000-1F00-00001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3" name="Flèche gauche 1">
          <a:hlinkClick xmlns:r="http://schemas.openxmlformats.org/officeDocument/2006/relationships" r:id="rId1"/>
          <a:extLst>
            <a:ext uri="{FF2B5EF4-FFF2-40B4-BE49-F238E27FC236}">
              <a16:creationId xmlns:a16="http://schemas.microsoft.com/office/drawing/2014/main" id="{00000000-0008-0000-1F00-00001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4" name="Flèche gauche 1">
          <a:hlinkClick xmlns:r="http://schemas.openxmlformats.org/officeDocument/2006/relationships" r:id="rId1"/>
          <a:extLst>
            <a:ext uri="{FF2B5EF4-FFF2-40B4-BE49-F238E27FC236}">
              <a16:creationId xmlns:a16="http://schemas.microsoft.com/office/drawing/2014/main" id="{00000000-0008-0000-1F00-00002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5" name="Flèche gauche 1">
          <a:hlinkClick xmlns:r="http://schemas.openxmlformats.org/officeDocument/2006/relationships" r:id="rId2"/>
          <a:extLst>
            <a:ext uri="{FF2B5EF4-FFF2-40B4-BE49-F238E27FC236}">
              <a16:creationId xmlns:a16="http://schemas.microsoft.com/office/drawing/2014/main" id="{00000000-0008-0000-1F00-00002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6" name="Flèche gauche 1">
          <a:hlinkClick xmlns:r="http://schemas.openxmlformats.org/officeDocument/2006/relationships" r:id="rId1"/>
          <a:extLst>
            <a:ext uri="{FF2B5EF4-FFF2-40B4-BE49-F238E27FC236}">
              <a16:creationId xmlns:a16="http://schemas.microsoft.com/office/drawing/2014/main" id="{00000000-0008-0000-1F00-00002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7" name="Flèche gauche 1">
          <a:hlinkClick xmlns:r="http://schemas.openxmlformats.org/officeDocument/2006/relationships" r:id="rId1"/>
          <a:extLst>
            <a:ext uri="{FF2B5EF4-FFF2-40B4-BE49-F238E27FC236}">
              <a16:creationId xmlns:a16="http://schemas.microsoft.com/office/drawing/2014/main" id="{00000000-0008-0000-1F00-00002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8" name="Flèche gauche 1">
          <a:hlinkClick xmlns:r="http://schemas.openxmlformats.org/officeDocument/2006/relationships" r:id="rId1"/>
          <a:extLst>
            <a:ext uri="{FF2B5EF4-FFF2-40B4-BE49-F238E27FC236}">
              <a16:creationId xmlns:a16="http://schemas.microsoft.com/office/drawing/2014/main" id="{00000000-0008-0000-1F00-00002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9" name="Flèche gauche 1">
          <a:hlinkClick xmlns:r="http://schemas.openxmlformats.org/officeDocument/2006/relationships" r:id="rId2"/>
          <a:extLst>
            <a:ext uri="{FF2B5EF4-FFF2-40B4-BE49-F238E27FC236}">
              <a16:creationId xmlns:a16="http://schemas.microsoft.com/office/drawing/2014/main" id="{00000000-0008-0000-1F00-00002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0" name="Flèche gauche 1">
          <a:hlinkClick xmlns:r="http://schemas.openxmlformats.org/officeDocument/2006/relationships" r:id="rId1"/>
          <a:extLst>
            <a:ext uri="{FF2B5EF4-FFF2-40B4-BE49-F238E27FC236}">
              <a16:creationId xmlns:a16="http://schemas.microsoft.com/office/drawing/2014/main" id="{00000000-0008-0000-1F00-00002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1" name="Flèche gauche 1">
          <a:hlinkClick xmlns:r="http://schemas.openxmlformats.org/officeDocument/2006/relationships" r:id="rId1"/>
          <a:extLst>
            <a:ext uri="{FF2B5EF4-FFF2-40B4-BE49-F238E27FC236}">
              <a16:creationId xmlns:a16="http://schemas.microsoft.com/office/drawing/2014/main" id="{00000000-0008-0000-1F00-00002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2" name="Flèche gauche 1">
          <a:hlinkClick xmlns:r="http://schemas.openxmlformats.org/officeDocument/2006/relationships" r:id="rId1"/>
          <a:extLst>
            <a:ext uri="{FF2B5EF4-FFF2-40B4-BE49-F238E27FC236}">
              <a16:creationId xmlns:a16="http://schemas.microsoft.com/office/drawing/2014/main" id="{00000000-0008-0000-1F00-00002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3" name="Flèche gauche 1">
          <a:hlinkClick xmlns:r="http://schemas.openxmlformats.org/officeDocument/2006/relationships" r:id="rId2"/>
          <a:extLst>
            <a:ext uri="{FF2B5EF4-FFF2-40B4-BE49-F238E27FC236}">
              <a16:creationId xmlns:a16="http://schemas.microsoft.com/office/drawing/2014/main" id="{00000000-0008-0000-1F00-00002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4" name="Flèche gauche 1">
          <a:hlinkClick xmlns:r="http://schemas.openxmlformats.org/officeDocument/2006/relationships" r:id="rId1"/>
          <a:extLst>
            <a:ext uri="{FF2B5EF4-FFF2-40B4-BE49-F238E27FC236}">
              <a16:creationId xmlns:a16="http://schemas.microsoft.com/office/drawing/2014/main" id="{00000000-0008-0000-1F00-00002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5" name="Flèche gauche 1">
          <a:hlinkClick xmlns:r="http://schemas.openxmlformats.org/officeDocument/2006/relationships" r:id="rId1"/>
          <a:extLst>
            <a:ext uri="{FF2B5EF4-FFF2-40B4-BE49-F238E27FC236}">
              <a16:creationId xmlns:a16="http://schemas.microsoft.com/office/drawing/2014/main" id="{00000000-0008-0000-1F00-00002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6" name="Flèche gauche 1">
          <a:hlinkClick xmlns:r="http://schemas.openxmlformats.org/officeDocument/2006/relationships" r:id="rId1"/>
          <a:extLst>
            <a:ext uri="{FF2B5EF4-FFF2-40B4-BE49-F238E27FC236}">
              <a16:creationId xmlns:a16="http://schemas.microsoft.com/office/drawing/2014/main" id="{00000000-0008-0000-1F00-00002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7" name="Flèche gauche 1">
          <a:hlinkClick xmlns:r="http://schemas.openxmlformats.org/officeDocument/2006/relationships" r:id="rId2"/>
          <a:extLst>
            <a:ext uri="{FF2B5EF4-FFF2-40B4-BE49-F238E27FC236}">
              <a16:creationId xmlns:a16="http://schemas.microsoft.com/office/drawing/2014/main" id="{00000000-0008-0000-1F00-00002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8" name="Flèche gauche 1">
          <a:hlinkClick xmlns:r="http://schemas.openxmlformats.org/officeDocument/2006/relationships" r:id="rId1"/>
          <a:extLst>
            <a:ext uri="{FF2B5EF4-FFF2-40B4-BE49-F238E27FC236}">
              <a16:creationId xmlns:a16="http://schemas.microsoft.com/office/drawing/2014/main" id="{00000000-0008-0000-1F00-00002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9" name="Flèche gauche 1">
          <a:hlinkClick xmlns:r="http://schemas.openxmlformats.org/officeDocument/2006/relationships" r:id="rId1"/>
          <a:extLst>
            <a:ext uri="{FF2B5EF4-FFF2-40B4-BE49-F238E27FC236}">
              <a16:creationId xmlns:a16="http://schemas.microsoft.com/office/drawing/2014/main" id="{00000000-0008-0000-1F00-00002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0" name="Flèche gauche 1">
          <a:hlinkClick xmlns:r="http://schemas.openxmlformats.org/officeDocument/2006/relationships" r:id="rId1"/>
          <a:extLst>
            <a:ext uri="{FF2B5EF4-FFF2-40B4-BE49-F238E27FC236}">
              <a16:creationId xmlns:a16="http://schemas.microsoft.com/office/drawing/2014/main" id="{00000000-0008-0000-1F00-00003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1" name="Flèche gauche 1">
          <a:hlinkClick xmlns:r="http://schemas.openxmlformats.org/officeDocument/2006/relationships" r:id="rId2"/>
          <a:extLst>
            <a:ext uri="{FF2B5EF4-FFF2-40B4-BE49-F238E27FC236}">
              <a16:creationId xmlns:a16="http://schemas.microsoft.com/office/drawing/2014/main" id="{00000000-0008-0000-1F00-00003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2" name="Flèche gauche 1">
          <a:hlinkClick xmlns:r="http://schemas.openxmlformats.org/officeDocument/2006/relationships" r:id="rId1"/>
          <a:extLst>
            <a:ext uri="{FF2B5EF4-FFF2-40B4-BE49-F238E27FC236}">
              <a16:creationId xmlns:a16="http://schemas.microsoft.com/office/drawing/2014/main" id="{00000000-0008-0000-1F00-00003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3" name="Flèche gauche 1">
          <a:hlinkClick xmlns:r="http://schemas.openxmlformats.org/officeDocument/2006/relationships" r:id="rId1"/>
          <a:extLst>
            <a:ext uri="{FF2B5EF4-FFF2-40B4-BE49-F238E27FC236}">
              <a16:creationId xmlns:a16="http://schemas.microsoft.com/office/drawing/2014/main" id="{00000000-0008-0000-1F00-00003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4" name="Flèche gauche 1">
          <a:hlinkClick xmlns:r="http://schemas.openxmlformats.org/officeDocument/2006/relationships" r:id="rId1"/>
          <a:extLst>
            <a:ext uri="{FF2B5EF4-FFF2-40B4-BE49-F238E27FC236}">
              <a16:creationId xmlns:a16="http://schemas.microsoft.com/office/drawing/2014/main" id="{00000000-0008-0000-1F00-00003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5" name="Flèche gauche 1">
          <a:hlinkClick xmlns:r="http://schemas.openxmlformats.org/officeDocument/2006/relationships" r:id="rId2"/>
          <a:extLst>
            <a:ext uri="{FF2B5EF4-FFF2-40B4-BE49-F238E27FC236}">
              <a16:creationId xmlns:a16="http://schemas.microsoft.com/office/drawing/2014/main" id="{00000000-0008-0000-1F00-00003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6" name="Flèche gauche 1">
          <a:hlinkClick xmlns:r="http://schemas.openxmlformats.org/officeDocument/2006/relationships" r:id="rId1"/>
          <a:extLst>
            <a:ext uri="{FF2B5EF4-FFF2-40B4-BE49-F238E27FC236}">
              <a16:creationId xmlns:a16="http://schemas.microsoft.com/office/drawing/2014/main" id="{00000000-0008-0000-1F00-00003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7" name="Flèche gauche 1">
          <a:hlinkClick xmlns:r="http://schemas.openxmlformats.org/officeDocument/2006/relationships" r:id="rId1"/>
          <a:extLst>
            <a:ext uri="{FF2B5EF4-FFF2-40B4-BE49-F238E27FC236}">
              <a16:creationId xmlns:a16="http://schemas.microsoft.com/office/drawing/2014/main" id="{00000000-0008-0000-1F00-00003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8" name="Flèche gauche 1">
          <a:hlinkClick xmlns:r="http://schemas.openxmlformats.org/officeDocument/2006/relationships" r:id="rId1"/>
          <a:extLst>
            <a:ext uri="{FF2B5EF4-FFF2-40B4-BE49-F238E27FC236}">
              <a16:creationId xmlns:a16="http://schemas.microsoft.com/office/drawing/2014/main" id="{00000000-0008-0000-1F00-00003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9" name="Flèche gauche 1">
          <a:hlinkClick xmlns:r="http://schemas.openxmlformats.org/officeDocument/2006/relationships" r:id="rId2"/>
          <a:extLst>
            <a:ext uri="{FF2B5EF4-FFF2-40B4-BE49-F238E27FC236}">
              <a16:creationId xmlns:a16="http://schemas.microsoft.com/office/drawing/2014/main" id="{00000000-0008-0000-1F00-00003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0" name="Flèche gauche 1">
          <a:hlinkClick xmlns:r="http://schemas.openxmlformats.org/officeDocument/2006/relationships" r:id="rId1"/>
          <a:extLst>
            <a:ext uri="{FF2B5EF4-FFF2-40B4-BE49-F238E27FC236}">
              <a16:creationId xmlns:a16="http://schemas.microsoft.com/office/drawing/2014/main" id="{00000000-0008-0000-1F00-00003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1" name="Flèche gauche 1">
          <a:hlinkClick xmlns:r="http://schemas.openxmlformats.org/officeDocument/2006/relationships" r:id="rId1"/>
          <a:extLst>
            <a:ext uri="{FF2B5EF4-FFF2-40B4-BE49-F238E27FC236}">
              <a16:creationId xmlns:a16="http://schemas.microsoft.com/office/drawing/2014/main" id="{00000000-0008-0000-1F00-00003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2" name="Flèche gauche 1">
          <a:hlinkClick xmlns:r="http://schemas.openxmlformats.org/officeDocument/2006/relationships" r:id="rId1"/>
          <a:extLst>
            <a:ext uri="{FF2B5EF4-FFF2-40B4-BE49-F238E27FC236}">
              <a16:creationId xmlns:a16="http://schemas.microsoft.com/office/drawing/2014/main" id="{00000000-0008-0000-1F00-00003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3" name="Flèche gauche 1">
          <a:hlinkClick xmlns:r="http://schemas.openxmlformats.org/officeDocument/2006/relationships" r:id="rId2"/>
          <a:extLst>
            <a:ext uri="{FF2B5EF4-FFF2-40B4-BE49-F238E27FC236}">
              <a16:creationId xmlns:a16="http://schemas.microsoft.com/office/drawing/2014/main" id="{00000000-0008-0000-1F00-00003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4" name="Flèche gauche 1">
          <a:hlinkClick xmlns:r="http://schemas.openxmlformats.org/officeDocument/2006/relationships" r:id="rId1"/>
          <a:extLst>
            <a:ext uri="{FF2B5EF4-FFF2-40B4-BE49-F238E27FC236}">
              <a16:creationId xmlns:a16="http://schemas.microsoft.com/office/drawing/2014/main" id="{00000000-0008-0000-1F00-00003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5" name="Flèche gauche 1">
          <a:hlinkClick xmlns:r="http://schemas.openxmlformats.org/officeDocument/2006/relationships" r:id="rId1"/>
          <a:extLst>
            <a:ext uri="{FF2B5EF4-FFF2-40B4-BE49-F238E27FC236}">
              <a16:creationId xmlns:a16="http://schemas.microsoft.com/office/drawing/2014/main" id="{00000000-0008-0000-1F00-00003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6" name="Flèche gauche 1">
          <a:hlinkClick xmlns:r="http://schemas.openxmlformats.org/officeDocument/2006/relationships" r:id="rId1"/>
          <a:extLst>
            <a:ext uri="{FF2B5EF4-FFF2-40B4-BE49-F238E27FC236}">
              <a16:creationId xmlns:a16="http://schemas.microsoft.com/office/drawing/2014/main" id="{00000000-0008-0000-1F00-00004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7" name="Flèche gauche 1">
          <a:hlinkClick xmlns:r="http://schemas.openxmlformats.org/officeDocument/2006/relationships" r:id="rId2"/>
          <a:extLst>
            <a:ext uri="{FF2B5EF4-FFF2-40B4-BE49-F238E27FC236}">
              <a16:creationId xmlns:a16="http://schemas.microsoft.com/office/drawing/2014/main" id="{00000000-0008-0000-1F00-00004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8" name="Flèche gauche 1">
          <a:hlinkClick xmlns:r="http://schemas.openxmlformats.org/officeDocument/2006/relationships" r:id="rId1"/>
          <a:extLst>
            <a:ext uri="{FF2B5EF4-FFF2-40B4-BE49-F238E27FC236}">
              <a16:creationId xmlns:a16="http://schemas.microsoft.com/office/drawing/2014/main" id="{00000000-0008-0000-1F00-00004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9" name="Flèche gauche 1">
          <a:hlinkClick xmlns:r="http://schemas.openxmlformats.org/officeDocument/2006/relationships" r:id="rId1"/>
          <a:extLst>
            <a:ext uri="{FF2B5EF4-FFF2-40B4-BE49-F238E27FC236}">
              <a16:creationId xmlns:a16="http://schemas.microsoft.com/office/drawing/2014/main" id="{00000000-0008-0000-1F00-00004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0" name="Flèche gauche 1">
          <a:hlinkClick xmlns:r="http://schemas.openxmlformats.org/officeDocument/2006/relationships" r:id="rId1"/>
          <a:extLst>
            <a:ext uri="{FF2B5EF4-FFF2-40B4-BE49-F238E27FC236}">
              <a16:creationId xmlns:a16="http://schemas.microsoft.com/office/drawing/2014/main" id="{00000000-0008-0000-1F00-00004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1" name="Flèche gauche 1">
          <a:hlinkClick xmlns:r="http://schemas.openxmlformats.org/officeDocument/2006/relationships" r:id="rId2"/>
          <a:extLst>
            <a:ext uri="{FF2B5EF4-FFF2-40B4-BE49-F238E27FC236}">
              <a16:creationId xmlns:a16="http://schemas.microsoft.com/office/drawing/2014/main" id="{00000000-0008-0000-1F00-00004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2" name="Flèche gauche 1">
          <a:hlinkClick xmlns:r="http://schemas.openxmlformats.org/officeDocument/2006/relationships" r:id="rId1"/>
          <a:extLst>
            <a:ext uri="{FF2B5EF4-FFF2-40B4-BE49-F238E27FC236}">
              <a16:creationId xmlns:a16="http://schemas.microsoft.com/office/drawing/2014/main" id="{00000000-0008-0000-1F00-00004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3" name="Flèche gauche 1">
          <a:hlinkClick xmlns:r="http://schemas.openxmlformats.org/officeDocument/2006/relationships" r:id="rId1"/>
          <a:extLst>
            <a:ext uri="{FF2B5EF4-FFF2-40B4-BE49-F238E27FC236}">
              <a16:creationId xmlns:a16="http://schemas.microsoft.com/office/drawing/2014/main" id="{00000000-0008-0000-1F00-00004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4" name="Flèche gauche 1">
          <a:hlinkClick xmlns:r="http://schemas.openxmlformats.org/officeDocument/2006/relationships" r:id="rId1"/>
          <a:extLst>
            <a:ext uri="{FF2B5EF4-FFF2-40B4-BE49-F238E27FC236}">
              <a16:creationId xmlns:a16="http://schemas.microsoft.com/office/drawing/2014/main" id="{00000000-0008-0000-1F00-00004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5" name="Flèche gauche 1">
          <a:hlinkClick xmlns:r="http://schemas.openxmlformats.org/officeDocument/2006/relationships" r:id="rId2"/>
          <a:extLst>
            <a:ext uri="{FF2B5EF4-FFF2-40B4-BE49-F238E27FC236}">
              <a16:creationId xmlns:a16="http://schemas.microsoft.com/office/drawing/2014/main" id="{00000000-0008-0000-1F00-00004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6" name="Flèche gauche 1">
          <a:hlinkClick xmlns:r="http://schemas.openxmlformats.org/officeDocument/2006/relationships" r:id="rId1"/>
          <a:extLst>
            <a:ext uri="{FF2B5EF4-FFF2-40B4-BE49-F238E27FC236}">
              <a16:creationId xmlns:a16="http://schemas.microsoft.com/office/drawing/2014/main" id="{00000000-0008-0000-1F00-00004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7" name="Flèche gauche 1">
          <a:hlinkClick xmlns:r="http://schemas.openxmlformats.org/officeDocument/2006/relationships" r:id="rId1"/>
          <a:extLst>
            <a:ext uri="{FF2B5EF4-FFF2-40B4-BE49-F238E27FC236}">
              <a16:creationId xmlns:a16="http://schemas.microsoft.com/office/drawing/2014/main" id="{00000000-0008-0000-1F00-00004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8" name="Flèche gauche 1">
          <a:hlinkClick xmlns:r="http://schemas.openxmlformats.org/officeDocument/2006/relationships" r:id="rId1"/>
          <a:extLst>
            <a:ext uri="{FF2B5EF4-FFF2-40B4-BE49-F238E27FC236}">
              <a16:creationId xmlns:a16="http://schemas.microsoft.com/office/drawing/2014/main" id="{00000000-0008-0000-1F00-00004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9" name="Flèche gauche 1">
          <a:hlinkClick xmlns:r="http://schemas.openxmlformats.org/officeDocument/2006/relationships" r:id="rId2"/>
          <a:extLst>
            <a:ext uri="{FF2B5EF4-FFF2-40B4-BE49-F238E27FC236}">
              <a16:creationId xmlns:a16="http://schemas.microsoft.com/office/drawing/2014/main" id="{00000000-0008-0000-1F00-00004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0" name="Flèche gauche 1">
          <a:hlinkClick xmlns:r="http://schemas.openxmlformats.org/officeDocument/2006/relationships" r:id="rId1"/>
          <a:extLst>
            <a:ext uri="{FF2B5EF4-FFF2-40B4-BE49-F238E27FC236}">
              <a16:creationId xmlns:a16="http://schemas.microsoft.com/office/drawing/2014/main" id="{00000000-0008-0000-1F00-00004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1" name="Flèche gauche 1">
          <a:hlinkClick xmlns:r="http://schemas.openxmlformats.org/officeDocument/2006/relationships" r:id="rId1"/>
          <a:extLst>
            <a:ext uri="{FF2B5EF4-FFF2-40B4-BE49-F238E27FC236}">
              <a16:creationId xmlns:a16="http://schemas.microsoft.com/office/drawing/2014/main" id="{00000000-0008-0000-1F00-00004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2" name="Flèche gauche 1">
          <a:hlinkClick xmlns:r="http://schemas.openxmlformats.org/officeDocument/2006/relationships" r:id="rId1"/>
          <a:extLst>
            <a:ext uri="{FF2B5EF4-FFF2-40B4-BE49-F238E27FC236}">
              <a16:creationId xmlns:a16="http://schemas.microsoft.com/office/drawing/2014/main" id="{00000000-0008-0000-1F00-00005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3" name="Flèche gauche 1">
          <a:hlinkClick xmlns:r="http://schemas.openxmlformats.org/officeDocument/2006/relationships" r:id="rId2"/>
          <a:extLst>
            <a:ext uri="{FF2B5EF4-FFF2-40B4-BE49-F238E27FC236}">
              <a16:creationId xmlns:a16="http://schemas.microsoft.com/office/drawing/2014/main" id="{00000000-0008-0000-1F00-00005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4" name="Flèche gauche 1">
          <a:hlinkClick xmlns:r="http://schemas.openxmlformats.org/officeDocument/2006/relationships" r:id="rId1"/>
          <a:extLst>
            <a:ext uri="{FF2B5EF4-FFF2-40B4-BE49-F238E27FC236}">
              <a16:creationId xmlns:a16="http://schemas.microsoft.com/office/drawing/2014/main" id="{00000000-0008-0000-1F00-00005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5" name="Flèche gauche 1">
          <a:hlinkClick xmlns:r="http://schemas.openxmlformats.org/officeDocument/2006/relationships" r:id="rId1"/>
          <a:extLst>
            <a:ext uri="{FF2B5EF4-FFF2-40B4-BE49-F238E27FC236}">
              <a16:creationId xmlns:a16="http://schemas.microsoft.com/office/drawing/2014/main" id="{00000000-0008-0000-1F00-00005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6" name="Flèche gauche 1">
          <a:hlinkClick xmlns:r="http://schemas.openxmlformats.org/officeDocument/2006/relationships" r:id="rId1"/>
          <a:extLst>
            <a:ext uri="{FF2B5EF4-FFF2-40B4-BE49-F238E27FC236}">
              <a16:creationId xmlns:a16="http://schemas.microsoft.com/office/drawing/2014/main" id="{00000000-0008-0000-1F00-00005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7" name="Flèche gauche 1">
          <a:hlinkClick xmlns:r="http://schemas.openxmlformats.org/officeDocument/2006/relationships" r:id="rId2"/>
          <a:extLst>
            <a:ext uri="{FF2B5EF4-FFF2-40B4-BE49-F238E27FC236}">
              <a16:creationId xmlns:a16="http://schemas.microsoft.com/office/drawing/2014/main" id="{00000000-0008-0000-1F00-00005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8" name="Flèche gauche 1">
          <a:hlinkClick xmlns:r="http://schemas.openxmlformats.org/officeDocument/2006/relationships" r:id="rId1"/>
          <a:extLst>
            <a:ext uri="{FF2B5EF4-FFF2-40B4-BE49-F238E27FC236}">
              <a16:creationId xmlns:a16="http://schemas.microsoft.com/office/drawing/2014/main" id="{00000000-0008-0000-1F00-00005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9" name="Flèche gauche 1">
          <a:hlinkClick xmlns:r="http://schemas.openxmlformats.org/officeDocument/2006/relationships" r:id="rId1"/>
          <a:extLst>
            <a:ext uri="{FF2B5EF4-FFF2-40B4-BE49-F238E27FC236}">
              <a16:creationId xmlns:a16="http://schemas.microsoft.com/office/drawing/2014/main" id="{00000000-0008-0000-1F00-00005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0" name="Flèche gauche 1">
          <a:hlinkClick xmlns:r="http://schemas.openxmlformats.org/officeDocument/2006/relationships" r:id="rId1"/>
          <a:extLst>
            <a:ext uri="{FF2B5EF4-FFF2-40B4-BE49-F238E27FC236}">
              <a16:creationId xmlns:a16="http://schemas.microsoft.com/office/drawing/2014/main" id="{00000000-0008-0000-1F00-00005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1" name="Flèche gauche 1">
          <a:hlinkClick xmlns:r="http://schemas.openxmlformats.org/officeDocument/2006/relationships" r:id="rId2"/>
          <a:extLst>
            <a:ext uri="{FF2B5EF4-FFF2-40B4-BE49-F238E27FC236}">
              <a16:creationId xmlns:a16="http://schemas.microsoft.com/office/drawing/2014/main" id="{00000000-0008-0000-1F00-00005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2" name="Flèche gauche 1">
          <a:hlinkClick xmlns:r="http://schemas.openxmlformats.org/officeDocument/2006/relationships" r:id="rId1"/>
          <a:extLst>
            <a:ext uri="{FF2B5EF4-FFF2-40B4-BE49-F238E27FC236}">
              <a16:creationId xmlns:a16="http://schemas.microsoft.com/office/drawing/2014/main" id="{00000000-0008-0000-1F00-00005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3" name="Flèche gauche 1">
          <a:hlinkClick xmlns:r="http://schemas.openxmlformats.org/officeDocument/2006/relationships" r:id="rId1"/>
          <a:extLst>
            <a:ext uri="{FF2B5EF4-FFF2-40B4-BE49-F238E27FC236}">
              <a16:creationId xmlns:a16="http://schemas.microsoft.com/office/drawing/2014/main" id="{00000000-0008-0000-1F00-00005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4" name="Flèche gauche 1">
          <a:hlinkClick xmlns:r="http://schemas.openxmlformats.org/officeDocument/2006/relationships" r:id="rId1"/>
          <a:extLst>
            <a:ext uri="{FF2B5EF4-FFF2-40B4-BE49-F238E27FC236}">
              <a16:creationId xmlns:a16="http://schemas.microsoft.com/office/drawing/2014/main" id="{00000000-0008-0000-1F00-00005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5" name="Flèche gauche 1">
          <a:hlinkClick xmlns:r="http://schemas.openxmlformats.org/officeDocument/2006/relationships" r:id="rId2"/>
          <a:extLst>
            <a:ext uri="{FF2B5EF4-FFF2-40B4-BE49-F238E27FC236}">
              <a16:creationId xmlns:a16="http://schemas.microsoft.com/office/drawing/2014/main" id="{00000000-0008-0000-1F00-00005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6" name="Flèche gauche 1">
          <a:hlinkClick xmlns:r="http://schemas.openxmlformats.org/officeDocument/2006/relationships" r:id="rId1"/>
          <a:extLst>
            <a:ext uri="{FF2B5EF4-FFF2-40B4-BE49-F238E27FC236}">
              <a16:creationId xmlns:a16="http://schemas.microsoft.com/office/drawing/2014/main" id="{00000000-0008-0000-1F00-00005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7" name="Flèche gauche 1">
          <a:hlinkClick xmlns:r="http://schemas.openxmlformats.org/officeDocument/2006/relationships" r:id="rId1"/>
          <a:extLst>
            <a:ext uri="{FF2B5EF4-FFF2-40B4-BE49-F238E27FC236}">
              <a16:creationId xmlns:a16="http://schemas.microsoft.com/office/drawing/2014/main" id="{00000000-0008-0000-1F00-00005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8" name="Flèche gauche 1">
          <a:hlinkClick xmlns:r="http://schemas.openxmlformats.org/officeDocument/2006/relationships" r:id="rId1"/>
          <a:extLst>
            <a:ext uri="{FF2B5EF4-FFF2-40B4-BE49-F238E27FC236}">
              <a16:creationId xmlns:a16="http://schemas.microsoft.com/office/drawing/2014/main" id="{00000000-0008-0000-1F00-00006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9" name="Flèche gauche 1">
          <a:hlinkClick xmlns:r="http://schemas.openxmlformats.org/officeDocument/2006/relationships" r:id="rId2"/>
          <a:extLst>
            <a:ext uri="{FF2B5EF4-FFF2-40B4-BE49-F238E27FC236}">
              <a16:creationId xmlns:a16="http://schemas.microsoft.com/office/drawing/2014/main" id="{00000000-0008-0000-1F00-00006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0" name="Flèche gauche 1">
          <a:hlinkClick xmlns:r="http://schemas.openxmlformats.org/officeDocument/2006/relationships" r:id="rId1"/>
          <a:extLst>
            <a:ext uri="{FF2B5EF4-FFF2-40B4-BE49-F238E27FC236}">
              <a16:creationId xmlns:a16="http://schemas.microsoft.com/office/drawing/2014/main" id="{00000000-0008-0000-1F00-00006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1" name="Flèche gauche 1">
          <a:hlinkClick xmlns:r="http://schemas.openxmlformats.org/officeDocument/2006/relationships" r:id="rId1"/>
          <a:extLst>
            <a:ext uri="{FF2B5EF4-FFF2-40B4-BE49-F238E27FC236}">
              <a16:creationId xmlns:a16="http://schemas.microsoft.com/office/drawing/2014/main" id="{00000000-0008-0000-1F00-00006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2" name="Flèche gauche 1">
          <a:hlinkClick xmlns:r="http://schemas.openxmlformats.org/officeDocument/2006/relationships" r:id="rId1"/>
          <a:extLst>
            <a:ext uri="{FF2B5EF4-FFF2-40B4-BE49-F238E27FC236}">
              <a16:creationId xmlns:a16="http://schemas.microsoft.com/office/drawing/2014/main" id="{00000000-0008-0000-1F00-00006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3" name="Flèche gauche 1">
          <a:hlinkClick xmlns:r="http://schemas.openxmlformats.org/officeDocument/2006/relationships" r:id="rId2"/>
          <a:extLst>
            <a:ext uri="{FF2B5EF4-FFF2-40B4-BE49-F238E27FC236}">
              <a16:creationId xmlns:a16="http://schemas.microsoft.com/office/drawing/2014/main" id="{00000000-0008-0000-1F00-00006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4" name="Flèche gauche 1">
          <a:hlinkClick xmlns:r="http://schemas.openxmlformats.org/officeDocument/2006/relationships" r:id="rId1"/>
          <a:extLst>
            <a:ext uri="{FF2B5EF4-FFF2-40B4-BE49-F238E27FC236}">
              <a16:creationId xmlns:a16="http://schemas.microsoft.com/office/drawing/2014/main" id="{00000000-0008-0000-1F00-00006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5" name="Flèche gauche 1">
          <a:hlinkClick xmlns:r="http://schemas.openxmlformats.org/officeDocument/2006/relationships" r:id="rId1"/>
          <a:extLst>
            <a:ext uri="{FF2B5EF4-FFF2-40B4-BE49-F238E27FC236}">
              <a16:creationId xmlns:a16="http://schemas.microsoft.com/office/drawing/2014/main" id="{00000000-0008-0000-1F00-00006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6" name="Flèche gauche 1">
          <a:hlinkClick xmlns:r="http://schemas.openxmlformats.org/officeDocument/2006/relationships" r:id="rId1"/>
          <a:extLst>
            <a:ext uri="{FF2B5EF4-FFF2-40B4-BE49-F238E27FC236}">
              <a16:creationId xmlns:a16="http://schemas.microsoft.com/office/drawing/2014/main" id="{00000000-0008-0000-1F00-00006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7" name="Flèche gauche 1">
          <a:hlinkClick xmlns:r="http://schemas.openxmlformats.org/officeDocument/2006/relationships" r:id="rId2"/>
          <a:extLst>
            <a:ext uri="{FF2B5EF4-FFF2-40B4-BE49-F238E27FC236}">
              <a16:creationId xmlns:a16="http://schemas.microsoft.com/office/drawing/2014/main" id="{00000000-0008-0000-1F00-00006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8" name="Flèche gauche 1">
          <a:hlinkClick xmlns:r="http://schemas.openxmlformats.org/officeDocument/2006/relationships" r:id="rId1"/>
          <a:extLst>
            <a:ext uri="{FF2B5EF4-FFF2-40B4-BE49-F238E27FC236}">
              <a16:creationId xmlns:a16="http://schemas.microsoft.com/office/drawing/2014/main" id="{00000000-0008-0000-1F00-00006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9" name="Flèche gauche 1">
          <a:hlinkClick xmlns:r="http://schemas.openxmlformats.org/officeDocument/2006/relationships" r:id="rId1"/>
          <a:extLst>
            <a:ext uri="{FF2B5EF4-FFF2-40B4-BE49-F238E27FC236}">
              <a16:creationId xmlns:a16="http://schemas.microsoft.com/office/drawing/2014/main" id="{00000000-0008-0000-1F00-00006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0" name="Flèche gauche 1">
          <a:hlinkClick xmlns:r="http://schemas.openxmlformats.org/officeDocument/2006/relationships" r:id="rId1"/>
          <a:extLst>
            <a:ext uri="{FF2B5EF4-FFF2-40B4-BE49-F238E27FC236}">
              <a16:creationId xmlns:a16="http://schemas.microsoft.com/office/drawing/2014/main" id="{00000000-0008-0000-1F00-00006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1" name="Flèche gauche 1">
          <a:hlinkClick xmlns:r="http://schemas.openxmlformats.org/officeDocument/2006/relationships" r:id="rId2"/>
          <a:extLst>
            <a:ext uri="{FF2B5EF4-FFF2-40B4-BE49-F238E27FC236}">
              <a16:creationId xmlns:a16="http://schemas.microsoft.com/office/drawing/2014/main" id="{00000000-0008-0000-1F00-00006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2" name="Flèche gauche 1">
          <a:hlinkClick xmlns:r="http://schemas.openxmlformats.org/officeDocument/2006/relationships" r:id="rId1"/>
          <a:extLst>
            <a:ext uri="{FF2B5EF4-FFF2-40B4-BE49-F238E27FC236}">
              <a16:creationId xmlns:a16="http://schemas.microsoft.com/office/drawing/2014/main" id="{00000000-0008-0000-1F00-00006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3" name="Flèche gauche 1">
          <a:hlinkClick xmlns:r="http://schemas.openxmlformats.org/officeDocument/2006/relationships" r:id="rId1"/>
          <a:extLst>
            <a:ext uri="{FF2B5EF4-FFF2-40B4-BE49-F238E27FC236}">
              <a16:creationId xmlns:a16="http://schemas.microsoft.com/office/drawing/2014/main" id="{00000000-0008-0000-1F00-00006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4" name="Flèche gauche 1">
          <a:hlinkClick xmlns:r="http://schemas.openxmlformats.org/officeDocument/2006/relationships" r:id="rId1"/>
          <a:extLst>
            <a:ext uri="{FF2B5EF4-FFF2-40B4-BE49-F238E27FC236}">
              <a16:creationId xmlns:a16="http://schemas.microsoft.com/office/drawing/2014/main" id="{00000000-0008-0000-1F00-00007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5" name="Flèche gauche 1">
          <a:hlinkClick xmlns:r="http://schemas.openxmlformats.org/officeDocument/2006/relationships" r:id="rId2"/>
          <a:extLst>
            <a:ext uri="{FF2B5EF4-FFF2-40B4-BE49-F238E27FC236}">
              <a16:creationId xmlns:a16="http://schemas.microsoft.com/office/drawing/2014/main" id="{00000000-0008-0000-1F00-00007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6" name="Flèche gauche 1">
          <a:hlinkClick xmlns:r="http://schemas.openxmlformats.org/officeDocument/2006/relationships" r:id="rId1"/>
          <a:extLst>
            <a:ext uri="{FF2B5EF4-FFF2-40B4-BE49-F238E27FC236}">
              <a16:creationId xmlns:a16="http://schemas.microsoft.com/office/drawing/2014/main" id="{00000000-0008-0000-1F00-00007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7" name="Flèche gauche 1">
          <a:hlinkClick xmlns:r="http://schemas.openxmlformats.org/officeDocument/2006/relationships" r:id="rId1"/>
          <a:extLst>
            <a:ext uri="{FF2B5EF4-FFF2-40B4-BE49-F238E27FC236}">
              <a16:creationId xmlns:a16="http://schemas.microsoft.com/office/drawing/2014/main" id="{00000000-0008-0000-1F00-00007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8" name="Flèche gauche 1">
          <a:hlinkClick xmlns:r="http://schemas.openxmlformats.org/officeDocument/2006/relationships" r:id="rId1"/>
          <a:extLst>
            <a:ext uri="{FF2B5EF4-FFF2-40B4-BE49-F238E27FC236}">
              <a16:creationId xmlns:a16="http://schemas.microsoft.com/office/drawing/2014/main" id="{00000000-0008-0000-1F00-00007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9" name="Flèche gauche 1">
          <a:hlinkClick xmlns:r="http://schemas.openxmlformats.org/officeDocument/2006/relationships" r:id="rId2"/>
          <a:extLst>
            <a:ext uri="{FF2B5EF4-FFF2-40B4-BE49-F238E27FC236}">
              <a16:creationId xmlns:a16="http://schemas.microsoft.com/office/drawing/2014/main" id="{00000000-0008-0000-1F00-00007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0" name="Flèche gauche 1">
          <a:hlinkClick xmlns:r="http://schemas.openxmlformats.org/officeDocument/2006/relationships" r:id="rId1"/>
          <a:extLst>
            <a:ext uri="{FF2B5EF4-FFF2-40B4-BE49-F238E27FC236}">
              <a16:creationId xmlns:a16="http://schemas.microsoft.com/office/drawing/2014/main" id="{00000000-0008-0000-1F00-00007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1" name="Flèche gauche 1">
          <a:hlinkClick xmlns:r="http://schemas.openxmlformats.org/officeDocument/2006/relationships" r:id="rId1"/>
          <a:extLst>
            <a:ext uri="{FF2B5EF4-FFF2-40B4-BE49-F238E27FC236}">
              <a16:creationId xmlns:a16="http://schemas.microsoft.com/office/drawing/2014/main" id="{00000000-0008-0000-1F00-00007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2" name="Flèche gauche 1">
          <a:hlinkClick xmlns:r="http://schemas.openxmlformats.org/officeDocument/2006/relationships" r:id="rId1"/>
          <a:extLst>
            <a:ext uri="{FF2B5EF4-FFF2-40B4-BE49-F238E27FC236}">
              <a16:creationId xmlns:a16="http://schemas.microsoft.com/office/drawing/2014/main" id="{00000000-0008-0000-1F00-00007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3" name="Flèche gauche 1">
          <a:hlinkClick xmlns:r="http://schemas.openxmlformats.org/officeDocument/2006/relationships" r:id="rId2"/>
          <a:extLst>
            <a:ext uri="{FF2B5EF4-FFF2-40B4-BE49-F238E27FC236}">
              <a16:creationId xmlns:a16="http://schemas.microsoft.com/office/drawing/2014/main" id="{00000000-0008-0000-1F00-00007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4" name="Flèche gauche 1">
          <a:hlinkClick xmlns:r="http://schemas.openxmlformats.org/officeDocument/2006/relationships" r:id="rId1"/>
          <a:extLst>
            <a:ext uri="{FF2B5EF4-FFF2-40B4-BE49-F238E27FC236}">
              <a16:creationId xmlns:a16="http://schemas.microsoft.com/office/drawing/2014/main" id="{00000000-0008-0000-1F00-00007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5" name="Flèche gauche 1">
          <a:hlinkClick xmlns:r="http://schemas.openxmlformats.org/officeDocument/2006/relationships" r:id="rId1"/>
          <a:extLst>
            <a:ext uri="{FF2B5EF4-FFF2-40B4-BE49-F238E27FC236}">
              <a16:creationId xmlns:a16="http://schemas.microsoft.com/office/drawing/2014/main" id="{00000000-0008-0000-1F00-00007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6" name="Flèche gauche 1">
          <a:hlinkClick xmlns:r="http://schemas.openxmlformats.org/officeDocument/2006/relationships" r:id="rId1"/>
          <a:extLst>
            <a:ext uri="{FF2B5EF4-FFF2-40B4-BE49-F238E27FC236}">
              <a16:creationId xmlns:a16="http://schemas.microsoft.com/office/drawing/2014/main" id="{00000000-0008-0000-1F00-00007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7" name="Flèche gauche 1">
          <a:hlinkClick xmlns:r="http://schemas.openxmlformats.org/officeDocument/2006/relationships" r:id="rId2"/>
          <a:extLst>
            <a:ext uri="{FF2B5EF4-FFF2-40B4-BE49-F238E27FC236}">
              <a16:creationId xmlns:a16="http://schemas.microsoft.com/office/drawing/2014/main" id="{00000000-0008-0000-1F00-00007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8" name="Flèche gauche 1">
          <a:hlinkClick xmlns:r="http://schemas.openxmlformats.org/officeDocument/2006/relationships" r:id="rId1"/>
          <a:extLst>
            <a:ext uri="{FF2B5EF4-FFF2-40B4-BE49-F238E27FC236}">
              <a16:creationId xmlns:a16="http://schemas.microsoft.com/office/drawing/2014/main" id="{00000000-0008-0000-1F00-00007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9" name="Flèche gauche 1">
          <a:hlinkClick xmlns:r="http://schemas.openxmlformats.org/officeDocument/2006/relationships" r:id="rId1"/>
          <a:extLst>
            <a:ext uri="{FF2B5EF4-FFF2-40B4-BE49-F238E27FC236}">
              <a16:creationId xmlns:a16="http://schemas.microsoft.com/office/drawing/2014/main" id="{00000000-0008-0000-1F00-00007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0" name="Flèche gauche 1">
          <a:hlinkClick xmlns:r="http://schemas.openxmlformats.org/officeDocument/2006/relationships" r:id="rId1"/>
          <a:extLst>
            <a:ext uri="{FF2B5EF4-FFF2-40B4-BE49-F238E27FC236}">
              <a16:creationId xmlns:a16="http://schemas.microsoft.com/office/drawing/2014/main" id="{00000000-0008-0000-1F00-00008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1" name="Flèche gauche 1">
          <a:hlinkClick xmlns:r="http://schemas.openxmlformats.org/officeDocument/2006/relationships" r:id="rId2"/>
          <a:extLst>
            <a:ext uri="{FF2B5EF4-FFF2-40B4-BE49-F238E27FC236}">
              <a16:creationId xmlns:a16="http://schemas.microsoft.com/office/drawing/2014/main" id="{00000000-0008-0000-1F00-00008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2" name="Flèche gauche 1">
          <a:hlinkClick xmlns:r="http://schemas.openxmlformats.org/officeDocument/2006/relationships" r:id="rId1"/>
          <a:extLst>
            <a:ext uri="{FF2B5EF4-FFF2-40B4-BE49-F238E27FC236}">
              <a16:creationId xmlns:a16="http://schemas.microsoft.com/office/drawing/2014/main" id="{00000000-0008-0000-1F00-00008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3" name="Flèche gauche 1">
          <a:hlinkClick xmlns:r="http://schemas.openxmlformats.org/officeDocument/2006/relationships" r:id="rId1"/>
          <a:extLst>
            <a:ext uri="{FF2B5EF4-FFF2-40B4-BE49-F238E27FC236}">
              <a16:creationId xmlns:a16="http://schemas.microsoft.com/office/drawing/2014/main" id="{00000000-0008-0000-1F00-00008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4" name="Flèche gauche 1">
          <a:hlinkClick xmlns:r="http://schemas.openxmlformats.org/officeDocument/2006/relationships" r:id="rId1"/>
          <a:extLst>
            <a:ext uri="{FF2B5EF4-FFF2-40B4-BE49-F238E27FC236}">
              <a16:creationId xmlns:a16="http://schemas.microsoft.com/office/drawing/2014/main" id="{00000000-0008-0000-1F00-00008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5" name="Flèche gauche 1">
          <a:hlinkClick xmlns:r="http://schemas.openxmlformats.org/officeDocument/2006/relationships" r:id="rId2"/>
          <a:extLst>
            <a:ext uri="{FF2B5EF4-FFF2-40B4-BE49-F238E27FC236}">
              <a16:creationId xmlns:a16="http://schemas.microsoft.com/office/drawing/2014/main" id="{00000000-0008-0000-1F00-00008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6" name="Flèche gauche 1">
          <a:hlinkClick xmlns:r="http://schemas.openxmlformats.org/officeDocument/2006/relationships" r:id="rId1"/>
          <a:extLst>
            <a:ext uri="{FF2B5EF4-FFF2-40B4-BE49-F238E27FC236}">
              <a16:creationId xmlns:a16="http://schemas.microsoft.com/office/drawing/2014/main" id="{00000000-0008-0000-1F00-00008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7" name="Flèche gauche 1">
          <a:hlinkClick xmlns:r="http://schemas.openxmlformats.org/officeDocument/2006/relationships" r:id="rId1"/>
          <a:extLst>
            <a:ext uri="{FF2B5EF4-FFF2-40B4-BE49-F238E27FC236}">
              <a16:creationId xmlns:a16="http://schemas.microsoft.com/office/drawing/2014/main" id="{00000000-0008-0000-1F00-00008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8" name="Flèche gauche 1">
          <a:hlinkClick xmlns:r="http://schemas.openxmlformats.org/officeDocument/2006/relationships" r:id="rId1"/>
          <a:extLst>
            <a:ext uri="{FF2B5EF4-FFF2-40B4-BE49-F238E27FC236}">
              <a16:creationId xmlns:a16="http://schemas.microsoft.com/office/drawing/2014/main" id="{00000000-0008-0000-1F00-00008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9" name="Flèche gauche 1">
          <a:hlinkClick xmlns:r="http://schemas.openxmlformats.org/officeDocument/2006/relationships" r:id="rId2"/>
          <a:extLst>
            <a:ext uri="{FF2B5EF4-FFF2-40B4-BE49-F238E27FC236}">
              <a16:creationId xmlns:a16="http://schemas.microsoft.com/office/drawing/2014/main" id="{00000000-0008-0000-1F00-00008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0" name="Flèche gauche 1">
          <a:hlinkClick xmlns:r="http://schemas.openxmlformats.org/officeDocument/2006/relationships" r:id="rId1"/>
          <a:extLst>
            <a:ext uri="{FF2B5EF4-FFF2-40B4-BE49-F238E27FC236}">
              <a16:creationId xmlns:a16="http://schemas.microsoft.com/office/drawing/2014/main" id="{00000000-0008-0000-1F00-00008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1" name="Flèche gauche 1">
          <a:hlinkClick xmlns:r="http://schemas.openxmlformats.org/officeDocument/2006/relationships" r:id="rId1"/>
          <a:extLst>
            <a:ext uri="{FF2B5EF4-FFF2-40B4-BE49-F238E27FC236}">
              <a16:creationId xmlns:a16="http://schemas.microsoft.com/office/drawing/2014/main" id="{00000000-0008-0000-1F00-00008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2" name="Flèche gauche 1">
          <a:hlinkClick xmlns:r="http://schemas.openxmlformats.org/officeDocument/2006/relationships" r:id="rId1"/>
          <a:extLst>
            <a:ext uri="{FF2B5EF4-FFF2-40B4-BE49-F238E27FC236}">
              <a16:creationId xmlns:a16="http://schemas.microsoft.com/office/drawing/2014/main" id="{00000000-0008-0000-1F00-00008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3" name="Flèche gauche 1">
          <a:hlinkClick xmlns:r="http://schemas.openxmlformats.org/officeDocument/2006/relationships" r:id="rId2"/>
          <a:extLst>
            <a:ext uri="{FF2B5EF4-FFF2-40B4-BE49-F238E27FC236}">
              <a16:creationId xmlns:a16="http://schemas.microsoft.com/office/drawing/2014/main" id="{00000000-0008-0000-1F00-00008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4" name="Flèche gauche 1">
          <a:hlinkClick xmlns:r="http://schemas.openxmlformats.org/officeDocument/2006/relationships" r:id="rId1"/>
          <a:extLst>
            <a:ext uri="{FF2B5EF4-FFF2-40B4-BE49-F238E27FC236}">
              <a16:creationId xmlns:a16="http://schemas.microsoft.com/office/drawing/2014/main" id="{00000000-0008-0000-1F00-00008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5" name="Flèche gauche 1">
          <a:hlinkClick xmlns:r="http://schemas.openxmlformats.org/officeDocument/2006/relationships" r:id="rId1"/>
          <a:extLst>
            <a:ext uri="{FF2B5EF4-FFF2-40B4-BE49-F238E27FC236}">
              <a16:creationId xmlns:a16="http://schemas.microsoft.com/office/drawing/2014/main" id="{00000000-0008-0000-1F00-00008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6" name="Flèche gauche 1">
          <a:hlinkClick xmlns:r="http://schemas.openxmlformats.org/officeDocument/2006/relationships" r:id="rId1"/>
          <a:extLst>
            <a:ext uri="{FF2B5EF4-FFF2-40B4-BE49-F238E27FC236}">
              <a16:creationId xmlns:a16="http://schemas.microsoft.com/office/drawing/2014/main" id="{00000000-0008-0000-1F00-00009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7" name="Flèche gauche 1">
          <a:hlinkClick xmlns:r="http://schemas.openxmlformats.org/officeDocument/2006/relationships" r:id="rId2"/>
          <a:extLst>
            <a:ext uri="{FF2B5EF4-FFF2-40B4-BE49-F238E27FC236}">
              <a16:creationId xmlns:a16="http://schemas.microsoft.com/office/drawing/2014/main" id="{00000000-0008-0000-1F00-00009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8" name="Flèche gauche 1">
          <a:hlinkClick xmlns:r="http://schemas.openxmlformats.org/officeDocument/2006/relationships" r:id="rId1"/>
          <a:extLst>
            <a:ext uri="{FF2B5EF4-FFF2-40B4-BE49-F238E27FC236}">
              <a16:creationId xmlns:a16="http://schemas.microsoft.com/office/drawing/2014/main" id="{00000000-0008-0000-1F00-00009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9" name="Flèche gauche 1">
          <a:hlinkClick xmlns:r="http://schemas.openxmlformats.org/officeDocument/2006/relationships" r:id="rId1"/>
          <a:extLst>
            <a:ext uri="{FF2B5EF4-FFF2-40B4-BE49-F238E27FC236}">
              <a16:creationId xmlns:a16="http://schemas.microsoft.com/office/drawing/2014/main" id="{00000000-0008-0000-1F00-00009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0" name="Flèche gauche 1">
          <a:hlinkClick xmlns:r="http://schemas.openxmlformats.org/officeDocument/2006/relationships" r:id="rId1"/>
          <a:extLst>
            <a:ext uri="{FF2B5EF4-FFF2-40B4-BE49-F238E27FC236}">
              <a16:creationId xmlns:a16="http://schemas.microsoft.com/office/drawing/2014/main" id="{00000000-0008-0000-1F00-00009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1" name="Flèche gauche 1">
          <a:hlinkClick xmlns:r="http://schemas.openxmlformats.org/officeDocument/2006/relationships" r:id="rId2"/>
          <a:extLst>
            <a:ext uri="{FF2B5EF4-FFF2-40B4-BE49-F238E27FC236}">
              <a16:creationId xmlns:a16="http://schemas.microsoft.com/office/drawing/2014/main" id="{00000000-0008-0000-1F00-00009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2" name="Flèche gauche 1">
          <a:hlinkClick xmlns:r="http://schemas.openxmlformats.org/officeDocument/2006/relationships" r:id="rId1"/>
          <a:extLst>
            <a:ext uri="{FF2B5EF4-FFF2-40B4-BE49-F238E27FC236}">
              <a16:creationId xmlns:a16="http://schemas.microsoft.com/office/drawing/2014/main" id="{00000000-0008-0000-1F00-00009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3" name="Flèche gauche 1">
          <a:hlinkClick xmlns:r="http://schemas.openxmlformats.org/officeDocument/2006/relationships" r:id="rId1"/>
          <a:extLst>
            <a:ext uri="{FF2B5EF4-FFF2-40B4-BE49-F238E27FC236}">
              <a16:creationId xmlns:a16="http://schemas.microsoft.com/office/drawing/2014/main" id="{00000000-0008-0000-1F00-00009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4" name="Flèche gauche 1">
          <a:hlinkClick xmlns:r="http://schemas.openxmlformats.org/officeDocument/2006/relationships" r:id="rId1"/>
          <a:extLst>
            <a:ext uri="{FF2B5EF4-FFF2-40B4-BE49-F238E27FC236}">
              <a16:creationId xmlns:a16="http://schemas.microsoft.com/office/drawing/2014/main" id="{00000000-0008-0000-1F00-00009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5" name="Flèche gauche 1">
          <a:hlinkClick xmlns:r="http://schemas.openxmlformats.org/officeDocument/2006/relationships" r:id="rId2"/>
          <a:extLst>
            <a:ext uri="{FF2B5EF4-FFF2-40B4-BE49-F238E27FC236}">
              <a16:creationId xmlns:a16="http://schemas.microsoft.com/office/drawing/2014/main" id="{00000000-0008-0000-1F00-00009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6" name="Flèche gauche 1">
          <a:hlinkClick xmlns:r="http://schemas.openxmlformats.org/officeDocument/2006/relationships" r:id="rId1"/>
          <a:extLst>
            <a:ext uri="{FF2B5EF4-FFF2-40B4-BE49-F238E27FC236}">
              <a16:creationId xmlns:a16="http://schemas.microsoft.com/office/drawing/2014/main" id="{00000000-0008-0000-1F00-00009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7" name="Flèche gauche 1">
          <a:hlinkClick xmlns:r="http://schemas.openxmlformats.org/officeDocument/2006/relationships" r:id="rId1"/>
          <a:extLst>
            <a:ext uri="{FF2B5EF4-FFF2-40B4-BE49-F238E27FC236}">
              <a16:creationId xmlns:a16="http://schemas.microsoft.com/office/drawing/2014/main" id="{00000000-0008-0000-1F00-00009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8" name="Flèche gauche 1">
          <a:hlinkClick xmlns:r="http://schemas.openxmlformats.org/officeDocument/2006/relationships" r:id="rId1"/>
          <a:extLst>
            <a:ext uri="{FF2B5EF4-FFF2-40B4-BE49-F238E27FC236}">
              <a16:creationId xmlns:a16="http://schemas.microsoft.com/office/drawing/2014/main" id="{00000000-0008-0000-1F00-00009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9" name="Flèche gauche 1">
          <a:hlinkClick xmlns:r="http://schemas.openxmlformats.org/officeDocument/2006/relationships" r:id="rId2"/>
          <a:extLst>
            <a:ext uri="{FF2B5EF4-FFF2-40B4-BE49-F238E27FC236}">
              <a16:creationId xmlns:a16="http://schemas.microsoft.com/office/drawing/2014/main" id="{00000000-0008-0000-1F00-00009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0" name="Flèche gauche 1">
          <a:hlinkClick xmlns:r="http://schemas.openxmlformats.org/officeDocument/2006/relationships" r:id="rId1"/>
          <a:extLst>
            <a:ext uri="{FF2B5EF4-FFF2-40B4-BE49-F238E27FC236}">
              <a16:creationId xmlns:a16="http://schemas.microsoft.com/office/drawing/2014/main" id="{00000000-0008-0000-1F00-00009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1" name="Flèche gauche 1">
          <a:hlinkClick xmlns:r="http://schemas.openxmlformats.org/officeDocument/2006/relationships" r:id="rId1"/>
          <a:extLst>
            <a:ext uri="{FF2B5EF4-FFF2-40B4-BE49-F238E27FC236}">
              <a16:creationId xmlns:a16="http://schemas.microsoft.com/office/drawing/2014/main" id="{00000000-0008-0000-1F00-00009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2" name="Flèche gauche 1">
          <a:hlinkClick xmlns:r="http://schemas.openxmlformats.org/officeDocument/2006/relationships" r:id="rId1"/>
          <a:extLst>
            <a:ext uri="{FF2B5EF4-FFF2-40B4-BE49-F238E27FC236}">
              <a16:creationId xmlns:a16="http://schemas.microsoft.com/office/drawing/2014/main" id="{00000000-0008-0000-1F00-0000A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3" name="Flèche gauche 1">
          <a:hlinkClick xmlns:r="http://schemas.openxmlformats.org/officeDocument/2006/relationships" r:id="rId2"/>
          <a:extLst>
            <a:ext uri="{FF2B5EF4-FFF2-40B4-BE49-F238E27FC236}">
              <a16:creationId xmlns:a16="http://schemas.microsoft.com/office/drawing/2014/main" id="{00000000-0008-0000-1F00-0000A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4" name="Flèche gauche 1">
          <a:hlinkClick xmlns:r="http://schemas.openxmlformats.org/officeDocument/2006/relationships" r:id="rId1"/>
          <a:extLst>
            <a:ext uri="{FF2B5EF4-FFF2-40B4-BE49-F238E27FC236}">
              <a16:creationId xmlns:a16="http://schemas.microsoft.com/office/drawing/2014/main" id="{00000000-0008-0000-1F00-0000A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5" name="Flèche gauche 1">
          <a:hlinkClick xmlns:r="http://schemas.openxmlformats.org/officeDocument/2006/relationships" r:id="rId1"/>
          <a:extLst>
            <a:ext uri="{FF2B5EF4-FFF2-40B4-BE49-F238E27FC236}">
              <a16:creationId xmlns:a16="http://schemas.microsoft.com/office/drawing/2014/main" id="{00000000-0008-0000-1F00-0000A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6" name="Flèche gauche 1">
          <a:hlinkClick xmlns:r="http://schemas.openxmlformats.org/officeDocument/2006/relationships" r:id="rId1"/>
          <a:extLst>
            <a:ext uri="{FF2B5EF4-FFF2-40B4-BE49-F238E27FC236}">
              <a16:creationId xmlns:a16="http://schemas.microsoft.com/office/drawing/2014/main" id="{00000000-0008-0000-1F00-0000A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7" name="Flèche gauche 1">
          <a:hlinkClick xmlns:r="http://schemas.openxmlformats.org/officeDocument/2006/relationships" r:id="rId2"/>
          <a:extLst>
            <a:ext uri="{FF2B5EF4-FFF2-40B4-BE49-F238E27FC236}">
              <a16:creationId xmlns:a16="http://schemas.microsoft.com/office/drawing/2014/main" id="{00000000-0008-0000-1F00-0000A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8" name="Flèche gauche 1">
          <a:hlinkClick xmlns:r="http://schemas.openxmlformats.org/officeDocument/2006/relationships" r:id="rId1"/>
          <a:extLst>
            <a:ext uri="{FF2B5EF4-FFF2-40B4-BE49-F238E27FC236}">
              <a16:creationId xmlns:a16="http://schemas.microsoft.com/office/drawing/2014/main" id="{00000000-0008-0000-1F00-0000A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9" name="Flèche gauche 1">
          <a:hlinkClick xmlns:r="http://schemas.openxmlformats.org/officeDocument/2006/relationships" r:id="rId1"/>
          <a:extLst>
            <a:ext uri="{FF2B5EF4-FFF2-40B4-BE49-F238E27FC236}">
              <a16:creationId xmlns:a16="http://schemas.microsoft.com/office/drawing/2014/main" id="{00000000-0008-0000-1F00-0000A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0" name="Flèche gauche 1">
          <a:hlinkClick xmlns:r="http://schemas.openxmlformats.org/officeDocument/2006/relationships" r:id="rId1"/>
          <a:extLst>
            <a:ext uri="{FF2B5EF4-FFF2-40B4-BE49-F238E27FC236}">
              <a16:creationId xmlns:a16="http://schemas.microsoft.com/office/drawing/2014/main" id="{00000000-0008-0000-1F00-0000A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1" name="Flèche gauche 1">
          <a:hlinkClick xmlns:r="http://schemas.openxmlformats.org/officeDocument/2006/relationships" r:id="rId2"/>
          <a:extLst>
            <a:ext uri="{FF2B5EF4-FFF2-40B4-BE49-F238E27FC236}">
              <a16:creationId xmlns:a16="http://schemas.microsoft.com/office/drawing/2014/main" id="{00000000-0008-0000-1F00-0000A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2" name="Flèche gauche 1">
          <a:hlinkClick xmlns:r="http://schemas.openxmlformats.org/officeDocument/2006/relationships" r:id="rId1"/>
          <a:extLst>
            <a:ext uri="{FF2B5EF4-FFF2-40B4-BE49-F238E27FC236}">
              <a16:creationId xmlns:a16="http://schemas.microsoft.com/office/drawing/2014/main" id="{00000000-0008-0000-1F00-0000A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3" name="Flèche gauche 1">
          <a:hlinkClick xmlns:r="http://schemas.openxmlformats.org/officeDocument/2006/relationships" r:id="rId1"/>
          <a:extLst>
            <a:ext uri="{FF2B5EF4-FFF2-40B4-BE49-F238E27FC236}">
              <a16:creationId xmlns:a16="http://schemas.microsoft.com/office/drawing/2014/main" id="{00000000-0008-0000-1F00-0000A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4" name="Flèche gauche 1">
          <a:hlinkClick xmlns:r="http://schemas.openxmlformats.org/officeDocument/2006/relationships" r:id="rId1"/>
          <a:extLst>
            <a:ext uri="{FF2B5EF4-FFF2-40B4-BE49-F238E27FC236}">
              <a16:creationId xmlns:a16="http://schemas.microsoft.com/office/drawing/2014/main" id="{00000000-0008-0000-1F00-0000A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5" name="Flèche gauche 1">
          <a:hlinkClick xmlns:r="http://schemas.openxmlformats.org/officeDocument/2006/relationships" r:id="rId2"/>
          <a:extLst>
            <a:ext uri="{FF2B5EF4-FFF2-40B4-BE49-F238E27FC236}">
              <a16:creationId xmlns:a16="http://schemas.microsoft.com/office/drawing/2014/main" id="{00000000-0008-0000-1F00-0000A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6" name="Flèche gauche 1">
          <a:hlinkClick xmlns:r="http://schemas.openxmlformats.org/officeDocument/2006/relationships" r:id="rId1"/>
          <a:extLst>
            <a:ext uri="{FF2B5EF4-FFF2-40B4-BE49-F238E27FC236}">
              <a16:creationId xmlns:a16="http://schemas.microsoft.com/office/drawing/2014/main" id="{00000000-0008-0000-1F00-0000A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7" name="Flèche gauche 1">
          <a:hlinkClick xmlns:r="http://schemas.openxmlformats.org/officeDocument/2006/relationships" r:id="rId1"/>
          <a:extLst>
            <a:ext uri="{FF2B5EF4-FFF2-40B4-BE49-F238E27FC236}">
              <a16:creationId xmlns:a16="http://schemas.microsoft.com/office/drawing/2014/main" id="{00000000-0008-0000-1F00-0000A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8" name="Flèche gauche 1">
          <a:hlinkClick xmlns:r="http://schemas.openxmlformats.org/officeDocument/2006/relationships" r:id="rId1"/>
          <a:extLst>
            <a:ext uri="{FF2B5EF4-FFF2-40B4-BE49-F238E27FC236}">
              <a16:creationId xmlns:a16="http://schemas.microsoft.com/office/drawing/2014/main" id="{00000000-0008-0000-1F00-0000B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9" name="Flèche gauche 1">
          <a:hlinkClick xmlns:r="http://schemas.openxmlformats.org/officeDocument/2006/relationships" r:id="rId2"/>
          <a:extLst>
            <a:ext uri="{FF2B5EF4-FFF2-40B4-BE49-F238E27FC236}">
              <a16:creationId xmlns:a16="http://schemas.microsoft.com/office/drawing/2014/main" id="{00000000-0008-0000-1F00-0000B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0" name="Flèche gauche 1">
          <a:hlinkClick xmlns:r="http://schemas.openxmlformats.org/officeDocument/2006/relationships" r:id="rId1"/>
          <a:extLst>
            <a:ext uri="{FF2B5EF4-FFF2-40B4-BE49-F238E27FC236}">
              <a16:creationId xmlns:a16="http://schemas.microsoft.com/office/drawing/2014/main" id="{00000000-0008-0000-1F00-0000B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1" name="Flèche gauche 1">
          <a:hlinkClick xmlns:r="http://schemas.openxmlformats.org/officeDocument/2006/relationships" r:id="rId1"/>
          <a:extLst>
            <a:ext uri="{FF2B5EF4-FFF2-40B4-BE49-F238E27FC236}">
              <a16:creationId xmlns:a16="http://schemas.microsoft.com/office/drawing/2014/main" id="{00000000-0008-0000-1F00-0000B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2" name="Flèche gauche 1">
          <a:hlinkClick xmlns:r="http://schemas.openxmlformats.org/officeDocument/2006/relationships" r:id="rId1"/>
          <a:extLst>
            <a:ext uri="{FF2B5EF4-FFF2-40B4-BE49-F238E27FC236}">
              <a16:creationId xmlns:a16="http://schemas.microsoft.com/office/drawing/2014/main" id="{00000000-0008-0000-1F00-0000B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3" name="Flèche gauche 1">
          <a:hlinkClick xmlns:r="http://schemas.openxmlformats.org/officeDocument/2006/relationships" r:id="rId2"/>
          <a:extLst>
            <a:ext uri="{FF2B5EF4-FFF2-40B4-BE49-F238E27FC236}">
              <a16:creationId xmlns:a16="http://schemas.microsoft.com/office/drawing/2014/main" id="{00000000-0008-0000-1F00-0000B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4" name="Flèche gauche 1">
          <a:hlinkClick xmlns:r="http://schemas.openxmlformats.org/officeDocument/2006/relationships" r:id="rId1"/>
          <a:extLst>
            <a:ext uri="{FF2B5EF4-FFF2-40B4-BE49-F238E27FC236}">
              <a16:creationId xmlns:a16="http://schemas.microsoft.com/office/drawing/2014/main" id="{00000000-0008-0000-1F00-0000B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5" name="Flèche gauche 1">
          <a:hlinkClick xmlns:r="http://schemas.openxmlformats.org/officeDocument/2006/relationships" r:id="rId1"/>
          <a:extLst>
            <a:ext uri="{FF2B5EF4-FFF2-40B4-BE49-F238E27FC236}">
              <a16:creationId xmlns:a16="http://schemas.microsoft.com/office/drawing/2014/main" id="{00000000-0008-0000-1F00-0000B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6" name="Flèche gauche 1">
          <a:hlinkClick xmlns:r="http://schemas.openxmlformats.org/officeDocument/2006/relationships" r:id="rId1"/>
          <a:extLst>
            <a:ext uri="{FF2B5EF4-FFF2-40B4-BE49-F238E27FC236}">
              <a16:creationId xmlns:a16="http://schemas.microsoft.com/office/drawing/2014/main" id="{00000000-0008-0000-1F00-0000B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7" name="Flèche gauche 1">
          <a:hlinkClick xmlns:r="http://schemas.openxmlformats.org/officeDocument/2006/relationships" r:id="rId2"/>
          <a:extLst>
            <a:ext uri="{FF2B5EF4-FFF2-40B4-BE49-F238E27FC236}">
              <a16:creationId xmlns:a16="http://schemas.microsoft.com/office/drawing/2014/main" id="{00000000-0008-0000-1F00-0000B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8" name="Flèche gauche 1">
          <a:hlinkClick xmlns:r="http://schemas.openxmlformats.org/officeDocument/2006/relationships" r:id="rId1"/>
          <a:extLst>
            <a:ext uri="{FF2B5EF4-FFF2-40B4-BE49-F238E27FC236}">
              <a16:creationId xmlns:a16="http://schemas.microsoft.com/office/drawing/2014/main" id="{00000000-0008-0000-1F00-0000B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9" name="Flèche gauche 1">
          <a:hlinkClick xmlns:r="http://schemas.openxmlformats.org/officeDocument/2006/relationships" r:id="rId1"/>
          <a:extLst>
            <a:ext uri="{FF2B5EF4-FFF2-40B4-BE49-F238E27FC236}">
              <a16:creationId xmlns:a16="http://schemas.microsoft.com/office/drawing/2014/main" id="{00000000-0008-0000-1F00-0000B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0" name="Flèche gauche 1">
          <a:hlinkClick xmlns:r="http://schemas.openxmlformats.org/officeDocument/2006/relationships" r:id="rId1"/>
          <a:extLst>
            <a:ext uri="{FF2B5EF4-FFF2-40B4-BE49-F238E27FC236}">
              <a16:creationId xmlns:a16="http://schemas.microsoft.com/office/drawing/2014/main" id="{00000000-0008-0000-1F00-0000B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1" name="Flèche gauche 1">
          <a:hlinkClick xmlns:r="http://schemas.openxmlformats.org/officeDocument/2006/relationships" r:id="rId2"/>
          <a:extLst>
            <a:ext uri="{FF2B5EF4-FFF2-40B4-BE49-F238E27FC236}">
              <a16:creationId xmlns:a16="http://schemas.microsoft.com/office/drawing/2014/main" id="{00000000-0008-0000-1F00-0000B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2" name="Flèche gauche 1">
          <a:hlinkClick xmlns:r="http://schemas.openxmlformats.org/officeDocument/2006/relationships" r:id="rId1"/>
          <a:extLst>
            <a:ext uri="{FF2B5EF4-FFF2-40B4-BE49-F238E27FC236}">
              <a16:creationId xmlns:a16="http://schemas.microsoft.com/office/drawing/2014/main" id="{00000000-0008-0000-1F00-0000B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3" name="Flèche gauche 1">
          <a:hlinkClick xmlns:r="http://schemas.openxmlformats.org/officeDocument/2006/relationships" r:id="rId1"/>
          <a:extLst>
            <a:ext uri="{FF2B5EF4-FFF2-40B4-BE49-F238E27FC236}">
              <a16:creationId xmlns:a16="http://schemas.microsoft.com/office/drawing/2014/main" id="{00000000-0008-0000-1F00-0000B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4" name="Flèche gauche 1">
          <a:hlinkClick xmlns:r="http://schemas.openxmlformats.org/officeDocument/2006/relationships" r:id="rId1"/>
          <a:extLst>
            <a:ext uri="{FF2B5EF4-FFF2-40B4-BE49-F238E27FC236}">
              <a16:creationId xmlns:a16="http://schemas.microsoft.com/office/drawing/2014/main" id="{00000000-0008-0000-1F00-0000C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5" name="Flèche gauche 1">
          <a:hlinkClick xmlns:r="http://schemas.openxmlformats.org/officeDocument/2006/relationships" r:id="rId2"/>
          <a:extLst>
            <a:ext uri="{FF2B5EF4-FFF2-40B4-BE49-F238E27FC236}">
              <a16:creationId xmlns:a16="http://schemas.microsoft.com/office/drawing/2014/main" id="{00000000-0008-0000-1F00-0000C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6" name="Flèche gauche 1">
          <a:hlinkClick xmlns:r="http://schemas.openxmlformats.org/officeDocument/2006/relationships" r:id="rId1"/>
          <a:extLst>
            <a:ext uri="{FF2B5EF4-FFF2-40B4-BE49-F238E27FC236}">
              <a16:creationId xmlns:a16="http://schemas.microsoft.com/office/drawing/2014/main" id="{00000000-0008-0000-1F00-0000C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7" name="Flèche gauche 1">
          <a:hlinkClick xmlns:r="http://schemas.openxmlformats.org/officeDocument/2006/relationships" r:id="rId1"/>
          <a:extLst>
            <a:ext uri="{FF2B5EF4-FFF2-40B4-BE49-F238E27FC236}">
              <a16:creationId xmlns:a16="http://schemas.microsoft.com/office/drawing/2014/main" id="{00000000-0008-0000-1F00-0000C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8" name="Flèche gauche 1">
          <a:hlinkClick xmlns:r="http://schemas.openxmlformats.org/officeDocument/2006/relationships" r:id="rId1"/>
          <a:extLst>
            <a:ext uri="{FF2B5EF4-FFF2-40B4-BE49-F238E27FC236}">
              <a16:creationId xmlns:a16="http://schemas.microsoft.com/office/drawing/2014/main" id="{00000000-0008-0000-1F00-0000C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9" name="Flèche gauche 1">
          <a:hlinkClick xmlns:r="http://schemas.openxmlformats.org/officeDocument/2006/relationships" r:id="rId2"/>
          <a:extLst>
            <a:ext uri="{FF2B5EF4-FFF2-40B4-BE49-F238E27FC236}">
              <a16:creationId xmlns:a16="http://schemas.microsoft.com/office/drawing/2014/main" id="{00000000-0008-0000-1F00-0000C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0" name="Flèche gauche 1">
          <a:hlinkClick xmlns:r="http://schemas.openxmlformats.org/officeDocument/2006/relationships" r:id="rId1"/>
          <a:extLst>
            <a:ext uri="{FF2B5EF4-FFF2-40B4-BE49-F238E27FC236}">
              <a16:creationId xmlns:a16="http://schemas.microsoft.com/office/drawing/2014/main" id="{00000000-0008-0000-1F00-0000C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1" name="Flèche gauche 1">
          <a:hlinkClick xmlns:r="http://schemas.openxmlformats.org/officeDocument/2006/relationships" r:id="rId1"/>
          <a:extLst>
            <a:ext uri="{FF2B5EF4-FFF2-40B4-BE49-F238E27FC236}">
              <a16:creationId xmlns:a16="http://schemas.microsoft.com/office/drawing/2014/main" id="{00000000-0008-0000-1F00-0000C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2" name="Flèche gauche 1">
          <a:hlinkClick xmlns:r="http://schemas.openxmlformats.org/officeDocument/2006/relationships" r:id="rId1"/>
          <a:extLst>
            <a:ext uri="{FF2B5EF4-FFF2-40B4-BE49-F238E27FC236}">
              <a16:creationId xmlns:a16="http://schemas.microsoft.com/office/drawing/2014/main" id="{00000000-0008-0000-1F00-0000C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3" name="Flèche gauche 1">
          <a:hlinkClick xmlns:r="http://schemas.openxmlformats.org/officeDocument/2006/relationships" r:id="rId2"/>
          <a:extLst>
            <a:ext uri="{FF2B5EF4-FFF2-40B4-BE49-F238E27FC236}">
              <a16:creationId xmlns:a16="http://schemas.microsoft.com/office/drawing/2014/main" id="{00000000-0008-0000-1F00-0000C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4" name="Flèche gauche 1">
          <a:hlinkClick xmlns:r="http://schemas.openxmlformats.org/officeDocument/2006/relationships" r:id="rId1"/>
          <a:extLst>
            <a:ext uri="{FF2B5EF4-FFF2-40B4-BE49-F238E27FC236}">
              <a16:creationId xmlns:a16="http://schemas.microsoft.com/office/drawing/2014/main" id="{00000000-0008-0000-1F00-0000C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5" name="Flèche gauche 1">
          <a:hlinkClick xmlns:r="http://schemas.openxmlformats.org/officeDocument/2006/relationships" r:id="rId1"/>
          <a:extLst>
            <a:ext uri="{FF2B5EF4-FFF2-40B4-BE49-F238E27FC236}">
              <a16:creationId xmlns:a16="http://schemas.microsoft.com/office/drawing/2014/main" id="{00000000-0008-0000-1F00-0000C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6" name="Flèche gauche 1">
          <a:hlinkClick xmlns:r="http://schemas.openxmlformats.org/officeDocument/2006/relationships" r:id="rId1"/>
          <a:extLst>
            <a:ext uri="{FF2B5EF4-FFF2-40B4-BE49-F238E27FC236}">
              <a16:creationId xmlns:a16="http://schemas.microsoft.com/office/drawing/2014/main" id="{00000000-0008-0000-1F00-0000C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7" name="Flèche gauche 1">
          <a:hlinkClick xmlns:r="http://schemas.openxmlformats.org/officeDocument/2006/relationships" r:id="rId2"/>
          <a:extLst>
            <a:ext uri="{FF2B5EF4-FFF2-40B4-BE49-F238E27FC236}">
              <a16:creationId xmlns:a16="http://schemas.microsoft.com/office/drawing/2014/main" id="{00000000-0008-0000-1F00-0000C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8" name="Flèche gauche 1">
          <a:hlinkClick xmlns:r="http://schemas.openxmlformats.org/officeDocument/2006/relationships" r:id="rId1"/>
          <a:extLst>
            <a:ext uri="{FF2B5EF4-FFF2-40B4-BE49-F238E27FC236}">
              <a16:creationId xmlns:a16="http://schemas.microsoft.com/office/drawing/2014/main" id="{00000000-0008-0000-1F00-0000C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9" name="Flèche gauche 1">
          <a:hlinkClick xmlns:r="http://schemas.openxmlformats.org/officeDocument/2006/relationships" r:id="rId1"/>
          <a:extLst>
            <a:ext uri="{FF2B5EF4-FFF2-40B4-BE49-F238E27FC236}">
              <a16:creationId xmlns:a16="http://schemas.microsoft.com/office/drawing/2014/main" id="{00000000-0008-0000-1F00-0000C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0" name="Flèche gauche 1">
          <a:hlinkClick xmlns:r="http://schemas.openxmlformats.org/officeDocument/2006/relationships" r:id="rId1"/>
          <a:extLst>
            <a:ext uri="{FF2B5EF4-FFF2-40B4-BE49-F238E27FC236}">
              <a16:creationId xmlns:a16="http://schemas.microsoft.com/office/drawing/2014/main" id="{00000000-0008-0000-1F00-0000D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1" name="Flèche gauche 1">
          <a:hlinkClick xmlns:r="http://schemas.openxmlformats.org/officeDocument/2006/relationships" r:id="rId2"/>
          <a:extLst>
            <a:ext uri="{FF2B5EF4-FFF2-40B4-BE49-F238E27FC236}">
              <a16:creationId xmlns:a16="http://schemas.microsoft.com/office/drawing/2014/main" id="{00000000-0008-0000-1F00-0000D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2" name="Flèche gauche 1">
          <a:hlinkClick xmlns:r="http://schemas.openxmlformats.org/officeDocument/2006/relationships" r:id="rId1"/>
          <a:extLst>
            <a:ext uri="{FF2B5EF4-FFF2-40B4-BE49-F238E27FC236}">
              <a16:creationId xmlns:a16="http://schemas.microsoft.com/office/drawing/2014/main" id="{00000000-0008-0000-1F00-0000D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3" name="Flèche gauche 1">
          <a:hlinkClick xmlns:r="http://schemas.openxmlformats.org/officeDocument/2006/relationships" r:id="rId1"/>
          <a:extLst>
            <a:ext uri="{FF2B5EF4-FFF2-40B4-BE49-F238E27FC236}">
              <a16:creationId xmlns:a16="http://schemas.microsoft.com/office/drawing/2014/main" id="{00000000-0008-0000-1F00-0000D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4" name="Flèche gauche 1">
          <a:hlinkClick xmlns:r="http://schemas.openxmlformats.org/officeDocument/2006/relationships" r:id="rId1"/>
          <a:extLst>
            <a:ext uri="{FF2B5EF4-FFF2-40B4-BE49-F238E27FC236}">
              <a16:creationId xmlns:a16="http://schemas.microsoft.com/office/drawing/2014/main" id="{00000000-0008-0000-1F00-0000D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5" name="Flèche gauche 1">
          <a:hlinkClick xmlns:r="http://schemas.openxmlformats.org/officeDocument/2006/relationships" r:id="rId2"/>
          <a:extLst>
            <a:ext uri="{FF2B5EF4-FFF2-40B4-BE49-F238E27FC236}">
              <a16:creationId xmlns:a16="http://schemas.microsoft.com/office/drawing/2014/main" id="{00000000-0008-0000-1F00-0000D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6" name="Flèche gauche 1">
          <a:hlinkClick xmlns:r="http://schemas.openxmlformats.org/officeDocument/2006/relationships" r:id="rId1"/>
          <a:extLst>
            <a:ext uri="{FF2B5EF4-FFF2-40B4-BE49-F238E27FC236}">
              <a16:creationId xmlns:a16="http://schemas.microsoft.com/office/drawing/2014/main" id="{00000000-0008-0000-1F00-0000D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7" name="Flèche gauche 1">
          <a:hlinkClick xmlns:r="http://schemas.openxmlformats.org/officeDocument/2006/relationships" r:id="rId1"/>
          <a:extLst>
            <a:ext uri="{FF2B5EF4-FFF2-40B4-BE49-F238E27FC236}">
              <a16:creationId xmlns:a16="http://schemas.microsoft.com/office/drawing/2014/main" id="{00000000-0008-0000-1F00-0000D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8" name="Flèche gauche 1">
          <a:hlinkClick xmlns:r="http://schemas.openxmlformats.org/officeDocument/2006/relationships" r:id="rId1"/>
          <a:extLst>
            <a:ext uri="{FF2B5EF4-FFF2-40B4-BE49-F238E27FC236}">
              <a16:creationId xmlns:a16="http://schemas.microsoft.com/office/drawing/2014/main" id="{00000000-0008-0000-1F00-0000D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9" name="Flèche gauche 1">
          <a:hlinkClick xmlns:r="http://schemas.openxmlformats.org/officeDocument/2006/relationships" r:id="rId2"/>
          <a:extLst>
            <a:ext uri="{FF2B5EF4-FFF2-40B4-BE49-F238E27FC236}">
              <a16:creationId xmlns:a16="http://schemas.microsoft.com/office/drawing/2014/main" id="{00000000-0008-0000-1F00-0000D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0" name="Flèche gauche 1">
          <a:hlinkClick xmlns:r="http://schemas.openxmlformats.org/officeDocument/2006/relationships" r:id="rId1"/>
          <a:extLst>
            <a:ext uri="{FF2B5EF4-FFF2-40B4-BE49-F238E27FC236}">
              <a16:creationId xmlns:a16="http://schemas.microsoft.com/office/drawing/2014/main" id="{00000000-0008-0000-1F00-0000D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1" name="Flèche gauche 1">
          <a:hlinkClick xmlns:r="http://schemas.openxmlformats.org/officeDocument/2006/relationships" r:id="rId1"/>
          <a:extLst>
            <a:ext uri="{FF2B5EF4-FFF2-40B4-BE49-F238E27FC236}">
              <a16:creationId xmlns:a16="http://schemas.microsoft.com/office/drawing/2014/main" id="{00000000-0008-0000-1F00-0000D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2" name="Flèche gauche 1">
          <a:hlinkClick xmlns:r="http://schemas.openxmlformats.org/officeDocument/2006/relationships" r:id="rId1"/>
          <a:extLst>
            <a:ext uri="{FF2B5EF4-FFF2-40B4-BE49-F238E27FC236}">
              <a16:creationId xmlns:a16="http://schemas.microsoft.com/office/drawing/2014/main" id="{00000000-0008-0000-1F00-0000D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3" name="Flèche gauche 1">
          <a:hlinkClick xmlns:r="http://schemas.openxmlformats.org/officeDocument/2006/relationships" r:id="rId2"/>
          <a:extLst>
            <a:ext uri="{FF2B5EF4-FFF2-40B4-BE49-F238E27FC236}">
              <a16:creationId xmlns:a16="http://schemas.microsoft.com/office/drawing/2014/main" id="{00000000-0008-0000-1F00-0000D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4" name="Flèche gauche 1">
          <a:hlinkClick xmlns:r="http://schemas.openxmlformats.org/officeDocument/2006/relationships" r:id="rId1"/>
          <a:extLst>
            <a:ext uri="{FF2B5EF4-FFF2-40B4-BE49-F238E27FC236}">
              <a16:creationId xmlns:a16="http://schemas.microsoft.com/office/drawing/2014/main" id="{00000000-0008-0000-1F00-0000D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5" name="Flèche gauche 1">
          <a:hlinkClick xmlns:r="http://schemas.openxmlformats.org/officeDocument/2006/relationships" r:id="rId1"/>
          <a:extLst>
            <a:ext uri="{FF2B5EF4-FFF2-40B4-BE49-F238E27FC236}">
              <a16:creationId xmlns:a16="http://schemas.microsoft.com/office/drawing/2014/main" id="{00000000-0008-0000-1F00-0000D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6" name="Flèche gauche 1">
          <a:hlinkClick xmlns:r="http://schemas.openxmlformats.org/officeDocument/2006/relationships" r:id="rId1"/>
          <a:extLst>
            <a:ext uri="{FF2B5EF4-FFF2-40B4-BE49-F238E27FC236}">
              <a16:creationId xmlns:a16="http://schemas.microsoft.com/office/drawing/2014/main" id="{00000000-0008-0000-1F00-0000E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7" name="Flèche gauche 1">
          <a:hlinkClick xmlns:r="http://schemas.openxmlformats.org/officeDocument/2006/relationships" r:id="rId2"/>
          <a:extLst>
            <a:ext uri="{FF2B5EF4-FFF2-40B4-BE49-F238E27FC236}">
              <a16:creationId xmlns:a16="http://schemas.microsoft.com/office/drawing/2014/main" id="{00000000-0008-0000-1F00-0000E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8" name="Flèche gauche 1">
          <a:hlinkClick xmlns:r="http://schemas.openxmlformats.org/officeDocument/2006/relationships" r:id="rId1"/>
          <a:extLst>
            <a:ext uri="{FF2B5EF4-FFF2-40B4-BE49-F238E27FC236}">
              <a16:creationId xmlns:a16="http://schemas.microsoft.com/office/drawing/2014/main" id="{00000000-0008-0000-1F00-0000E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9" name="Flèche gauche 1">
          <a:hlinkClick xmlns:r="http://schemas.openxmlformats.org/officeDocument/2006/relationships" r:id="rId1"/>
          <a:extLst>
            <a:ext uri="{FF2B5EF4-FFF2-40B4-BE49-F238E27FC236}">
              <a16:creationId xmlns:a16="http://schemas.microsoft.com/office/drawing/2014/main" id="{00000000-0008-0000-1F00-0000E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0" name="Flèche gauche 1">
          <a:hlinkClick xmlns:r="http://schemas.openxmlformats.org/officeDocument/2006/relationships" r:id="rId1"/>
          <a:extLst>
            <a:ext uri="{FF2B5EF4-FFF2-40B4-BE49-F238E27FC236}">
              <a16:creationId xmlns:a16="http://schemas.microsoft.com/office/drawing/2014/main" id="{00000000-0008-0000-1F00-0000E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1" name="Flèche gauche 1">
          <a:hlinkClick xmlns:r="http://schemas.openxmlformats.org/officeDocument/2006/relationships" r:id="rId2"/>
          <a:extLst>
            <a:ext uri="{FF2B5EF4-FFF2-40B4-BE49-F238E27FC236}">
              <a16:creationId xmlns:a16="http://schemas.microsoft.com/office/drawing/2014/main" id="{00000000-0008-0000-1F00-0000E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2" name="Flèche gauche 1">
          <a:hlinkClick xmlns:r="http://schemas.openxmlformats.org/officeDocument/2006/relationships" r:id="rId1"/>
          <a:extLst>
            <a:ext uri="{FF2B5EF4-FFF2-40B4-BE49-F238E27FC236}">
              <a16:creationId xmlns:a16="http://schemas.microsoft.com/office/drawing/2014/main" id="{00000000-0008-0000-1F00-0000E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3" name="Flèche gauche 1">
          <a:hlinkClick xmlns:r="http://schemas.openxmlformats.org/officeDocument/2006/relationships" r:id="rId1"/>
          <a:extLst>
            <a:ext uri="{FF2B5EF4-FFF2-40B4-BE49-F238E27FC236}">
              <a16:creationId xmlns:a16="http://schemas.microsoft.com/office/drawing/2014/main" id="{00000000-0008-0000-1F00-0000E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4" name="Flèche gauche 1">
          <a:hlinkClick xmlns:r="http://schemas.openxmlformats.org/officeDocument/2006/relationships" r:id="rId1"/>
          <a:extLst>
            <a:ext uri="{FF2B5EF4-FFF2-40B4-BE49-F238E27FC236}">
              <a16:creationId xmlns:a16="http://schemas.microsoft.com/office/drawing/2014/main" id="{00000000-0008-0000-1F00-0000E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5" name="Flèche gauche 1">
          <a:hlinkClick xmlns:r="http://schemas.openxmlformats.org/officeDocument/2006/relationships" r:id="rId2"/>
          <a:extLst>
            <a:ext uri="{FF2B5EF4-FFF2-40B4-BE49-F238E27FC236}">
              <a16:creationId xmlns:a16="http://schemas.microsoft.com/office/drawing/2014/main" id="{00000000-0008-0000-1F00-0000E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6" name="Flèche gauche 1">
          <a:hlinkClick xmlns:r="http://schemas.openxmlformats.org/officeDocument/2006/relationships" r:id="rId1"/>
          <a:extLst>
            <a:ext uri="{FF2B5EF4-FFF2-40B4-BE49-F238E27FC236}">
              <a16:creationId xmlns:a16="http://schemas.microsoft.com/office/drawing/2014/main" id="{00000000-0008-0000-1F00-0000E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7" name="Flèche gauche 1">
          <a:hlinkClick xmlns:r="http://schemas.openxmlformats.org/officeDocument/2006/relationships" r:id="rId1"/>
          <a:extLst>
            <a:ext uri="{FF2B5EF4-FFF2-40B4-BE49-F238E27FC236}">
              <a16:creationId xmlns:a16="http://schemas.microsoft.com/office/drawing/2014/main" id="{00000000-0008-0000-1F00-0000E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8" name="Flèche gauche 1">
          <a:hlinkClick xmlns:r="http://schemas.openxmlformats.org/officeDocument/2006/relationships" r:id="rId1"/>
          <a:extLst>
            <a:ext uri="{FF2B5EF4-FFF2-40B4-BE49-F238E27FC236}">
              <a16:creationId xmlns:a16="http://schemas.microsoft.com/office/drawing/2014/main" id="{00000000-0008-0000-1F00-0000E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9" name="Flèche gauche 1">
          <a:hlinkClick xmlns:r="http://schemas.openxmlformats.org/officeDocument/2006/relationships" r:id="rId2"/>
          <a:extLst>
            <a:ext uri="{FF2B5EF4-FFF2-40B4-BE49-F238E27FC236}">
              <a16:creationId xmlns:a16="http://schemas.microsoft.com/office/drawing/2014/main" id="{00000000-0008-0000-1F00-0000E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0" name="Flèche gauche 1">
          <a:hlinkClick xmlns:r="http://schemas.openxmlformats.org/officeDocument/2006/relationships" r:id="rId1"/>
          <a:extLst>
            <a:ext uri="{FF2B5EF4-FFF2-40B4-BE49-F238E27FC236}">
              <a16:creationId xmlns:a16="http://schemas.microsoft.com/office/drawing/2014/main" id="{00000000-0008-0000-1F00-0000E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1" name="Flèche gauche 1">
          <a:hlinkClick xmlns:r="http://schemas.openxmlformats.org/officeDocument/2006/relationships" r:id="rId1"/>
          <a:extLst>
            <a:ext uri="{FF2B5EF4-FFF2-40B4-BE49-F238E27FC236}">
              <a16:creationId xmlns:a16="http://schemas.microsoft.com/office/drawing/2014/main" id="{00000000-0008-0000-1F00-0000E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2" name="Flèche gauche 1">
          <a:hlinkClick xmlns:r="http://schemas.openxmlformats.org/officeDocument/2006/relationships" r:id="rId1"/>
          <a:extLst>
            <a:ext uri="{FF2B5EF4-FFF2-40B4-BE49-F238E27FC236}">
              <a16:creationId xmlns:a16="http://schemas.microsoft.com/office/drawing/2014/main" id="{00000000-0008-0000-1F00-0000F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3" name="Flèche gauche 1">
          <a:hlinkClick xmlns:r="http://schemas.openxmlformats.org/officeDocument/2006/relationships" r:id="rId2"/>
          <a:extLst>
            <a:ext uri="{FF2B5EF4-FFF2-40B4-BE49-F238E27FC236}">
              <a16:creationId xmlns:a16="http://schemas.microsoft.com/office/drawing/2014/main" id="{00000000-0008-0000-1F00-0000F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4" name="Flèche gauche 1">
          <a:hlinkClick xmlns:r="http://schemas.openxmlformats.org/officeDocument/2006/relationships" r:id="rId1"/>
          <a:extLst>
            <a:ext uri="{FF2B5EF4-FFF2-40B4-BE49-F238E27FC236}">
              <a16:creationId xmlns:a16="http://schemas.microsoft.com/office/drawing/2014/main" id="{00000000-0008-0000-1F00-0000F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5" name="Flèche gauche 1">
          <a:hlinkClick xmlns:r="http://schemas.openxmlformats.org/officeDocument/2006/relationships" r:id="rId1"/>
          <a:extLst>
            <a:ext uri="{FF2B5EF4-FFF2-40B4-BE49-F238E27FC236}">
              <a16:creationId xmlns:a16="http://schemas.microsoft.com/office/drawing/2014/main" id="{00000000-0008-0000-1F00-0000F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6" name="Flèche gauche 1">
          <a:hlinkClick xmlns:r="http://schemas.openxmlformats.org/officeDocument/2006/relationships" r:id="rId1"/>
          <a:extLst>
            <a:ext uri="{FF2B5EF4-FFF2-40B4-BE49-F238E27FC236}">
              <a16:creationId xmlns:a16="http://schemas.microsoft.com/office/drawing/2014/main" id="{00000000-0008-0000-1F00-0000F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7" name="Flèche gauche 1">
          <a:hlinkClick xmlns:r="http://schemas.openxmlformats.org/officeDocument/2006/relationships" r:id="rId2"/>
          <a:extLst>
            <a:ext uri="{FF2B5EF4-FFF2-40B4-BE49-F238E27FC236}">
              <a16:creationId xmlns:a16="http://schemas.microsoft.com/office/drawing/2014/main" id="{00000000-0008-0000-1F00-0000F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8" name="Flèche gauche 1">
          <a:hlinkClick xmlns:r="http://schemas.openxmlformats.org/officeDocument/2006/relationships" r:id="rId1"/>
          <a:extLst>
            <a:ext uri="{FF2B5EF4-FFF2-40B4-BE49-F238E27FC236}">
              <a16:creationId xmlns:a16="http://schemas.microsoft.com/office/drawing/2014/main" id="{00000000-0008-0000-1F00-0000F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9" name="Flèche gauche 1">
          <a:hlinkClick xmlns:r="http://schemas.openxmlformats.org/officeDocument/2006/relationships" r:id="rId1"/>
          <a:extLst>
            <a:ext uri="{FF2B5EF4-FFF2-40B4-BE49-F238E27FC236}">
              <a16:creationId xmlns:a16="http://schemas.microsoft.com/office/drawing/2014/main" id="{00000000-0008-0000-1F00-0000F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0" name="Flèche gauche 1">
          <a:hlinkClick xmlns:r="http://schemas.openxmlformats.org/officeDocument/2006/relationships" r:id="rId1"/>
          <a:extLst>
            <a:ext uri="{FF2B5EF4-FFF2-40B4-BE49-F238E27FC236}">
              <a16:creationId xmlns:a16="http://schemas.microsoft.com/office/drawing/2014/main" id="{00000000-0008-0000-1F00-0000F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1" name="Flèche gauche 1">
          <a:hlinkClick xmlns:r="http://schemas.openxmlformats.org/officeDocument/2006/relationships" r:id="rId2"/>
          <a:extLst>
            <a:ext uri="{FF2B5EF4-FFF2-40B4-BE49-F238E27FC236}">
              <a16:creationId xmlns:a16="http://schemas.microsoft.com/office/drawing/2014/main" id="{00000000-0008-0000-1F00-0000F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2" name="Flèche gauche 1">
          <a:hlinkClick xmlns:r="http://schemas.openxmlformats.org/officeDocument/2006/relationships" r:id="rId1"/>
          <a:extLst>
            <a:ext uri="{FF2B5EF4-FFF2-40B4-BE49-F238E27FC236}">
              <a16:creationId xmlns:a16="http://schemas.microsoft.com/office/drawing/2014/main" id="{00000000-0008-0000-1F00-0000F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3" name="Flèche gauche 1">
          <a:hlinkClick xmlns:r="http://schemas.openxmlformats.org/officeDocument/2006/relationships" r:id="rId1"/>
          <a:extLst>
            <a:ext uri="{FF2B5EF4-FFF2-40B4-BE49-F238E27FC236}">
              <a16:creationId xmlns:a16="http://schemas.microsoft.com/office/drawing/2014/main" id="{00000000-0008-0000-1F00-0000F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4" name="Flèche gauche 1">
          <a:hlinkClick xmlns:r="http://schemas.openxmlformats.org/officeDocument/2006/relationships" r:id="rId1"/>
          <a:extLst>
            <a:ext uri="{FF2B5EF4-FFF2-40B4-BE49-F238E27FC236}">
              <a16:creationId xmlns:a16="http://schemas.microsoft.com/office/drawing/2014/main" id="{00000000-0008-0000-1F00-0000F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5" name="Flèche gauche 1">
          <a:hlinkClick xmlns:r="http://schemas.openxmlformats.org/officeDocument/2006/relationships" r:id="rId2"/>
          <a:extLst>
            <a:ext uri="{FF2B5EF4-FFF2-40B4-BE49-F238E27FC236}">
              <a16:creationId xmlns:a16="http://schemas.microsoft.com/office/drawing/2014/main" id="{00000000-0008-0000-1F00-0000F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6" name="Flèche gauche 1">
          <a:hlinkClick xmlns:r="http://schemas.openxmlformats.org/officeDocument/2006/relationships" r:id="rId1"/>
          <a:extLst>
            <a:ext uri="{FF2B5EF4-FFF2-40B4-BE49-F238E27FC236}">
              <a16:creationId xmlns:a16="http://schemas.microsoft.com/office/drawing/2014/main" id="{00000000-0008-0000-1F00-0000F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7" name="Flèche gauche 1">
          <a:hlinkClick xmlns:r="http://schemas.openxmlformats.org/officeDocument/2006/relationships" r:id="rId1"/>
          <a:extLst>
            <a:ext uri="{FF2B5EF4-FFF2-40B4-BE49-F238E27FC236}">
              <a16:creationId xmlns:a16="http://schemas.microsoft.com/office/drawing/2014/main" id="{00000000-0008-0000-1F00-0000F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8" name="Flèche gauche 1">
          <a:hlinkClick xmlns:r="http://schemas.openxmlformats.org/officeDocument/2006/relationships" r:id="rId1"/>
          <a:extLst>
            <a:ext uri="{FF2B5EF4-FFF2-40B4-BE49-F238E27FC236}">
              <a16:creationId xmlns:a16="http://schemas.microsoft.com/office/drawing/2014/main" id="{00000000-0008-0000-1F00-000000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9" name="Flèche gauche 1">
          <a:hlinkClick xmlns:r="http://schemas.openxmlformats.org/officeDocument/2006/relationships" r:id="rId2"/>
          <a:extLst>
            <a:ext uri="{FF2B5EF4-FFF2-40B4-BE49-F238E27FC236}">
              <a16:creationId xmlns:a16="http://schemas.microsoft.com/office/drawing/2014/main" id="{00000000-0008-0000-1F00-000001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70" name="Flèche gauche 1">
          <a:hlinkClick xmlns:r="http://schemas.openxmlformats.org/officeDocument/2006/relationships" r:id="rId1"/>
          <a:extLst>
            <a:ext uri="{FF2B5EF4-FFF2-40B4-BE49-F238E27FC236}">
              <a16:creationId xmlns:a16="http://schemas.microsoft.com/office/drawing/2014/main" id="{00000000-0008-0000-1F00-000002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71" name="Flèche gauche 1">
          <a:hlinkClick xmlns:r="http://schemas.openxmlformats.org/officeDocument/2006/relationships" r:id="rId1"/>
          <a:extLst>
            <a:ext uri="{FF2B5EF4-FFF2-40B4-BE49-F238E27FC236}">
              <a16:creationId xmlns:a16="http://schemas.microsoft.com/office/drawing/2014/main" id="{00000000-0008-0000-1F00-000003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72" name="Flèche gauche 1">
          <a:hlinkClick xmlns:r="http://schemas.openxmlformats.org/officeDocument/2006/relationships" r:id="rId1"/>
          <a:extLst>
            <a:ext uri="{FF2B5EF4-FFF2-40B4-BE49-F238E27FC236}">
              <a16:creationId xmlns:a16="http://schemas.microsoft.com/office/drawing/2014/main" id="{00000000-0008-0000-1F00-000004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73" name="Flèche gauche 1">
          <a:hlinkClick xmlns:r="http://schemas.openxmlformats.org/officeDocument/2006/relationships" r:id="rId2"/>
          <a:extLst>
            <a:ext uri="{FF2B5EF4-FFF2-40B4-BE49-F238E27FC236}">
              <a16:creationId xmlns:a16="http://schemas.microsoft.com/office/drawing/2014/main" id="{00000000-0008-0000-1F00-000005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74" name="Flèche gauche 1">
          <a:hlinkClick xmlns:r="http://schemas.openxmlformats.org/officeDocument/2006/relationships" r:id="rId1"/>
          <a:extLst>
            <a:ext uri="{FF2B5EF4-FFF2-40B4-BE49-F238E27FC236}">
              <a16:creationId xmlns:a16="http://schemas.microsoft.com/office/drawing/2014/main" id="{00000000-0008-0000-1F00-000006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75" name="Flèche gauche 1">
          <a:hlinkClick xmlns:r="http://schemas.openxmlformats.org/officeDocument/2006/relationships" r:id="rId1"/>
          <a:extLst>
            <a:ext uri="{FF2B5EF4-FFF2-40B4-BE49-F238E27FC236}">
              <a16:creationId xmlns:a16="http://schemas.microsoft.com/office/drawing/2014/main" id="{00000000-0008-0000-1F00-000007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76" name="Flèche gauche 1">
          <a:hlinkClick xmlns:r="http://schemas.openxmlformats.org/officeDocument/2006/relationships" r:id="rId1"/>
          <a:extLst>
            <a:ext uri="{FF2B5EF4-FFF2-40B4-BE49-F238E27FC236}">
              <a16:creationId xmlns:a16="http://schemas.microsoft.com/office/drawing/2014/main" id="{00000000-0008-0000-1F00-000008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77" name="Flèche gauche 1">
          <a:hlinkClick xmlns:r="http://schemas.openxmlformats.org/officeDocument/2006/relationships" r:id="rId2"/>
          <a:extLst>
            <a:ext uri="{FF2B5EF4-FFF2-40B4-BE49-F238E27FC236}">
              <a16:creationId xmlns:a16="http://schemas.microsoft.com/office/drawing/2014/main" id="{00000000-0008-0000-1F00-000009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78" name="Flèche gauche 1">
          <a:hlinkClick xmlns:r="http://schemas.openxmlformats.org/officeDocument/2006/relationships" r:id="rId1"/>
          <a:extLst>
            <a:ext uri="{FF2B5EF4-FFF2-40B4-BE49-F238E27FC236}">
              <a16:creationId xmlns:a16="http://schemas.microsoft.com/office/drawing/2014/main" id="{00000000-0008-0000-1F00-00000A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79" name="Flèche gauche 1">
          <a:hlinkClick xmlns:r="http://schemas.openxmlformats.org/officeDocument/2006/relationships" r:id="rId1"/>
          <a:extLst>
            <a:ext uri="{FF2B5EF4-FFF2-40B4-BE49-F238E27FC236}">
              <a16:creationId xmlns:a16="http://schemas.microsoft.com/office/drawing/2014/main" id="{00000000-0008-0000-1F00-00000B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80" name="Flèche gauche 1">
          <a:hlinkClick xmlns:r="http://schemas.openxmlformats.org/officeDocument/2006/relationships" r:id="rId1"/>
          <a:extLst>
            <a:ext uri="{FF2B5EF4-FFF2-40B4-BE49-F238E27FC236}">
              <a16:creationId xmlns:a16="http://schemas.microsoft.com/office/drawing/2014/main" id="{00000000-0008-0000-1F00-00000C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81" name="Flèche gauche 1">
          <a:hlinkClick xmlns:r="http://schemas.openxmlformats.org/officeDocument/2006/relationships" r:id="rId2"/>
          <a:extLst>
            <a:ext uri="{FF2B5EF4-FFF2-40B4-BE49-F238E27FC236}">
              <a16:creationId xmlns:a16="http://schemas.microsoft.com/office/drawing/2014/main" id="{00000000-0008-0000-1F00-00000D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82" name="Flèche gauche 1">
          <a:hlinkClick xmlns:r="http://schemas.openxmlformats.org/officeDocument/2006/relationships" r:id="rId1"/>
          <a:extLst>
            <a:ext uri="{FF2B5EF4-FFF2-40B4-BE49-F238E27FC236}">
              <a16:creationId xmlns:a16="http://schemas.microsoft.com/office/drawing/2014/main" id="{00000000-0008-0000-1F00-00000E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83" name="Flèche gauche 1">
          <a:hlinkClick xmlns:r="http://schemas.openxmlformats.org/officeDocument/2006/relationships" r:id="rId1"/>
          <a:extLst>
            <a:ext uri="{FF2B5EF4-FFF2-40B4-BE49-F238E27FC236}">
              <a16:creationId xmlns:a16="http://schemas.microsoft.com/office/drawing/2014/main" id="{00000000-0008-0000-1F00-00000F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84" name="Flèche gauche 1">
          <a:hlinkClick xmlns:r="http://schemas.openxmlformats.org/officeDocument/2006/relationships" r:id="rId1"/>
          <a:extLst>
            <a:ext uri="{FF2B5EF4-FFF2-40B4-BE49-F238E27FC236}">
              <a16:creationId xmlns:a16="http://schemas.microsoft.com/office/drawing/2014/main" id="{00000000-0008-0000-1F00-000010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85" name="Flèche gauche 1">
          <a:hlinkClick xmlns:r="http://schemas.openxmlformats.org/officeDocument/2006/relationships" r:id="rId2"/>
          <a:extLst>
            <a:ext uri="{FF2B5EF4-FFF2-40B4-BE49-F238E27FC236}">
              <a16:creationId xmlns:a16="http://schemas.microsoft.com/office/drawing/2014/main" id="{00000000-0008-0000-1F00-000011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86" name="Flèche gauche 1">
          <a:hlinkClick xmlns:r="http://schemas.openxmlformats.org/officeDocument/2006/relationships" r:id="rId1"/>
          <a:extLst>
            <a:ext uri="{FF2B5EF4-FFF2-40B4-BE49-F238E27FC236}">
              <a16:creationId xmlns:a16="http://schemas.microsoft.com/office/drawing/2014/main" id="{00000000-0008-0000-1F00-000012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87" name="Flèche gauche 1">
          <a:hlinkClick xmlns:r="http://schemas.openxmlformats.org/officeDocument/2006/relationships" r:id="rId1"/>
          <a:extLst>
            <a:ext uri="{FF2B5EF4-FFF2-40B4-BE49-F238E27FC236}">
              <a16:creationId xmlns:a16="http://schemas.microsoft.com/office/drawing/2014/main" id="{00000000-0008-0000-1F00-000013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88" name="Flèche gauche 1">
          <a:hlinkClick xmlns:r="http://schemas.openxmlformats.org/officeDocument/2006/relationships" r:id="rId1"/>
          <a:extLst>
            <a:ext uri="{FF2B5EF4-FFF2-40B4-BE49-F238E27FC236}">
              <a16:creationId xmlns:a16="http://schemas.microsoft.com/office/drawing/2014/main" id="{00000000-0008-0000-1F00-000014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89" name="Flèche gauche 1">
          <a:hlinkClick xmlns:r="http://schemas.openxmlformats.org/officeDocument/2006/relationships" r:id="rId2"/>
          <a:extLst>
            <a:ext uri="{FF2B5EF4-FFF2-40B4-BE49-F238E27FC236}">
              <a16:creationId xmlns:a16="http://schemas.microsoft.com/office/drawing/2014/main" id="{00000000-0008-0000-1F00-000015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90" name="Flèche gauche 1">
          <a:hlinkClick xmlns:r="http://schemas.openxmlformats.org/officeDocument/2006/relationships" r:id="rId1"/>
          <a:extLst>
            <a:ext uri="{FF2B5EF4-FFF2-40B4-BE49-F238E27FC236}">
              <a16:creationId xmlns:a16="http://schemas.microsoft.com/office/drawing/2014/main" id="{00000000-0008-0000-1F00-000016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91" name="Flèche gauche 1">
          <a:hlinkClick xmlns:r="http://schemas.openxmlformats.org/officeDocument/2006/relationships" r:id="rId1"/>
          <a:extLst>
            <a:ext uri="{FF2B5EF4-FFF2-40B4-BE49-F238E27FC236}">
              <a16:creationId xmlns:a16="http://schemas.microsoft.com/office/drawing/2014/main" id="{00000000-0008-0000-1F00-000017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92" name="Flèche gauche 1">
          <a:hlinkClick xmlns:r="http://schemas.openxmlformats.org/officeDocument/2006/relationships" r:id="rId1"/>
          <a:extLst>
            <a:ext uri="{FF2B5EF4-FFF2-40B4-BE49-F238E27FC236}">
              <a16:creationId xmlns:a16="http://schemas.microsoft.com/office/drawing/2014/main" id="{00000000-0008-0000-1F00-000018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93" name="Flèche gauche 1">
          <a:hlinkClick xmlns:r="http://schemas.openxmlformats.org/officeDocument/2006/relationships" r:id="rId2"/>
          <a:extLst>
            <a:ext uri="{FF2B5EF4-FFF2-40B4-BE49-F238E27FC236}">
              <a16:creationId xmlns:a16="http://schemas.microsoft.com/office/drawing/2014/main" id="{00000000-0008-0000-1F00-000019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94" name="Flèche gauche 1">
          <a:hlinkClick xmlns:r="http://schemas.openxmlformats.org/officeDocument/2006/relationships" r:id="rId1"/>
          <a:extLst>
            <a:ext uri="{FF2B5EF4-FFF2-40B4-BE49-F238E27FC236}">
              <a16:creationId xmlns:a16="http://schemas.microsoft.com/office/drawing/2014/main" id="{00000000-0008-0000-1F00-00001A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95" name="Flèche gauche 1">
          <a:hlinkClick xmlns:r="http://schemas.openxmlformats.org/officeDocument/2006/relationships" r:id="rId1"/>
          <a:extLst>
            <a:ext uri="{FF2B5EF4-FFF2-40B4-BE49-F238E27FC236}">
              <a16:creationId xmlns:a16="http://schemas.microsoft.com/office/drawing/2014/main" id="{00000000-0008-0000-1F00-00001B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96" name="Flèche gauche 1">
          <a:hlinkClick xmlns:r="http://schemas.openxmlformats.org/officeDocument/2006/relationships" r:id="rId1"/>
          <a:extLst>
            <a:ext uri="{FF2B5EF4-FFF2-40B4-BE49-F238E27FC236}">
              <a16:creationId xmlns:a16="http://schemas.microsoft.com/office/drawing/2014/main" id="{00000000-0008-0000-1F00-00001C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97" name="Flèche gauche 1">
          <a:hlinkClick xmlns:r="http://schemas.openxmlformats.org/officeDocument/2006/relationships" r:id="rId2"/>
          <a:extLst>
            <a:ext uri="{FF2B5EF4-FFF2-40B4-BE49-F238E27FC236}">
              <a16:creationId xmlns:a16="http://schemas.microsoft.com/office/drawing/2014/main" id="{00000000-0008-0000-1F00-00001D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98" name="Flèche gauche 1">
          <a:hlinkClick xmlns:r="http://schemas.openxmlformats.org/officeDocument/2006/relationships" r:id="rId1"/>
          <a:extLst>
            <a:ext uri="{FF2B5EF4-FFF2-40B4-BE49-F238E27FC236}">
              <a16:creationId xmlns:a16="http://schemas.microsoft.com/office/drawing/2014/main" id="{00000000-0008-0000-1F00-00001E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99" name="Flèche gauche 1">
          <a:hlinkClick xmlns:r="http://schemas.openxmlformats.org/officeDocument/2006/relationships" r:id="rId1"/>
          <a:extLst>
            <a:ext uri="{FF2B5EF4-FFF2-40B4-BE49-F238E27FC236}">
              <a16:creationId xmlns:a16="http://schemas.microsoft.com/office/drawing/2014/main" id="{00000000-0008-0000-1F00-00001F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00" name="Flèche gauche 1">
          <a:hlinkClick xmlns:r="http://schemas.openxmlformats.org/officeDocument/2006/relationships" r:id="rId1"/>
          <a:extLst>
            <a:ext uri="{FF2B5EF4-FFF2-40B4-BE49-F238E27FC236}">
              <a16:creationId xmlns:a16="http://schemas.microsoft.com/office/drawing/2014/main" id="{00000000-0008-0000-1F00-000020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01" name="Flèche gauche 1">
          <a:hlinkClick xmlns:r="http://schemas.openxmlformats.org/officeDocument/2006/relationships" r:id="rId2"/>
          <a:extLst>
            <a:ext uri="{FF2B5EF4-FFF2-40B4-BE49-F238E27FC236}">
              <a16:creationId xmlns:a16="http://schemas.microsoft.com/office/drawing/2014/main" id="{00000000-0008-0000-1F00-000021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02" name="Flèche gauche 1">
          <a:hlinkClick xmlns:r="http://schemas.openxmlformats.org/officeDocument/2006/relationships" r:id="rId1"/>
          <a:extLst>
            <a:ext uri="{FF2B5EF4-FFF2-40B4-BE49-F238E27FC236}">
              <a16:creationId xmlns:a16="http://schemas.microsoft.com/office/drawing/2014/main" id="{00000000-0008-0000-1F00-000022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03" name="Flèche gauche 1">
          <a:hlinkClick xmlns:r="http://schemas.openxmlformats.org/officeDocument/2006/relationships" r:id="rId1"/>
          <a:extLst>
            <a:ext uri="{FF2B5EF4-FFF2-40B4-BE49-F238E27FC236}">
              <a16:creationId xmlns:a16="http://schemas.microsoft.com/office/drawing/2014/main" id="{00000000-0008-0000-1F00-000023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04" name="Flèche gauche 1">
          <a:hlinkClick xmlns:r="http://schemas.openxmlformats.org/officeDocument/2006/relationships" r:id="rId1"/>
          <a:extLst>
            <a:ext uri="{FF2B5EF4-FFF2-40B4-BE49-F238E27FC236}">
              <a16:creationId xmlns:a16="http://schemas.microsoft.com/office/drawing/2014/main" id="{00000000-0008-0000-1F00-000024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05" name="Flèche gauche 1">
          <a:hlinkClick xmlns:r="http://schemas.openxmlformats.org/officeDocument/2006/relationships" r:id="rId2"/>
          <a:extLst>
            <a:ext uri="{FF2B5EF4-FFF2-40B4-BE49-F238E27FC236}">
              <a16:creationId xmlns:a16="http://schemas.microsoft.com/office/drawing/2014/main" id="{00000000-0008-0000-1F00-000025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06" name="Flèche gauche 1">
          <a:hlinkClick xmlns:r="http://schemas.openxmlformats.org/officeDocument/2006/relationships" r:id="rId1"/>
          <a:extLst>
            <a:ext uri="{FF2B5EF4-FFF2-40B4-BE49-F238E27FC236}">
              <a16:creationId xmlns:a16="http://schemas.microsoft.com/office/drawing/2014/main" id="{00000000-0008-0000-1F00-000026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07" name="Flèche gauche 1">
          <a:hlinkClick xmlns:r="http://schemas.openxmlformats.org/officeDocument/2006/relationships" r:id="rId1"/>
          <a:extLst>
            <a:ext uri="{FF2B5EF4-FFF2-40B4-BE49-F238E27FC236}">
              <a16:creationId xmlns:a16="http://schemas.microsoft.com/office/drawing/2014/main" id="{00000000-0008-0000-1F00-000027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08" name="Flèche gauche 1">
          <a:hlinkClick xmlns:r="http://schemas.openxmlformats.org/officeDocument/2006/relationships" r:id="rId1"/>
          <a:extLst>
            <a:ext uri="{FF2B5EF4-FFF2-40B4-BE49-F238E27FC236}">
              <a16:creationId xmlns:a16="http://schemas.microsoft.com/office/drawing/2014/main" id="{00000000-0008-0000-1F00-000028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09" name="Flèche gauche 1">
          <a:hlinkClick xmlns:r="http://schemas.openxmlformats.org/officeDocument/2006/relationships" r:id="rId2"/>
          <a:extLst>
            <a:ext uri="{FF2B5EF4-FFF2-40B4-BE49-F238E27FC236}">
              <a16:creationId xmlns:a16="http://schemas.microsoft.com/office/drawing/2014/main" id="{00000000-0008-0000-1F00-000029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10" name="Flèche gauche 1">
          <a:hlinkClick xmlns:r="http://schemas.openxmlformats.org/officeDocument/2006/relationships" r:id="rId1"/>
          <a:extLst>
            <a:ext uri="{FF2B5EF4-FFF2-40B4-BE49-F238E27FC236}">
              <a16:creationId xmlns:a16="http://schemas.microsoft.com/office/drawing/2014/main" id="{00000000-0008-0000-1F00-00002A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11" name="Flèche gauche 1">
          <a:hlinkClick xmlns:r="http://schemas.openxmlformats.org/officeDocument/2006/relationships" r:id="rId1"/>
          <a:extLst>
            <a:ext uri="{FF2B5EF4-FFF2-40B4-BE49-F238E27FC236}">
              <a16:creationId xmlns:a16="http://schemas.microsoft.com/office/drawing/2014/main" id="{00000000-0008-0000-1F00-00002B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12" name="Flèche gauche 1">
          <a:hlinkClick xmlns:r="http://schemas.openxmlformats.org/officeDocument/2006/relationships" r:id="rId1"/>
          <a:extLst>
            <a:ext uri="{FF2B5EF4-FFF2-40B4-BE49-F238E27FC236}">
              <a16:creationId xmlns:a16="http://schemas.microsoft.com/office/drawing/2014/main" id="{00000000-0008-0000-1F00-00002C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13" name="Flèche gauche 1">
          <a:hlinkClick xmlns:r="http://schemas.openxmlformats.org/officeDocument/2006/relationships" r:id="rId2"/>
          <a:extLst>
            <a:ext uri="{FF2B5EF4-FFF2-40B4-BE49-F238E27FC236}">
              <a16:creationId xmlns:a16="http://schemas.microsoft.com/office/drawing/2014/main" id="{00000000-0008-0000-1F00-00002D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14" name="Flèche gauche 1">
          <a:hlinkClick xmlns:r="http://schemas.openxmlformats.org/officeDocument/2006/relationships" r:id="rId1"/>
          <a:extLst>
            <a:ext uri="{FF2B5EF4-FFF2-40B4-BE49-F238E27FC236}">
              <a16:creationId xmlns:a16="http://schemas.microsoft.com/office/drawing/2014/main" id="{00000000-0008-0000-1F00-00002E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15" name="Flèche gauche 1">
          <a:hlinkClick xmlns:r="http://schemas.openxmlformats.org/officeDocument/2006/relationships" r:id="rId1"/>
          <a:extLst>
            <a:ext uri="{FF2B5EF4-FFF2-40B4-BE49-F238E27FC236}">
              <a16:creationId xmlns:a16="http://schemas.microsoft.com/office/drawing/2014/main" id="{00000000-0008-0000-1F00-00002F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16" name="Flèche gauche 1">
          <a:hlinkClick xmlns:r="http://schemas.openxmlformats.org/officeDocument/2006/relationships" r:id="rId1"/>
          <a:extLst>
            <a:ext uri="{FF2B5EF4-FFF2-40B4-BE49-F238E27FC236}">
              <a16:creationId xmlns:a16="http://schemas.microsoft.com/office/drawing/2014/main" id="{00000000-0008-0000-1F00-000030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17" name="Flèche gauche 1">
          <a:hlinkClick xmlns:r="http://schemas.openxmlformats.org/officeDocument/2006/relationships" r:id="rId2"/>
          <a:extLst>
            <a:ext uri="{FF2B5EF4-FFF2-40B4-BE49-F238E27FC236}">
              <a16:creationId xmlns:a16="http://schemas.microsoft.com/office/drawing/2014/main" id="{00000000-0008-0000-1F00-000031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18" name="Flèche gauche 1">
          <a:hlinkClick xmlns:r="http://schemas.openxmlformats.org/officeDocument/2006/relationships" r:id="rId1"/>
          <a:extLst>
            <a:ext uri="{FF2B5EF4-FFF2-40B4-BE49-F238E27FC236}">
              <a16:creationId xmlns:a16="http://schemas.microsoft.com/office/drawing/2014/main" id="{00000000-0008-0000-1F00-000032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19" name="Flèche gauche 1">
          <a:hlinkClick xmlns:r="http://schemas.openxmlformats.org/officeDocument/2006/relationships" r:id="rId1"/>
          <a:extLst>
            <a:ext uri="{FF2B5EF4-FFF2-40B4-BE49-F238E27FC236}">
              <a16:creationId xmlns:a16="http://schemas.microsoft.com/office/drawing/2014/main" id="{00000000-0008-0000-1F00-000033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20" name="Flèche gauche 1">
          <a:hlinkClick xmlns:r="http://schemas.openxmlformats.org/officeDocument/2006/relationships" r:id="rId1"/>
          <a:extLst>
            <a:ext uri="{FF2B5EF4-FFF2-40B4-BE49-F238E27FC236}">
              <a16:creationId xmlns:a16="http://schemas.microsoft.com/office/drawing/2014/main" id="{00000000-0008-0000-1F00-000034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21" name="Flèche gauche 1">
          <a:hlinkClick xmlns:r="http://schemas.openxmlformats.org/officeDocument/2006/relationships" r:id="rId2"/>
          <a:extLst>
            <a:ext uri="{FF2B5EF4-FFF2-40B4-BE49-F238E27FC236}">
              <a16:creationId xmlns:a16="http://schemas.microsoft.com/office/drawing/2014/main" id="{00000000-0008-0000-1F00-000035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22" name="Flèche gauche 1">
          <a:hlinkClick xmlns:r="http://schemas.openxmlformats.org/officeDocument/2006/relationships" r:id="rId1"/>
          <a:extLst>
            <a:ext uri="{FF2B5EF4-FFF2-40B4-BE49-F238E27FC236}">
              <a16:creationId xmlns:a16="http://schemas.microsoft.com/office/drawing/2014/main" id="{00000000-0008-0000-1F00-000036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23" name="Flèche gauche 1">
          <a:hlinkClick xmlns:r="http://schemas.openxmlformats.org/officeDocument/2006/relationships" r:id="rId1"/>
          <a:extLst>
            <a:ext uri="{FF2B5EF4-FFF2-40B4-BE49-F238E27FC236}">
              <a16:creationId xmlns:a16="http://schemas.microsoft.com/office/drawing/2014/main" id="{00000000-0008-0000-1F00-000037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24" name="Flèche gauche 1">
          <a:hlinkClick xmlns:r="http://schemas.openxmlformats.org/officeDocument/2006/relationships" r:id="rId1"/>
          <a:extLst>
            <a:ext uri="{FF2B5EF4-FFF2-40B4-BE49-F238E27FC236}">
              <a16:creationId xmlns:a16="http://schemas.microsoft.com/office/drawing/2014/main" id="{00000000-0008-0000-1F00-000038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25" name="Flèche gauche 1">
          <a:hlinkClick xmlns:r="http://schemas.openxmlformats.org/officeDocument/2006/relationships" r:id="rId2"/>
          <a:extLst>
            <a:ext uri="{FF2B5EF4-FFF2-40B4-BE49-F238E27FC236}">
              <a16:creationId xmlns:a16="http://schemas.microsoft.com/office/drawing/2014/main" id="{00000000-0008-0000-1F00-000039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26" name="Flèche gauche 1">
          <a:hlinkClick xmlns:r="http://schemas.openxmlformats.org/officeDocument/2006/relationships" r:id="rId1"/>
          <a:extLst>
            <a:ext uri="{FF2B5EF4-FFF2-40B4-BE49-F238E27FC236}">
              <a16:creationId xmlns:a16="http://schemas.microsoft.com/office/drawing/2014/main" id="{00000000-0008-0000-1F00-00003A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27" name="Flèche gauche 1">
          <a:hlinkClick xmlns:r="http://schemas.openxmlformats.org/officeDocument/2006/relationships" r:id="rId1"/>
          <a:extLst>
            <a:ext uri="{FF2B5EF4-FFF2-40B4-BE49-F238E27FC236}">
              <a16:creationId xmlns:a16="http://schemas.microsoft.com/office/drawing/2014/main" id="{00000000-0008-0000-1F00-00003B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28" name="Flèche gauche 1">
          <a:hlinkClick xmlns:r="http://schemas.openxmlformats.org/officeDocument/2006/relationships" r:id="rId1"/>
          <a:extLst>
            <a:ext uri="{FF2B5EF4-FFF2-40B4-BE49-F238E27FC236}">
              <a16:creationId xmlns:a16="http://schemas.microsoft.com/office/drawing/2014/main" id="{00000000-0008-0000-1F00-00003C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29" name="Flèche gauche 1">
          <a:hlinkClick xmlns:r="http://schemas.openxmlformats.org/officeDocument/2006/relationships" r:id="rId2"/>
          <a:extLst>
            <a:ext uri="{FF2B5EF4-FFF2-40B4-BE49-F238E27FC236}">
              <a16:creationId xmlns:a16="http://schemas.microsoft.com/office/drawing/2014/main" id="{00000000-0008-0000-1F00-00003D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30" name="Flèche gauche 1">
          <a:hlinkClick xmlns:r="http://schemas.openxmlformats.org/officeDocument/2006/relationships" r:id="rId1"/>
          <a:extLst>
            <a:ext uri="{FF2B5EF4-FFF2-40B4-BE49-F238E27FC236}">
              <a16:creationId xmlns:a16="http://schemas.microsoft.com/office/drawing/2014/main" id="{00000000-0008-0000-1F00-00003E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31" name="Flèche gauche 1">
          <a:hlinkClick xmlns:r="http://schemas.openxmlformats.org/officeDocument/2006/relationships" r:id="rId1"/>
          <a:extLst>
            <a:ext uri="{FF2B5EF4-FFF2-40B4-BE49-F238E27FC236}">
              <a16:creationId xmlns:a16="http://schemas.microsoft.com/office/drawing/2014/main" id="{00000000-0008-0000-1F00-00003F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32" name="Flèche gauche 1">
          <a:hlinkClick xmlns:r="http://schemas.openxmlformats.org/officeDocument/2006/relationships" r:id="rId1"/>
          <a:extLst>
            <a:ext uri="{FF2B5EF4-FFF2-40B4-BE49-F238E27FC236}">
              <a16:creationId xmlns:a16="http://schemas.microsoft.com/office/drawing/2014/main" id="{00000000-0008-0000-1F00-000040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33" name="Flèche gauche 1">
          <a:hlinkClick xmlns:r="http://schemas.openxmlformats.org/officeDocument/2006/relationships" r:id="rId2"/>
          <a:extLst>
            <a:ext uri="{FF2B5EF4-FFF2-40B4-BE49-F238E27FC236}">
              <a16:creationId xmlns:a16="http://schemas.microsoft.com/office/drawing/2014/main" id="{00000000-0008-0000-1F00-000041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34" name="Flèche gauche 1">
          <a:hlinkClick xmlns:r="http://schemas.openxmlformats.org/officeDocument/2006/relationships" r:id="rId1"/>
          <a:extLst>
            <a:ext uri="{FF2B5EF4-FFF2-40B4-BE49-F238E27FC236}">
              <a16:creationId xmlns:a16="http://schemas.microsoft.com/office/drawing/2014/main" id="{00000000-0008-0000-1F00-000042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35" name="Flèche gauche 1">
          <a:hlinkClick xmlns:r="http://schemas.openxmlformats.org/officeDocument/2006/relationships" r:id="rId1"/>
          <a:extLst>
            <a:ext uri="{FF2B5EF4-FFF2-40B4-BE49-F238E27FC236}">
              <a16:creationId xmlns:a16="http://schemas.microsoft.com/office/drawing/2014/main" id="{00000000-0008-0000-1F00-000043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36" name="Flèche gauche 1">
          <a:hlinkClick xmlns:r="http://schemas.openxmlformats.org/officeDocument/2006/relationships" r:id="rId1"/>
          <a:extLst>
            <a:ext uri="{FF2B5EF4-FFF2-40B4-BE49-F238E27FC236}">
              <a16:creationId xmlns:a16="http://schemas.microsoft.com/office/drawing/2014/main" id="{00000000-0008-0000-1F00-000044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37" name="Flèche gauche 1">
          <a:hlinkClick xmlns:r="http://schemas.openxmlformats.org/officeDocument/2006/relationships" r:id="rId2"/>
          <a:extLst>
            <a:ext uri="{FF2B5EF4-FFF2-40B4-BE49-F238E27FC236}">
              <a16:creationId xmlns:a16="http://schemas.microsoft.com/office/drawing/2014/main" id="{00000000-0008-0000-1F00-000045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38" name="Flèche gauche 1">
          <a:hlinkClick xmlns:r="http://schemas.openxmlformats.org/officeDocument/2006/relationships" r:id="rId1"/>
          <a:extLst>
            <a:ext uri="{FF2B5EF4-FFF2-40B4-BE49-F238E27FC236}">
              <a16:creationId xmlns:a16="http://schemas.microsoft.com/office/drawing/2014/main" id="{00000000-0008-0000-1F00-000046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39" name="Flèche gauche 1">
          <a:hlinkClick xmlns:r="http://schemas.openxmlformats.org/officeDocument/2006/relationships" r:id="rId1"/>
          <a:extLst>
            <a:ext uri="{FF2B5EF4-FFF2-40B4-BE49-F238E27FC236}">
              <a16:creationId xmlns:a16="http://schemas.microsoft.com/office/drawing/2014/main" id="{00000000-0008-0000-1F00-000047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40" name="Flèche gauche 1">
          <a:hlinkClick xmlns:r="http://schemas.openxmlformats.org/officeDocument/2006/relationships" r:id="rId1"/>
          <a:extLst>
            <a:ext uri="{FF2B5EF4-FFF2-40B4-BE49-F238E27FC236}">
              <a16:creationId xmlns:a16="http://schemas.microsoft.com/office/drawing/2014/main" id="{00000000-0008-0000-1F00-000048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41" name="Flèche gauche 1">
          <a:hlinkClick xmlns:r="http://schemas.openxmlformats.org/officeDocument/2006/relationships" r:id="rId2"/>
          <a:extLst>
            <a:ext uri="{FF2B5EF4-FFF2-40B4-BE49-F238E27FC236}">
              <a16:creationId xmlns:a16="http://schemas.microsoft.com/office/drawing/2014/main" id="{00000000-0008-0000-1F00-000049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42" name="Flèche gauche 1">
          <a:hlinkClick xmlns:r="http://schemas.openxmlformats.org/officeDocument/2006/relationships" r:id="rId1"/>
          <a:extLst>
            <a:ext uri="{FF2B5EF4-FFF2-40B4-BE49-F238E27FC236}">
              <a16:creationId xmlns:a16="http://schemas.microsoft.com/office/drawing/2014/main" id="{00000000-0008-0000-1F00-00004A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43" name="Flèche gauche 1">
          <a:hlinkClick xmlns:r="http://schemas.openxmlformats.org/officeDocument/2006/relationships" r:id="rId1"/>
          <a:extLst>
            <a:ext uri="{FF2B5EF4-FFF2-40B4-BE49-F238E27FC236}">
              <a16:creationId xmlns:a16="http://schemas.microsoft.com/office/drawing/2014/main" id="{00000000-0008-0000-1F00-00004B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44" name="Flèche gauche 1">
          <a:hlinkClick xmlns:r="http://schemas.openxmlformats.org/officeDocument/2006/relationships" r:id="rId1"/>
          <a:extLst>
            <a:ext uri="{FF2B5EF4-FFF2-40B4-BE49-F238E27FC236}">
              <a16:creationId xmlns:a16="http://schemas.microsoft.com/office/drawing/2014/main" id="{00000000-0008-0000-1F00-00004C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45" name="Flèche gauche 1">
          <a:hlinkClick xmlns:r="http://schemas.openxmlformats.org/officeDocument/2006/relationships" r:id="rId2"/>
          <a:extLst>
            <a:ext uri="{FF2B5EF4-FFF2-40B4-BE49-F238E27FC236}">
              <a16:creationId xmlns:a16="http://schemas.microsoft.com/office/drawing/2014/main" id="{00000000-0008-0000-1F00-00004D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46" name="Flèche gauche 1">
          <a:hlinkClick xmlns:r="http://schemas.openxmlformats.org/officeDocument/2006/relationships" r:id="rId1"/>
          <a:extLst>
            <a:ext uri="{FF2B5EF4-FFF2-40B4-BE49-F238E27FC236}">
              <a16:creationId xmlns:a16="http://schemas.microsoft.com/office/drawing/2014/main" id="{00000000-0008-0000-1F00-00004E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47" name="Flèche gauche 1">
          <a:hlinkClick xmlns:r="http://schemas.openxmlformats.org/officeDocument/2006/relationships" r:id="rId1"/>
          <a:extLst>
            <a:ext uri="{FF2B5EF4-FFF2-40B4-BE49-F238E27FC236}">
              <a16:creationId xmlns:a16="http://schemas.microsoft.com/office/drawing/2014/main" id="{00000000-0008-0000-1F00-00004F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48" name="Flèche gauche 1">
          <a:hlinkClick xmlns:r="http://schemas.openxmlformats.org/officeDocument/2006/relationships" r:id="rId1"/>
          <a:extLst>
            <a:ext uri="{FF2B5EF4-FFF2-40B4-BE49-F238E27FC236}">
              <a16:creationId xmlns:a16="http://schemas.microsoft.com/office/drawing/2014/main" id="{00000000-0008-0000-1F00-000050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49" name="Flèche gauche 1">
          <a:hlinkClick xmlns:r="http://schemas.openxmlformats.org/officeDocument/2006/relationships" r:id="rId2"/>
          <a:extLst>
            <a:ext uri="{FF2B5EF4-FFF2-40B4-BE49-F238E27FC236}">
              <a16:creationId xmlns:a16="http://schemas.microsoft.com/office/drawing/2014/main" id="{00000000-0008-0000-1F00-000051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50" name="Flèche gauche 1">
          <a:hlinkClick xmlns:r="http://schemas.openxmlformats.org/officeDocument/2006/relationships" r:id="rId1"/>
          <a:extLst>
            <a:ext uri="{FF2B5EF4-FFF2-40B4-BE49-F238E27FC236}">
              <a16:creationId xmlns:a16="http://schemas.microsoft.com/office/drawing/2014/main" id="{00000000-0008-0000-1F00-000052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51" name="Flèche gauche 1">
          <a:hlinkClick xmlns:r="http://schemas.openxmlformats.org/officeDocument/2006/relationships" r:id="rId1"/>
          <a:extLst>
            <a:ext uri="{FF2B5EF4-FFF2-40B4-BE49-F238E27FC236}">
              <a16:creationId xmlns:a16="http://schemas.microsoft.com/office/drawing/2014/main" id="{00000000-0008-0000-1F00-000053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52" name="Flèche gauche 1">
          <a:hlinkClick xmlns:r="http://schemas.openxmlformats.org/officeDocument/2006/relationships" r:id="rId1"/>
          <a:extLst>
            <a:ext uri="{FF2B5EF4-FFF2-40B4-BE49-F238E27FC236}">
              <a16:creationId xmlns:a16="http://schemas.microsoft.com/office/drawing/2014/main" id="{00000000-0008-0000-1F00-000054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53" name="Flèche gauche 1">
          <a:hlinkClick xmlns:r="http://schemas.openxmlformats.org/officeDocument/2006/relationships" r:id="rId2"/>
          <a:extLst>
            <a:ext uri="{FF2B5EF4-FFF2-40B4-BE49-F238E27FC236}">
              <a16:creationId xmlns:a16="http://schemas.microsoft.com/office/drawing/2014/main" id="{00000000-0008-0000-1F00-000055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54" name="Flèche gauche 1">
          <a:hlinkClick xmlns:r="http://schemas.openxmlformats.org/officeDocument/2006/relationships" r:id="rId1"/>
          <a:extLst>
            <a:ext uri="{FF2B5EF4-FFF2-40B4-BE49-F238E27FC236}">
              <a16:creationId xmlns:a16="http://schemas.microsoft.com/office/drawing/2014/main" id="{00000000-0008-0000-1F00-000056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55" name="Flèche gauche 1">
          <a:hlinkClick xmlns:r="http://schemas.openxmlformats.org/officeDocument/2006/relationships" r:id="rId1"/>
          <a:extLst>
            <a:ext uri="{FF2B5EF4-FFF2-40B4-BE49-F238E27FC236}">
              <a16:creationId xmlns:a16="http://schemas.microsoft.com/office/drawing/2014/main" id="{00000000-0008-0000-1F00-000057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56" name="Flèche gauche 1">
          <a:hlinkClick xmlns:r="http://schemas.openxmlformats.org/officeDocument/2006/relationships" r:id="rId1"/>
          <a:extLst>
            <a:ext uri="{FF2B5EF4-FFF2-40B4-BE49-F238E27FC236}">
              <a16:creationId xmlns:a16="http://schemas.microsoft.com/office/drawing/2014/main" id="{00000000-0008-0000-1F00-000058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57" name="Flèche gauche 1">
          <a:hlinkClick xmlns:r="http://schemas.openxmlformats.org/officeDocument/2006/relationships" r:id="rId2"/>
          <a:extLst>
            <a:ext uri="{FF2B5EF4-FFF2-40B4-BE49-F238E27FC236}">
              <a16:creationId xmlns:a16="http://schemas.microsoft.com/office/drawing/2014/main" id="{00000000-0008-0000-1F00-000059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58" name="Flèche gauche 1">
          <a:hlinkClick xmlns:r="http://schemas.openxmlformats.org/officeDocument/2006/relationships" r:id="rId1"/>
          <a:extLst>
            <a:ext uri="{FF2B5EF4-FFF2-40B4-BE49-F238E27FC236}">
              <a16:creationId xmlns:a16="http://schemas.microsoft.com/office/drawing/2014/main" id="{00000000-0008-0000-1F00-00005A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59" name="Flèche gauche 1">
          <a:hlinkClick xmlns:r="http://schemas.openxmlformats.org/officeDocument/2006/relationships" r:id="rId1"/>
          <a:extLst>
            <a:ext uri="{FF2B5EF4-FFF2-40B4-BE49-F238E27FC236}">
              <a16:creationId xmlns:a16="http://schemas.microsoft.com/office/drawing/2014/main" id="{00000000-0008-0000-1F00-00005B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60" name="Flèche gauche 1">
          <a:hlinkClick xmlns:r="http://schemas.openxmlformats.org/officeDocument/2006/relationships" r:id="rId1"/>
          <a:extLst>
            <a:ext uri="{FF2B5EF4-FFF2-40B4-BE49-F238E27FC236}">
              <a16:creationId xmlns:a16="http://schemas.microsoft.com/office/drawing/2014/main" id="{00000000-0008-0000-1F00-00005C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61" name="Flèche gauche 1">
          <a:hlinkClick xmlns:r="http://schemas.openxmlformats.org/officeDocument/2006/relationships" r:id="rId2"/>
          <a:extLst>
            <a:ext uri="{FF2B5EF4-FFF2-40B4-BE49-F238E27FC236}">
              <a16:creationId xmlns:a16="http://schemas.microsoft.com/office/drawing/2014/main" id="{00000000-0008-0000-1F00-00005D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62" name="Flèche gauche 1">
          <a:hlinkClick xmlns:r="http://schemas.openxmlformats.org/officeDocument/2006/relationships" r:id="rId1"/>
          <a:extLst>
            <a:ext uri="{FF2B5EF4-FFF2-40B4-BE49-F238E27FC236}">
              <a16:creationId xmlns:a16="http://schemas.microsoft.com/office/drawing/2014/main" id="{00000000-0008-0000-1F00-00005E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63" name="Flèche gauche 1">
          <a:hlinkClick xmlns:r="http://schemas.openxmlformats.org/officeDocument/2006/relationships" r:id="rId1"/>
          <a:extLst>
            <a:ext uri="{FF2B5EF4-FFF2-40B4-BE49-F238E27FC236}">
              <a16:creationId xmlns:a16="http://schemas.microsoft.com/office/drawing/2014/main" id="{00000000-0008-0000-1F00-00005F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64" name="Flèche gauche 1">
          <a:hlinkClick xmlns:r="http://schemas.openxmlformats.org/officeDocument/2006/relationships" r:id="rId1"/>
          <a:extLst>
            <a:ext uri="{FF2B5EF4-FFF2-40B4-BE49-F238E27FC236}">
              <a16:creationId xmlns:a16="http://schemas.microsoft.com/office/drawing/2014/main" id="{00000000-0008-0000-1F00-000060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65" name="Flèche gauche 1">
          <a:hlinkClick xmlns:r="http://schemas.openxmlformats.org/officeDocument/2006/relationships" r:id="rId2"/>
          <a:extLst>
            <a:ext uri="{FF2B5EF4-FFF2-40B4-BE49-F238E27FC236}">
              <a16:creationId xmlns:a16="http://schemas.microsoft.com/office/drawing/2014/main" id="{00000000-0008-0000-1F00-000061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66" name="Flèche gauche 1">
          <a:hlinkClick xmlns:r="http://schemas.openxmlformats.org/officeDocument/2006/relationships" r:id="rId1"/>
          <a:extLst>
            <a:ext uri="{FF2B5EF4-FFF2-40B4-BE49-F238E27FC236}">
              <a16:creationId xmlns:a16="http://schemas.microsoft.com/office/drawing/2014/main" id="{00000000-0008-0000-1F00-000062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67" name="Flèche gauche 1">
          <a:hlinkClick xmlns:r="http://schemas.openxmlformats.org/officeDocument/2006/relationships" r:id="rId1"/>
          <a:extLst>
            <a:ext uri="{FF2B5EF4-FFF2-40B4-BE49-F238E27FC236}">
              <a16:creationId xmlns:a16="http://schemas.microsoft.com/office/drawing/2014/main" id="{00000000-0008-0000-1F00-000063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68" name="Flèche gauche 1">
          <a:hlinkClick xmlns:r="http://schemas.openxmlformats.org/officeDocument/2006/relationships" r:id="rId1"/>
          <a:extLst>
            <a:ext uri="{FF2B5EF4-FFF2-40B4-BE49-F238E27FC236}">
              <a16:creationId xmlns:a16="http://schemas.microsoft.com/office/drawing/2014/main" id="{00000000-0008-0000-1F00-000064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69" name="Flèche gauche 1">
          <a:hlinkClick xmlns:r="http://schemas.openxmlformats.org/officeDocument/2006/relationships" r:id="rId2"/>
          <a:extLst>
            <a:ext uri="{FF2B5EF4-FFF2-40B4-BE49-F238E27FC236}">
              <a16:creationId xmlns:a16="http://schemas.microsoft.com/office/drawing/2014/main" id="{00000000-0008-0000-1F00-000065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70" name="Flèche gauche 1">
          <a:hlinkClick xmlns:r="http://schemas.openxmlformats.org/officeDocument/2006/relationships" r:id="rId1"/>
          <a:extLst>
            <a:ext uri="{FF2B5EF4-FFF2-40B4-BE49-F238E27FC236}">
              <a16:creationId xmlns:a16="http://schemas.microsoft.com/office/drawing/2014/main" id="{00000000-0008-0000-1F00-000066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71" name="Flèche gauche 1">
          <a:hlinkClick xmlns:r="http://schemas.openxmlformats.org/officeDocument/2006/relationships" r:id="rId1"/>
          <a:extLst>
            <a:ext uri="{FF2B5EF4-FFF2-40B4-BE49-F238E27FC236}">
              <a16:creationId xmlns:a16="http://schemas.microsoft.com/office/drawing/2014/main" id="{00000000-0008-0000-1F00-000067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72" name="Flèche gauche 1">
          <a:hlinkClick xmlns:r="http://schemas.openxmlformats.org/officeDocument/2006/relationships" r:id="rId1"/>
          <a:extLst>
            <a:ext uri="{FF2B5EF4-FFF2-40B4-BE49-F238E27FC236}">
              <a16:creationId xmlns:a16="http://schemas.microsoft.com/office/drawing/2014/main" id="{00000000-0008-0000-1F00-000068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73" name="Flèche gauche 1">
          <a:hlinkClick xmlns:r="http://schemas.openxmlformats.org/officeDocument/2006/relationships" r:id="rId2"/>
          <a:extLst>
            <a:ext uri="{FF2B5EF4-FFF2-40B4-BE49-F238E27FC236}">
              <a16:creationId xmlns:a16="http://schemas.microsoft.com/office/drawing/2014/main" id="{00000000-0008-0000-1F00-000069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74" name="Flèche gauche 1">
          <a:hlinkClick xmlns:r="http://schemas.openxmlformats.org/officeDocument/2006/relationships" r:id="rId1"/>
          <a:extLst>
            <a:ext uri="{FF2B5EF4-FFF2-40B4-BE49-F238E27FC236}">
              <a16:creationId xmlns:a16="http://schemas.microsoft.com/office/drawing/2014/main" id="{00000000-0008-0000-1F00-00006A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75" name="Flèche gauche 1">
          <a:hlinkClick xmlns:r="http://schemas.openxmlformats.org/officeDocument/2006/relationships" r:id="rId1"/>
          <a:extLst>
            <a:ext uri="{FF2B5EF4-FFF2-40B4-BE49-F238E27FC236}">
              <a16:creationId xmlns:a16="http://schemas.microsoft.com/office/drawing/2014/main" id="{00000000-0008-0000-1F00-00006B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76" name="Flèche gauche 1">
          <a:hlinkClick xmlns:r="http://schemas.openxmlformats.org/officeDocument/2006/relationships" r:id="rId1"/>
          <a:extLst>
            <a:ext uri="{FF2B5EF4-FFF2-40B4-BE49-F238E27FC236}">
              <a16:creationId xmlns:a16="http://schemas.microsoft.com/office/drawing/2014/main" id="{00000000-0008-0000-1F00-00006C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77" name="Flèche gauche 1">
          <a:hlinkClick xmlns:r="http://schemas.openxmlformats.org/officeDocument/2006/relationships" r:id="rId2"/>
          <a:extLst>
            <a:ext uri="{FF2B5EF4-FFF2-40B4-BE49-F238E27FC236}">
              <a16:creationId xmlns:a16="http://schemas.microsoft.com/office/drawing/2014/main" id="{00000000-0008-0000-1F00-00006D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78" name="Flèche gauche 1">
          <a:hlinkClick xmlns:r="http://schemas.openxmlformats.org/officeDocument/2006/relationships" r:id="rId1"/>
          <a:extLst>
            <a:ext uri="{FF2B5EF4-FFF2-40B4-BE49-F238E27FC236}">
              <a16:creationId xmlns:a16="http://schemas.microsoft.com/office/drawing/2014/main" id="{00000000-0008-0000-1F00-00006E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79" name="Flèche gauche 1">
          <a:hlinkClick xmlns:r="http://schemas.openxmlformats.org/officeDocument/2006/relationships" r:id="rId1"/>
          <a:extLst>
            <a:ext uri="{FF2B5EF4-FFF2-40B4-BE49-F238E27FC236}">
              <a16:creationId xmlns:a16="http://schemas.microsoft.com/office/drawing/2014/main" id="{00000000-0008-0000-1F00-00006F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80" name="Flèche gauche 1">
          <a:hlinkClick xmlns:r="http://schemas.openxmlformats.org/officeDocument/2006/relationships" r:id="rId1"/>
          <a:extLst>
            <a:ext uri="{FF2B5EF4-FFF2-40B4-BE49-F238E27FC236}">
              <a16:creationId xmlns:a16="http://schemas.microsoft.com/office/drawing/2014/main" id="{00000000-0008-0000-1F00-000070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81" name="Flèche gauche 1">
          <a:hlinkClick xmlns:r="http://schemas.openxmlformats.org/officeDocument/2006/relationships" r:id="rId2"/>
          <a:extLst>
            <a:ext uri="{FF2B5EF4-FFF2-40B4-BE49-F238E27FC236}">
              <a16:creationId xmlns:a16="http://schemas.microsoft.com/office/drawing/2014/main" id="{00000000-0008-0000-1F00-000071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82" name="Flèche gauche 1">
          <a:hlinkClick xmlns:r="http://schemas.openxmlformats.org/officeDocument/2006/relationships" r:id="rId1"/>
          <a:extLst>
            <a:ext uri="{FF2B5EF4-FFF2-40B4-BE49-F238E27FC236}">
              <a16:creationId xmlns:a16="http://schemas.microsoft.com/office/drawing/2014/main" id="{00000000-0008-0000-1F00-000072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83" name="Flèche gauche 1">
          <a:hlinkClick xmlns:r="http://schemas.openxmlformats.org/officeDocument/2006/relationships" r:id="rId1"/>
          <a:extLst>
            <a:ext uri="{FF2B5EF4-FFF2-40B4-BE49-F238E27FC236}">
              <a16:creationId xmlns:a16="http://schemas.microsoft.com/office/drawing/2014/main" id="{00000000-0008-0000-1F00-000073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84" name="Flèche gauche 1">
          <a:hlinkClick xmlns:r="http://schemas.openxmlformats.org/officeDocument/2006/relationships" r:id="rId1"/>
          <a:extLst>
            <a:ext uri="{FF2B5EF4-FFF2-40B4-BE49-F238E27FC236}">
              <a16:creationId xmlns:a16="http://schemas.microsoft.com/office/drawing/2014/main" id="{00000000-0008-0000-1F00-000074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85" name="Flèche gauche 1">
          <a:hlinkClick xmlns:r="http://schemas.openxmlformats.org/officeDocument/2006/relationships" r:id="rId2"/>
          <a:extLst>
            <a:ext uri="{FF2B5EF4-FFF2-40B4-BE49-F238E27FC236}">
              <a16:creationId xmlns:a16="http://schemas.microsoft.com/office/drawing/2014/main" id="{00000000-0008-0000-1F00-000075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86" name="Flèche gauche 1">
          <a:hlinkClick xmlns:r="http://schemas.openxmlformats.org/officeDocument/2006/relationships" r:id="rId1"/>
          <a:extLst>
            <a:ext uri="{FF2B5EF4-FFF2-40B4-BE49-F238E27FC236}">
              <a16:creationId xmlns:a16="http://schemas.microsoft.com/office/drawing/2014/main" id="{00000000-0008-0000-1F00-000076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87" name="Flèche gauche 1">
          <a:hlinkClick xmlns:r="http://schemas.openxmlformats.org/officeDocument/2006/relationships" r:id="rId1"/>
          <a:extLst>
            <a:ext uri="{FF2B5EF4-FFF2-40B4-BE49-F238E27FC236}">
              <a16:creationId xmlns:a16="http://schemas.microsoft.com/office/drawing/2014/main" id="{00000000-0008-0000-1F00-000077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88" name="Flèche gauche 1">
          <a:hlinkClick xmlns:r="http://schemas.openxmlformats.org/officeDocument/2006/relationships" r:id="rId1"/>
          <a:extLst>
            <a:ext uri="{FF2B5EF4-FFF2-40B4-BE49-F238E27FC236}">
              <a16:creationId xmlns:a16="http://schemas.microsoft.com/office/drawing/2014/main" id="{00000000-0008-0000-1F00-000078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89" name="Flèche gauche 1">
          <a:hlinkClick xmlns:r="http://schemas.openxmlformats.org/officeDocument/2006/relationships" r:id="rId2"/>
          <a:extLst>
            <a:ext uri="{FF2B5EF4-FFF2-40B4-BE49-F238E27FC236}">
              <a16:creationId xmlns:a16="http://schemas.microsoft.com/office/drawing/2014/main" id="{00000000-0008-0000-1F00-000079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90" name="Flèche gauche 1">
          <a:hlinkClick xmlns:r="http://schemas.openxmlformats.org/officeDocument/2006/relationships" r:id="rId1"/>
          <a:extLst>
            <a:ext uri="{FF2B5EF4-FFF2-40B4-BE49-F238E27FC236}">
              <a16:creationId xmlns:a16="http://schemas.microsoft.com/office/drawing/2014/main" id="{00000000-0008-0000-1F00-00007A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91" name="Flèche gauche 1">
          <a:hlinkClick xmlns:r="http://schemas.openxmlformats.org/officeDocument/2006/relationships" r:id="rId1"/>
          <a:extLst>
            <a:ext uri="{FF2B5EF4-FFF2-40B4-BE49-F238E27FC236}">
              <a16:creationId xmlns:a16="http://schemas.microsoft.com/office/drawing/2014/main" id="{00000000-0008-0000-1F00-00007B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92" name="Flèche gauche 1">
          <a:hlinkClick xmlns:r="http://schemas.openxmlformats.org/officeDocument/2006/relationships" r:id="rId1"/>
          <a:extLst>
            <a:ext uri="{FF2B5EF4-FFF2-40B4-BE49-F238E27FC236}">
              <a16:creationId xmlns:a16="http://schemas.microsoft.com/office/drawing/2014/main" id="{00000000-0008-0000-1F00-00007C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93" name="Flèche gauche 1">
          <a:hlinkClick xmlns:r="http://schemas.openxmlformats.org/officeDocument/2006/relationships" r:id="rId2"/>
          <a:extLst>
            <a:ext uri="{FF2B5EF4-FFF2-40B4-BE49-F238E27FC236}">
              <a16:creationId xmlns:a16="http://schemas.microsoft.com/office/drawing/2014/main" id="{00000000-0008-0000-1F00-00007D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94" name="Flèche gauche 1">
          <a:hlinkClick xmlns:r="http://schemas.openxmlformats.org/officeDocument/2006/relationships" r:id="rId1"/>
          <a:extLst>
            <a:ext uri="{FF2B5EF4-FFF2-40B4-BE49-F238E27FC236}">
              <a16:creationId xmlns:a16="http://schemas.microsoft.com/office/drawing/2014/main" id="{00000000-0008-0000-1F00-00007E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95" name="Flèche gauche 1">
          <a:hlinkClick xmlns:r="http://schemas.openxmlformats.org/officeDocument/2006/relationships" r:id="rId1"/>
          <a:extLst>
            <a:ext uri="{FF2B5EF4-FFF2-40B4-BE49-F238E27FC236}">
              <a16:creationId xmlns:a16="http://schemas.microsoft.com/office/drawing/2014/main" id="{00000000-0008-0000-1F00-00007F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96" name="Flèche gauche 1">
          <a:hlinkClick xmlns:r="http://schemas.openxmlformats.org/officeDocument/2006/relationships" r:id="rId1"/>
          <a:extLst>
            <a:ext uri="{FF2B5EF4-FFF2-40B4-BE49-F238E27FC236}">
              <a16:creationId xmlns:a16="http://schemas.microsoft.com/office/drawing/2014/main" id="{00000000-0008-0000-1F00-000080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97" name="Flèche gauche 1">
          <a:hlinkClick xmlns:r="http://schemas.openxmlformats.org/officeDocument/2006/relationships" r:id="rId2"/>
          <a:extLst>
            <a:ext uri="{FF2B5EF4-FFF2-40B4-BE49-F238E27FC236}">
              <a16:creationId xmlns:a16="http://schemas.microsoft.com/office/drawing/2014/main" id="{00000000-0008-0000-1F00-000081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98" name="Flèche gauche 1">
          <a:hlinkClick xmlns:r="http://schemas.openxmlformats.org/officeDocument/2006/relationships" r:id="rId1"/>
          <a:extLst>
            <a:ext uri="{FF2B5EF4-FFF2-40B4-BE49-F238E27FC236}">
              <a16:creationId xmlns:a16="http://schemas.microsoft.com/office/drawing/2014/main" id="{00000000-0008-0000-1F00-000082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99" name="Flèche gauche 1">
          <a:hlinkClick xmlns:r="http://schemas.openxmlformats.org/officeDocument/2006/relationships" r:id="rId1"/>
          <a:extLst>
            <a:ext uri="{FF2B5EF4-FFF2-40B4-BE49-F238E27FC236}">
              <a16:creationId xmlns:a16="http://schemas.microsoft.com/office/drawing/2014/main" id="{00000000-0008-0000-1F00-000083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00" name="Flèche gauche 1">
          <a:hlinkClick xmlns:r="http://schemas.openxmlformats.org/officeDocument/2006/relationships" r:id="rId1"/>
          <a:extLst>
            <a:ext uri="{FF2B5EF4-FFF2-40B4-BE49-F238E27FC236}">
              <a16:creationId xmlns:a16="http://schemas.microsoft.com/office/drawing/2014/main" id="{00000000-0008-0000-1F00-000084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01" name="Flèche gauche 1">
          <a:hlinkClick xmlns:r="http://schemas.openxmlformats.org/officeDocument/2006/relationships" r:id="rId2"/>
          <a:extLst>
            <a:ext uri="{FF2B5EF4-FFF2-40B4-BE49-F238E27FC236}">
              <a16:creationId xmlns:a16="http://schemas.microsoft.com/office/drawing/2014/main" id="{00000000-0008-0000-1F00-000085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02" name="Flèche gauche 1">
          <a:hlinkClick xmlns:r="http://schemas.openxmlformats.org/officeDocument/2006/relationships" r:id="rId1"/>
          <a:extLst>
            <a:ext uri="{FF2B5EF4-FFF2-40B4-BE49-F238E27FC236}">
              <a16:creationId xmlns:a16="http://schemas.microsoft.com/office/drawing/2014/main" id="{00000000-0008-0000-1F00-000086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03" name="Flèche gauche 1">
          <a:hlinkClick xmlns:r="http://schemas.openxmlformats.org/officeDocument/2006/relationships" r:id="rId1"/>
          <a:extLst>
            <a:ext uri="{FF2B5EF4-FFF2-40B4-BE49-F238E27FC236}">
              <a16:creationId xmlns:a16="http://schemas.microsoft.com/office/drawing/2014/main" id="{00000000-0008-0000-1F00-000087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04" name="Flèche gauche 1">
          <a:hlinkClick xmlns:r="http://schemas.openxmlformats.org/officeDocument/2006/relationships" r:id="rId1"/>
          <a:extLst>
            <a:ext uri="{FF2B5EF4-FFF2-40B4-BE49-F238E27FC236}">
              <a16:creationId xmlns:a16="http://schemas.microsoft.com/office/drawing/2014/main" id="{00000000-0008-0000-1F00-000088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05" name="Flèche gauche 1">
          <a:hlinkClick xmlns:r="http://schemas.openxmlformats.org/officeDocument/2006/relationships" r:id="rId2"/>
          <a:extLst>
            <a:ext uri="{FF2B5EF4-FFF2-40B4-BE49-F238E27FC236}">
              <a16:creationId xmlns:a16="http://schemas.microsoft.com/office/drawing/2014/main" id="{00000000-0008-0000-1F00-000089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06" name="Flèche gauche 1">
          <a:hlinkClick xmlns:r="http://schemas.openxmlformats.org/officeDocument/2006/relationships" r:id="rId1"/>
          <a:extLst>
            <a:ext uri="{FF2B5EF4-FFF2-40B4-BE49-F238E27FC236}">
              <a16:creationId xmlns:a16="http://schemas.microsoft.com/office/drawing/2014/main" id="{00000000-0008-0000-1F00-00008A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07" name="Flèche gauche 1">
          <a:hlinkClick xmlns:r="http://schemas.openxmlformats.org/officeDocument/2006/relationships" r:id="rId1"/>
          <a:extLst>
            <a:ext uri="{FF2B5EF4-FFF2-40B4-BE49-F238E27FC236}">
              <a16:creationId xmlns:a16="http://schemas.microsoft.com/office/drawing/2014/main" id="{00000000-0008-0000-1F00-00008B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08" name="Flèche gauche 1">
          <a:hlinkClick xmlns:r="http://schemas.openxmlformats.org/officeDocument/2006/relationships" r:id="rId1"/>
          <a:extLst>
            <a:ext uri="{FF2B5EF4-FFF2-40B4-BE49-F238E27FC236}">
              <a16:creationId xmlns:a16="http://schemas.microsoft.com/office/drawing/2014/main" id="{00000000-0008-0000-1F00-00008C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09" name="Flèche gauche 1">
          <a:hlinkClick xmlns:r="http://schemas.openxmlformats.org/officeDocument/2006/relationships" r:id="rId2"/>
          <a:extLst>
            <a:ext uri="{FF2B5EF4-FFF2-40B4-BE49-F238E27FC236}">
              <a16:creationId xmlns:a16="http://schemas.microsoft.com/office/drawing/2014/main" id="{00000000-0008-0000-1F00-00008D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10" name="Flèche gauche 1">
          <a:hlinkClick xmlns:r="http://schemas.openxmlformats.org/officeDocument/2006/relationships" r:id="rId1"/>
          <a:extLst>
            <a:ext uri="{FF2B5EF4-FFF2-40B4-BE49-F238E27FC236}">
              <a16:creationId xmlns:a16="http://schemas.microsoft.com/office/drawing/2014/main" id="{00000000-0008-0000-1F00-00008E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11" name="Flèche gauche 1">
          <a:hlinkClick xmlns:r="http://schemas.openxmlformats.org/officeDocument/2006/relationships" r:id="rId1"/>
          <a:extLst>
            <a:ext uri="{FF2B5EF4-FFF2-40B4-BE49-F238E27FC236}">
              <a16:creationId xmlns:a16="http://schemas.microsoft.com/office/drawing/2014/main" id="{00000000-0008-0000-1F00-00008F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12" name="Flèche gauche 1">
          <a:hlinkClick xmlns:r="http://schemas.openxmlformats.org/officeDocument/2006/relationships" r:id="rId1"/>
          <a:extLst>
            <a:ext uri="{FF2B5EF4-FFF2-40B4-BE49-F238E27FC236}">
              <a16:creationId xmlns:a16="http://schemas.microsoft.com/office/drawing/2014/main" id="{00000000-0008-0000-1F00-000090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13" name="Flèche gauche 1">
          <a:hlinkClick xmlns:r="http://schemas.openxmlformats.org/officeDocument/2006/relationships" r:id="rId2"/>
          <a:extLst>
            <a:ext uri="{FF2B5EF4-FFF2-40B4-BE49-F238E27FC236}">
              <a16:creationId xmlns:a16="http://schemas.microsoft.com/office/drawing/2014/main" id="{00000000-0008-0000-1F00-000091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14" name="Flèche gauche 1">
          <a:hlinkClick xmlns:r="http://schemas.openxmlformats.org/officeDocument/2006/relationships" r:id="rId1"/>
          <a:extLst>
            <a:ext uri="{FF2B5EF4-FFF2-40B4-BE49-F238E27FC236}">
              <a16:creationId xmlns:a16="http://schemas.microsoft.com/office/drawing/2014/main" id="{00000000-0008-0000-1F00-000092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15" name="Flèche gauche 1">
          <a:hlinkClick xmlns:r="http://schemas.openxmlformats.org/officeDocument/2006/relationships" r:id="rId1"/>
          <a:extLst>
            <a:ext uri="{FF2B5EF4-FFF2-40B4-BE49-F238E27FC236}">
              <a16:creationId xmlns:a16="http://schemas.microsoft.com/office/drawing/2014/main" id="{00000000-0008-0000-1F00-000093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16" name="Flèche gauche 1">
          <a:hlinkClick xmlns:r="http://schemas.openxmlformats.org/officeDocument/2006/relationships" r:id="rId1"/>
          <a:extLst>
            <a:ext uri="{FF2B5EF4-FFF2-40B4-BE49-F238E27FC236}">
              <a16:creationId xmlns:a16="http://schemas.microsoft.com/office/drawing/2014/main" id="{00000000-0008-0000-1F00-000094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17" name="Flèche gauche 1">
          <a:hlinkClick xmlns:r="http://schemas.openxmlformats.org/officeDocument/2006/relationships" r:id="rId2"/>
          <a:extLst>
            <a:ext uri="{FF2B5EF4-FFF2-40B4-BE49-F238E27FC236}">
              <a16:creationId xmlns:a16="http://schemas.microsoft.com/office/drawing/2014/main" id="{00000000-0008-0000-1F00-000095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18" name="Flèche gauche 1">
          <a:hlinkClick xmlns:r="http://schemas.openxmlformats.org/officeDocument/2006/relationships" r:id="rId1"/>
          <a:extLst>
            <a:ext uri="{FF2B5EF4-FFF2-40B4-BE49-F238E27FC236}">
              <a16:creationId xmlns:a16="http://schemas.microsoft.com/office/drawing/2014/main" id="{00000000-0008-0000-1F00-000096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19" name="Flèche gauche 1">
          <a:hlinkClick xmlns:r="http://schemas.openxmlformats.org/officeDocument/2006/relationships" r:id="rId1"/>
          <a:extLst>
            <a:ext uri="{FF2B5EF4-FFF2-40B4-BE49-F238E27FC236}">
              <a16:creationId xmlns:a16="http://schemas.microsoft.com/office/drawing/2014/main" id="{00000000-0008-0000-1F00-000097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20" name="Flèche gauche 1">
          <a:hlinkClick xmlns:r="http://schemas.openxmlformats.org/officeDocument/2006/relationships" r:id="rId1"/>
          <a:extLst>
            <a:ext uri="{FF2B5EF4-FFF2-40B4-BE49-F238E27FC236}">
              <a16:creationId xmlns:a16="http://schemas.microsoft.com/office/drawing/2014/main" id="{00000000-0008-0000-1F00-000098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21" name="Flèche gauche 1">
          <a:hlinkClick xmlns:r="http://schemas.openxmlformats.org/officeDocument/2006/relationships" r:id="rId2"/>
          <a:extLst>
            <a:ext uri="{FF2B5EF4-FFF2-40B4-BE49-F238E27FC236}">
              <a16:creationId xmlns:a16="http://schemas.microsoft.com/office/drawing/2014/main" id="{00000000-0008-0000-1F00-000099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22" name="Flèche gauche 1">
          <a:hlinkClick xmlns:r="http://schemas.openxmlformats.org/officeDocument/2006/relationships" r:id="rId1"/>
          <a:extLst>
            <a:ext uri="{FF2B5EF4-FFF2-40B4-BE49-F238E27FC236}">
              <a16:creationId xmlns:a16="http://schemas.microsoft.com/office/drawing/2014/main" id="{00000000-0008-0000-1F00-00009A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23" name="Flèche gauche 1">
          <a:hlinkClick xmlns:r="http://schemas.openxmlformats.org/officeDocument/2006/relationships" r:id="rId1"/>
          <a:extLst>
            <a:ext uri="{FF2B5EF4-FFF2-40B4-BE49-F238E27FC236}">
              <a16:creationId xmlns:a16="http://schemas.microsoft.com/office/drawing/2014/main" id="{00000000-0008-0000-1F00-00009B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24" name="Flèche gauche 1">
          <a:hlinkClick xmlns:r="http://schemas.openxmlformats.org/officeDocument/2006/relationships" r:id="rId1"/>
          <a:extLst>
            <a:ext uri="{FF2B5EF4-FFF2-40B4-BE49-F238E27FC236}">
              <a16:creationId xmlns:a16="http://schemas.microsoft.com/office/drawing/2014/main" id="{00000000-0008-0000-1F00-00009C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25" name="Flèche gauche 1">
          <a:hlinkClick xmlns:r="http://schemas.openxmlformats.org/officeDocument/2006/relationships" r:id="rId2"/>
          <a:extLst>
            <a:ext uri="{FF2B5EF4-FFF2-40B4-BE49-F238E27FC236}">
              <a16:creationId xmlns:a16="http://schemas.microsoft.com/office/drawing/2014/main" id="{00000000-0008-0000-1F00-00009D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26" name="Flèche gauche 1">
          <a:hlinkClick xmlns:r="http://schemas.openxmlformats.org/officeDocument/2006/relationships" r:id="rId1"/>
          <a:extLst>
            <a:ext uri="{FF2B5EF4-FFF2-40B4-BE49-F238E27FC236}">
              <a16:creationId xmlns:a16="http://schemas.microsoft.com/office/drawing/2014/main" id="{00000000-0008-0000-1F00-00009E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27" name="Flèche gauche 1">
          <a:hlinkClick xmlns:r="http://schemas.openxmlformats.org/officeDocument/2006/relationships" r:id="rId1"/>
          <a:extLst>
            <a:ext uri="{FF2B5EF4-FFF2-40B4-BE49-F238E27FC236}">
              <a16:creationId xmlns:a16="http://schemas.microsoft.com/office/drawing/2014/main" id="{00000000-0008-0000-1F00-00009F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28" name="Flèche gauche 1">
          <a:hlinkClick xmlns:r="http://schemas.openxmlformats.org/officeDocument/2006/relationships" r:id="rId1"/>
          <a:extLst>
            <a:ext uri="{FF2B5EF4-FFF2-40B4-BE49-F238E27FC236}">
              <a16:creationId xmlns:a16="http://schemas.microsoft.com/office/drawing/2014/main" id="{00000000-0008-0000-1F00-0000A0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29" name="Flèche gauche 1">
          <a:hlinkClick xmlns:r="http://schemas.openxmlformats.org/officeDocument/2006/relationships" r:id="rId2"/>
          <a:extLst>
            <a:ext uri="{FF2B5EF4-FFF2-40B4-BE49-F238E27FC236}">
              <a16:creationId xmlns:a16="http://schemas.microsoft.com/office/drawing/2014/main" id="{00000000-0008-0000-1F00-0000A1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30" name="Flèche gauche 1">
          <a:hlinkClick xmlns:r="http://schemas.openxmlformats.org/officeDocument/2006/relationships" r:id="rId1"/>
          <a:extLst>
            <a:ext uri="{FF2B5EF4-FFF2-40B4-BE49-F238E27FC236}">
              <a16:creationId xmlns:a16="http://schemas.microsoft.com/office/drawing/2014/main" id="{00000000-0008-0000-1F00-0000A2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31" name="Flèche gauche 1">
          <a:hlinkClick xmlns:r="http://schemas.openxmlformats.org/officeDocument/2006/relationships" r:id="rId1"/>
          <a:extLst>
            <a:ext uri="{FF2B5EF4-FFF2-40B4-BE49-F238E27FC236}">
              <a16:creationId xmlns:a16="http://schemas.microsoft.com/office/drawing/2014/main" id="{00000000-0008-0000-1F00-0000A3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32" name="Flèche gauche 1">
          <a:hlinkClick xmlns:r="http://schemas.openxmlformats.org/officeDocument/2006/relationships" r:id="rId1"/>
          <a:extLst>
            <a:ext uri="{FF2B5EF4-FFF2-40B4-BE49-F238E27FC236}">
              <a16:creationId xmlns:a16="http://schemas.microsoft.com/office/drawing/2014/main" id="{00000000-0008-0000-1F00-0000A4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33" name="Flèche gauche 1">
          <a:hlinkClick xmlns:r="http://schemas.openxmlformats.org/officeDocument/2006/relationships" r:id="rId2"/>
          <a:extLst>
            <a:ext uri="{FF2B5EF4-FFF2-40B4-BE49-F238E27FC236}">
              <a16:creationId xmlns:a16="http://schemas.microsoft.com/office/drawing/2014/main" id="{00000000-0008-0000-1F00-0000A5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34" name="Flèche gauche 1">
          <a:hlinkClick xmlns:r="http://schemas.openxmlformats.org/officeDocument/2006/relationships" r:id="rId1"/>
          <a:extLst>
            <a:ext uri="{FF2B5EF4-FFF2-40B4-BE49-F238E27FC236}">
              <a16:creationId xmlns:a16="http://schemas.microsoft.com/office/drawing/2014/main" id="{00000000-0008-0000-1F00-0000A6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35" name="Flèche gauche 1">
          <a:hlinkClick xmlns:r="http://schemas.openxmlformats.org/officeDocument/2006/relationships" r:id="rId1"/>
          <a:extLst>
            <a:ext uri="{FF2B5EF4-FFF2-40B4-BE49-F238E27FC236}">
              <a16:creationId xmlns:a16="http://schemas.microsoft.com/office/drawing/2014/main" id="{00000000-0008-0000-1F00-0000A7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36" name="Flèche gauche 1">
          <a:hlinkClick xmlns:r="http://schemas.openxmlformats.org/officeDocument/2006/relationships" r:id="rId1"/>
          <a:extLst>
            <a:ext uri="{FF2B5EF4-FFF2-40B4-BE49-F238E27FC236}">
              <a16:creationId xmlns:a16="http://schemas.microsoft.com/office/drawing/2014/main" id="{00000000-0008-0000-1F00-0000A8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37" name="Flèche gauche 1">
          <a:hlinkClick xmlns:r="http://schemas.openxmlformats.org/officeDocument/2006/relationships" r:id="rId2"/>
          <a:extLst>
            <a:ext uri="{FF2B5EF4-FFF2-40B4-BE49-F238E27FC236}">
              <a16:creationId xmlns:a16="http://schemas.microsoft.com/office/drawing/2014/main" id="{00000000-0008-0000-1F00-0000A9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38" name="Flèche gauche 1">
          <a:hlinkClick xmlns:r="http://schemas.openxmlformats.org/officeDocument/2006/relationships" r:id="rId1"/>
          <a:extLst>
            <a:ext uri="{FF2B5EF4-FFF2-40B4-BE49-F238E27FC236}">
              <a16:creationId xmlns:a16="http://schemas.microsoft.com/office/drawing/2014/main" id="{00000000-0008-0000-1F00-0000AA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39" name="Flèche gauche 1">
          <a:hlinkClick xmlns:r="http://schemas.openxmlformats.org/officeDocument/2006/relationships" r:id="rId1"/>
          <a:extLst>
            <a:ext uri="{FF2B5EF4-FFF2-40B4-BE49-F238E27FC236}">
              <a16:creationId xmlns:a16="http://schemas.microsoft.com/office/drawing/2014/main" id="{00000000-0008-0000-1F00-0000AB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40" name="Flèche gauche 1">
          <a:hlinkClick xmlns:r="http://schemas.openxmlformats.org/officeDocument/2006/relationships" r:id="rId1"/>
          <a:extLst>
            <a:ext uri="{FF2B5EF4-FFF2-40B4-BE49-F238E27FC236}">
              <a16:creationId xmlns:a16="http://schemas.microsoft.com/office/drawing/2014/main" id="{00000000-0008-0000-1F00-0000AC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41" name="Flèche gauche 1">
          <a:hlinkClick xmlns:r="http://schemas.openxmlformats.org/officeDocument/2006/relationships" r:id="rId2"/>
          <a:extLst>
            <a:ext uri="{FF2B5EF4-FFF2-40B4-BE49-F238E27FC236}">
              <a16:creationId xmlns:a16="http://schemas.microsoft.com/office/drawing/2014/main" id="{00000000-0008-0000-1F00-0000AD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42" name="Flèche gauche 1">
          <a:hlinkClick xmlns:r="http://schemas.openxmlformats.org/officeDocument/2006/relationships" r:id="rId1"/>
          <a:extLst>
            <a:ext uri="{FF2B5EF4-FFF2-40B4-BE49-F238E27FC236}">
              <a16:creationId xmlns:a16="http://schemas.microsoft.com/office/drawing/2014/main" id="{00000000-0008-0000-1F00-0000AE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43" name="Flèche gauche 1">
          <a:hlinkClick xmlns:r="http://schemas.openxmlformats.org/officeDocument/2006/relationships" r:id="rId1"/>
          <a:extLst>
            <a:ext uri="{FF2B5EF4-FFF2-40B4-BE49-F238E27FC236}">
              <a16:creationId xmlns:a16="http://schemas.microsoft.com/office/drawing/2014/main" id="{00000000-0008-0000-1F00-0000AF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44" name="Flèche gauche 1">
          <a:hlinkClick xmlns:r="http://schemas.openxmlformats.org/officeDocument/2006/relationships" r:id="rId1"/>
          <a:extLst>
            <a:ext uri="{FF2B5EF4-FFF2-40B4-BE49-F238E27FC236}">
              <a16:creationId xmlns:a16="http://schemas.microsoft.com/office/drawing/2014/main" id="{00000000-0008-0000-1F00-0000B0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45" name="Flèche gauche 1">
          <a:hlinkClick xmlns:r="http://schemas.openxmlformats.org/officeDocument/2006/relationships" r:id="rId2"/>
          <a:extLst>
            <a:ext uri="{FF2B5EF4-FFF2-40B4-BE49-F238E27FC236}">
              <a16:creationId xmlns:a16="http://schemas.microsoft.com/office/drawing/2014/main" id="{00000000-0008-0000-1F00-0000B1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46" name="Flèche gauche 1">
          <a:hlinkClick xmlns:r="http://schemas.openxmlformats.org/officeDocument/2006/relationships" r:id="rId1"/>
          <a:extLst>
            <a:ext uri="{FF2B5EF4-FFF2-40B4-BE49-F238E27FC236}">
              <a16:creationId xmlns:a16="http://schemas.microsoft.com/office/drawing/2014/main" id="{00000000-0008-0000-1F00-0000B2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47" name="Flèche gauche 1">
          <a:hlinkClick xmlns:r="http://schemas.openxmlformats.org/officeDocument/2006/relationships" r:id="rId1"/>
          <a:extLst>
            <a:ext uri="{FF2B5EF4-FFF2-40B4-BE49-F238E27FC236}">
              <a16:creationId xmlns:a16="http://schemas.microsoft.com/office/drawing/2014/main" id="{00000000-0008-0000-1F00-0000B3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48" name="Flèche gauche 1">
          <a:hlinkClick xmlns:r="http://schemas.openxmlformats.org/officeDocument/2006/relationships" r:id="rId1"/>
          <a:extLst>
            <a:ext uri="{FF2B5EF4-FFF2-40B4-BE49-F238E27FC236}">
              <a16:creationId xmlns:a16="http://schemas.microsoft.com/office/drawing/2014/main" id="{00000000-0008-0000-1F00-0000B4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49" name="Flèche gauche 1">
          <a:hlinkClick xmlns:r="http://schemas.openxmlformats.org/officeDocument/2006/relationships" r:id="rId2"/>
          <a:extLst>
            <a:ext uri="{FF2B5EF4-FFF2-40B4-BE49-F238E27FC236}">
              <a16:creationId xmlns:a16="http://schemas.microsoft.com/office/drawing/2014/main" id="{00000000-0008-0000-1F00-0000B5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50" name="Flèche gauche 1">
          <a:hlinkClick xmlns:r="http://schemas.openxmlformats.org/officeDocument/2006/relationships" r:id="rId1"/>
          <a:extLst>
            <a:ext uri="{FF2B5EF4-FFF2-40B4-BE49-F238E27FC236}">
              <a16:creationId xmlns:a16="http://schemas.microsoft.com/office/drawing/2014/main" id="{00000000-0008-0000-1F00-0000B6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51" name="Flèche gauche 1">
          <a:hlinkClick xmlns:r="http://schemas.openxmlformats.org/officeDocument/2006/relationships" r:id="rId1"/>
          <a:extLst>
            <a:ext uri="{FF2B5EF4-FFF2-40B4-BE49-F238E27FC236}">
              <a16:creationId xmlns:a16="http://schemas.microsoft.com/office/drawing/2014/main" id="{00000000-0008-0000-1F00-0000B7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52" name="Flèche gauche 1">
          <a:hlinkClick xmlns:r="http://schemas.openxmlformats.org/officeDocument/2006/relationships" r:id="rId1"/>
          <a:extLst>
            <a:ext uri="{FF2B5EF4-FFF2-40B4-BE49-F238E27FC236}">
              <a16:creationId xmlns:a16="http://schemas.microsoft.com/office/drawing/2014/main" id="{00000000-0008-0000-1F00-0000B8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53" name="Flèche gauche 1">
          <a:hlinkClick xmlns:r="http://schemas.openxmlformats.org/officeDocument/2006/relationships" r:id="rId2"/>
          <a:extLst>
            <a:ext uri="{FF2B5EF4-FFF2-40B4-BE49-F238E27FC236}">
              <a16:creationId xmlns:a16="http://schemas.microsoft.com/office/drawing/2014/main" id="{00000000-0008-0000-1F00-0000B9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54" name="Flèche gauche 1">
          <a:hlinkClick xmlns:r="http://schemas.openxmlformats.org/officeDocument/2006/relationships" r:id="rId1"/>
          <a:extLst>
            <a:ext uri="{FF2B5EF4-FFF2-40B4-BE49-F238E27FC236}">
              <a16:creationId xmlns:a16="http://schemas.microsoft.com/office/drawing/2014/main" id="{00000000-0008-0000-1F00-0000BA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55" name="Flèche gauche 1">
          <a:hlinkClick xmlns:r="http://schemas.openxmlformats.org/officeDocument/2006/relationships" r:id="rId1"/>
          <a:extLst>
            <a:ext uri="{FF2B5EF4-FFF2-40B4-BE49-F238E27FC236}">
              <a16:creationId xmlns:a16="http://schemas.microsoft.com/office/drawing/2014/main" id="{00000000-0008-0000-1F00-0000BB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56" name="Flèche gauche 1">
          <a:hlinkClick xmlns:r="http://schemas.openxmlformats.org/officeDocument/2006/relationships" r:id="rId1"/>
          <a:extLst>
            <a:ext uri="{FF2B5EF4-FFF2-40B4-BE49-F238E27FC236}">
              <a16:creationId xmlns:a16="http://schemas.microsoft.com/office/drawing/2014/main" id="{00000000-0008-0000-1F00-0000BC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57" name="Flèche gauche 1">
          <a:hlinkClick xmlns:r="http://schemas.openxmlformats.org/officeDocument/2006/relationships" r:id="rId2"/>
          <a:extLst>
            <a:ext uri="{FF2B5EF4-FFF2-40B4-BE49-F238E27FC236}">
              <a16:creationId xmlns:a16="http://schemas.microsoft.com/office/drawing/2014/main" id="{00000000-0008-0000-1F00-0000BD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58" name="Flèche gauche 1">
          <a:hlinkClick xmlns:r="http://schemas.openxmlformats.org/officeDocument/2006/relationships" r:id="rId1"/>
          <a:extLst>
            <a:ext uri="{FF2B5EF4-FFF2-40B4-BE49-F238E27FC236}">
              <a16:creationId xmlns:a16="http://schemas.microsoft.com/office/drawing/2014/main" id="{00000000-0008-0000-1F00-0000BE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59" name="Flèche gauche 1">
          <a:hlinkClick xmlns:r="http://schemas.openxmlformats.org/officeDocument/2006/relationships" r:id="rId1"/>
          <a:extLst>
            <a:ext uri="{FF2B5EF4-FFF2-40B4-BE49-F238E27FC236}">
              <a16:creationId xmlns:a16="http://schemas.microsoft.com/office/drawing/2014/main" id="{00000000-0008-0000-1F00-0000BF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60" name="Flèche gauche 1">
          <a:hlinkClick xmlns:r="http://schemas.openxmlformats.org/officeDocument/2006/relationships" r:id="rId1"/>
          <a:extLst>
            <a:ext uri="{FF2B5EF4-FFF2-40B4-BE49-F238E27FC236}">
              <a16:creationId xmlns:a16="http://schemas.microsoft.com/office/drawing/2014/main" id="{00000000-0008-0000-1F00-0000C0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61" name="Flèche gauche 1">
          <a:hlinkClick xmlns:r="http://schemas.openxmlformats.org/officeDocument/2006/relationships" r:id="rId2"/>
          <a:extLst>
            <a:ext uri="{FF2B5EF4-FFF2-40B4-BE49-F238E27FC236}">
              <a16:creationId xmlns:a16="http://schemas.microsoft.com/office/drawing/2014/main" id="{00000000-0008-0000-1F00-0000C1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62" name="Flèche gauche 1">
          <a:hlinkClick xmlns:r="http://schemas.openxmlformats.org/officeDocument/2006/relationships" r:id="rId1"/>
          <a:extLst>
            <a:ext uri="{FF2B5EF4-FFF2-40B4-BE49-F238E27FC236}">
              <a16:creationId xmlns:a16="http://schemas.microsoft.com/office/drawing/2014/main" id="{00000000-0008-0000-1F00-0000C2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63" name="Flèche gauche 1">
          <a:hlinkClick xmlns:r="http://schemas.openxmlformats.org/officeDocument/2006/relationships" r:id="rId1"/>
          <a:extLst>
            <a:ext uri="{FF2B5EF4-FFF2-40B4-BE49-F238E27FC236}">
              <a16:creationId xmlns:a16="http://schemas.microsoft.com/office/drawing/2014/main" id="{00000000-0008-0000-1F00-0000C3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64" name="Flèche gauche 1">
          <a:hlinkClick xmlns:r="http://schemas.openxmlformats.org/officeDocument/2006/relationships" r:id="rId1"/>
          <a:extLst>
            <a:ext uri="{FF2B5EF4-FFF2-40B4-BE49-F238E27FC236}">
              <a16:creationId xmlns:a16="http://schemas.microsoft.com/office/drawing/2014/main" id="{00000000-0008-0000-1F00-0000C4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65" name="Flèche gauche 1">
          <a:hlinkClick xmlns:r="http://schemas.openxmlformats.org/officeDocument/2006/relationships" r:id="rId2"/>
          <a:extLst>
            <a:ext uri="{FF2B5EF4-FFF2-40B4-BE49-F238E27FC236}">
              <a16:creationId xmlns:a16="http://schemas.microsoft.com/office/drawing/2014/main" id="{00000000-0008-0000-1F00-0000C5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66" name="Flèche gauche 1">
          <a:hlinkClick xmlns:r="http://schemas.openxmlformats.org/officeDocument/2006/relationships" r:id="rId1"/>
          <a:extLst>
            <a:ext uri="{FF2B5EF4-FFF2-40B4-BE49-F238E27FC236}">
              <a16:creationId xmlns:a16="http://schemas.microsoft.com/office/drawing/2014/main" id="{00000000-0008-0000-1F00-0000C6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67" name="Flèche gauche 1">
          <a:hlinkClick xmlns:r="http://schemas.openxmlformats.org/officeDocument/2006/relationships" r:id="rId1"/>
          <a:extLst>
            <a:ext uri="{FF2B5EF4-FFF2-40B4-BE49-F238E27FC236}">
              <a16:creationId xmlns:a16="http://schemas.microsoft.com/office/drawing/2014/main" id="{00000000-0008-0000-1F00-0000C7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68" name="Flèche gauche 1">
          <a:hlinkClick xmlns:r="http://schemas.openxmlformats.org/officeDocument/2006/relationships" r:id="rId1"/>
          <a:extLst>
            <a:ext uri="{FF2B5EF4-FFF2-40B4-BE49-F238E27FC236}">
              <a16:creationId xmlns:a16="http://schemas.microsoft.com/office/drawing/2014/main" id="{00000000-0008-0000-1F00-0000C8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69" name="Flèche gauche 1">
          <a:hlinkClick xmlns:r="http://schemas.openxmlformats.org/officeDocument/2006/relationships" r:id="rId2"/>
          <a:extLst>
            <a:ext uri="{FF2B5EF4-FFF2-40B4-BE49-F238E27FC236}">
              <a16:creationId xmlns:a16="http://schemas.microsoft.com/office/drawing/2014/main" id="{00000000-0008-0000-1F00-0000C9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70" name="Flèche gauche 1">
          <a:hlinkClick xmlns:r="http://schemas.openxmlformats.org/officeDocument/2006/relationships" r:id="rId1"/>
          <a:extLst>
            <a:ext uri="{FF2B5EF4-FFF2-40B4-BE49-F238E27FC236}">
              <a16:creationId xmlns:a16="http://schemas.microsoft.com/office/drawing/2014/main" id="{00000000-0008-0000-1F00-0000CA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71" name="Flèche gauche 1">
          <a:hlinkClick xmlns:r="http://schemas.openxmlformats.org/officeDocument/2006/relationships" r:id="rId1"/>
          <a:extLst>
            <a:ext uri="{FF2B5EF4-FFF2-40B4-BE49-F238E27FC236}">
              <a16:creationId xmlns:a16="http://schemas.microsoft.com/office/drawing/2014/main" id="{00000000-0008-0000-1F00-0000CB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72" name="Flèche gauche 1">
          <a:hlinkClick xmlns:r="http://schemas.openxmlformats.org/officeDocument/2006/relationships" r:id="rId1"/>
          <a:extLst>
            <a:ext uri="{FF2B5EF4-FFF2-40B4-BE49-F238E27FC236}">
              <a16:creationId xmlns:a16="http://schemas.microsoft.com/office/drawing/2014/main" id="{00000000-0008-0000-1F00-0000CC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73" name="Flèche gauche 1">
          <a:hlinkClick xmlns:r="http://schemas.openxmlformats.org/officeDocument/2006/relationships" r:id="rId2"/>
          <a:extLst>
            <a:ext uri="{FF2B5EF4-FFF2-40B4-BE49-F238E27FC236}">
              <a16:creationId xmlns:a16="http://schemas.microsoft.com/office/drawing/2014/main" id="{00000000-0008-0000-1F00-0000CD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74" name="Flèche gauche 1">
          <a:hlinkClick xmlns:r="http://schemas.openxmlformats.org/officeDocument/2006/relationships" r:id="rId1"/>
          <a:extLst>
            <a:ext uri="{FF2B5EF4-FFF2-40B4-BE49-F238E27FC236}">
              <a16:creationId xmlns:a16="http://schemas.microsoft.com/office/drawing/2014/main" id="{00000000-0008-0000-1F00-0000CE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75" name="Flèche gauche 1">
          <a:hlinkClick xmlns:r="http://schemas.openxmlformats.org/officeDocument/2006/relationships" r:id="rId1"/>
          <a:extLst>
            <a:ext uri="{FF2B5EF4-FFF2-40B4-BE49-F238E27FC236}">
              <a16:creationId xmlns:a16="http://schemas.microsoft.com/office/drawing/2014/main" id="{00000000-0008-0000-1F00-0000CF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76" name="Flèche gauche 1">
          <a:hlinkClick xmlns:r="http://schemas.openxmlformats.org/officeDocument/2006/relationships" r:id="rId1"/>
          <a:extLst>
            <a:ext uri="{FF2B5EF4-FFF2-40B4-BE49-F238E27FC236}">
              <a16:creationId xmlns:a16="http://schemas.microsoft.com/office/drawing/2014/main" id="{00000000-0008-0000-1F00-0000D0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77" name="Flèche gauche 1">
          <a:hlinkClick xmlns:r="http://schemas.openxmlformats.org/officeDocument/2006/relationships" r:id="rId2"/>
          <a:extLst>
            <a:ext uri="{FF2B5EF4-FFF2-40B4-BE49-F238E27FC236}">
              <a16:creationId xmlns:a16="http://schemas.microsoft.com/office/drawing/2014/main" id="{00000000-0008-0000-1F00-0000D1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78" name="Flèche gauche 1">
          <a:hlinkClick xmlns:r="http://schemas.openxmlformats.org/officeDocument/2006/relationships" r:id="rId1"/>
          <a:extLst>
            <a:ext uri="{FF2B5EF4-FFF2-40B4-BE49-F238E27FC236}">
              <a16:creationId xmlns:a16="http://schemas.microsoft.com/office/drawing/2014/main" id="{00000000-0008-0000-1F00-0000D2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79" name="Flèche gauche 1">
          <a:hlinkClick xmlns:r="http://schemas.openxmlformats.org/officeDocument/2006/relationships" r:id="rId1"/>
          <a:extLst>
            <a:ext uri="{FF2B5EF4-FFF2-40B4-BE49-F238E27FC236}">
              <a16:creationId xmlns:a16="http://schemas.microsoft.com/office/drawing/2014/main" id="{00000000-0008-0000-1F00-0000D3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80" name="Flèche gauche 1">
          <a:hlinkClick xmlns:r="http://schemas.openxmlformats.org/officeDocument/2006/relationships" r:id="rId1"/>
          <a:extLst>
            <a:ext uri="{FF2B5EF4-FFF2-40B4-BE49-F238E27FC236}">
              <a16:creationId xmlns:a16="http://schemas.microsoft.com/office/drawing/2014/main" id="{00000000-0008-0000-1F00-0000D4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81" name="Flèche gauche 1">
          <a:hlinkClick xmlns:r="http://schemas.openxmlformats.org/officeDocument/2006/relationships" r:id="rId2"/>
          <a:extLst>
            <a:ext uri="{FF2B5EF4-FFF2-40B4-BE49-F238E27FC236}">
              <a16:creationId xmlns:a16="http://schemas.microsoft.com/office/drawing/2014/main" id="{00000000-0008-0000-1F00-0000D5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82" name="Flèche gauche 1">
          <a:hlinkClick xmlns:r="http://schemas.openxmlformats.org/officeDocument/2006/relationships" r:id="rId1"/>
          <a:extLst>
            <a:ext uri="{FF2B5EF4-FFF2-40B4-BE49-F238E27FC236}">
              <a16:creationId xmlns:a16="http://schemas.microsoft.com/office/drawing/2014/main" id="{00000000-0008-0000-1F00-0000D6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83" name="Flèche gauche 1">
          <a:hlinkClick xmlns:r="http://schemas.openxmlformats.org/officeDocument/2006/relationships" r:id="rId1"/>
          <a:extLst>
            <a:ext uri="{FF2B5EF4-FFF2-40B4-BE49-F238E27FC236}">
              <a16:creationId xmlns:a16="http://schemas.microsoft.com/office/drawing/2014/main" id="{00000000-0008-0000-1F00-0000D7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84" name="Flèche gauche 1">
          <a:hlinkClick xmlns:r="http://schemas.openxmlformats.org/officeDocument/2006/relationships" r:id="rId1"/>
          <a:extLst>
            <a:ext uri="{FF2B5EF4-FFF2-40B4-BE49-F238E27FC236}">
              <a16:creationId xmlns:a16="http://schemas.microsoft.com/office/drawing/2014/main" id="{00000000-0008-0000-1F00-0000D8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85" name="Flèche gauche 1">
          <a:hlinkClick xmlns:r="http://schemas.openxmlformats.org/officeDocument/2006/relationships" r:id="rId2"/>
          <a:extLst>
            <a:ext uri="{FF2B5EF4-FFF2-40B4-BE49-F238E27FC236}">
              <a16:creationId xmlns:a16="http://schemas.microsoft.com/office/drawing/2014/main" id="{00000000-0008-0000-1F00-0000D9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86" name="Flèche gauche 1">
          <a:hlinkClick xmlns:r="http://schemas.openxmlformats.org/officeDocument/2006/relationships" r:id="rId1"/>
          <a:extLst>
            <a:ext uri="{FF2B5EF4-FFF2-40B4-BE49-F238E27FC236}">
              <a16:creationId xmlns:a16="http://schemas.microsoft.com/office/drawing/2014/main" id="{00000000-0008-0000-1F00-0000DA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87" name="Flèche gauche 1">
          <a:hlinkClick xmlns:r="http://schemas.openxmlformats.org/officeDocument/2006/relationships" r:id="rId1"/>
          <a:extLst>
            <a:ext uri="{FF2B5EF4-FFF2-40B4-BE49-F238E27FC236}">
              <a16:creationId xmlns:a16="http://schemas.microsoft.com/office/drawing/2014/main" id="{00000000-0008-0000-1F00-0000DB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88" name="Flèche gauche 1">
          <a:hlinkClick xmlns:r="http://schemas.openxmlformats.org/officeDocument/2006/relationships" r:id="rId1"/>
          <a:extLst>
            <a:ext uri="{FF2B5EF4-FFF2-40B4-BE49-F238E27FC236}">
              <a16:creationId xmlns:a16="http://schemas.microsoft.com/office/drawing/2014/main" id="{00000000-0008-0000-1F00-0000DC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89" name="Flèche gauche 1">
          <a:hlinkClick xmlns:r="http://schemas.openxmlformats.org/officeDocument/2006/relationships" r:id="rId2"/>
          <a:extLst>
            <a:ext uri="{FF2B5EF4-FFF2-40B4-BE49-F238E27FC236}">
              <a16:creationId xmlns:a16="http://schemas.microsoft.com/office/drawing/2014/main" id="{00000000-0008-0000-1F00-0000DD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90" name="Flèche gauche 1">
          <a:hlinkClick xmlns:r="http://schemas.openxmlformats.org/officeDocument/2006/relationships" r:id="rId1"/>
          <a:extLst>
            <a:ext uri="{FF2B5EF4-FFF2-40B4-BE49-F238E27FC236}">
              <a16:creationId xmlns:a16="http://schemas.microsoft.com/office/drawing/2014/main" id="{00000000-0008-0000-1F00-0000DE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91" name="Flèche gauche 1">
          <a:hlinkClick xmlns:r="http://schemas.openxmlformats.org/officeDocument/2006/relationships" r:id="rId1"/>
          <a:extLst>
            <a:ext uri="{FF2B5EF4-FFF2-40B4-BE49-F238E27FC236}">
              <a16:creationId xmlns:a16="http://schemas.microsoft.com/office/drawing/2014/main" id="{00000000-0008-0000-1F00-0000DF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92" name="Flèche gauche 1">
          <a:hlinkClick xmlns:r="http://schemas.openxmlformats.org/officeDocument/2006/relationships" r:id="rId1"/>
          <a:extLst>
            <a:ext uri="{FF2B5EF4-FFF2-40B4-BE49-F238E27FC236}">
              <a16:creationId xmlns:a16="http://schemas.microsoft.com/office/drawing/2014/main" id="{00000000-0008-0000-1F00-0000E0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93" name="Flèche gauche 1">
          <a:hlinkClick xmlns:r="http://schemas.openxmlformats.org/officeDocument/2006/relationships" r:id="rId2"/>
          <a:extLst>
            <a:ext uri="{FF2B5EF4-FFF2-40B4-BE49-F238E27FC236}">
              <a16:creationId xmlns:a16="http://schemas.microsoft.com/office/drawing/2014/main" id="{00000000-0008-0000-1F00-0000E1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94" name="Flèche gauche 1">
          <a:hlinkClick xmlns:r="http://schemas.openxmlformats.org/officeDocument/2006/relationships" r:id="rId1"/>
          <a:extLst>
            <a:ext uri="{FF2B5EF4-FFF2-40B4-BE49-F238E27FC236}">
              <a16:creationId xmlns:a16="http://schemas.microsoft.com/office/drawing/2014/main" id="{00000000-0008-0000-1F00-0000E2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95" name="Flèche gauche 1">
          <a:hlinkClick xmlns:r="http://schemas.openxmlformats.org/officeDocument/2006/relationships" r:id="rId1"/>
          <a:extLst>
            <a:ext uri="{FF2B5EF4-FFF2-40B4-BE49-F238E27FC236}">
              <a16:creationId xmlns:a16="http://schemas.microsoft.com/office/drawing/2014/main" id="{00000000-0008-0000-1F00-0000E3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96" name="Flèche gauche 1">
          <a:hlinkClick xmlns:r="http://schemas.openxmlformats.org/officeDocument/2006/relationships" r:id="rId1"/>
          <a:extLst>
            <a:ext uri="{FF2B5EF4-FFF2-40B4-BE49-F238E27FC236}">
              <a16:creationId xmlns:a16="http://schemas.microsoft.com/office/drawing/2014/main" id="{00000000-0008-0000-1F00-0000E4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97" name="Flèche gauche 1">
          <a:hlinkClick xmlns:r="http://schemas.openxmlformats.org/officeDocument/2006/relationships" r:id="rId2"/>
          <a:extLst>
            <a:ext uri="{FF2B5EF4-FFF2-40B4-BE49-F238E27FC236}">
              <a16:creationId xmlns:a16="http://schemas.microsoft.com/office/drawing/2014/main" id="{00000000-0008-0000-1F00-0000E5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98" name="Flèche gauche 1">
          <a:hlinkClick xmlns:r="http://schemas.openxmlformats.org/officeDocument/2006/relationships" r:id="rId1"/>
          <a:extLst>
            <a:ext uri="{FF2B5EF4-FFF2-40B4-BE49-F238E27FC236}">
              <a16:creationId xmlns:a16="http://schemas.microsoft.com/office/drawing/2014/main" id="{00000000-0008-0000-1F00-0000E6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99" name="Flèche gauche 1">
          <a:hlinkClick xmlns:r="http://schemas.openxmlformats.org/officeDocument/2006/relationships" r:id="rId1"/>
          <a:extLst>
            <a:ext uri="{FF2B5EF4-FFF2-40B4-BE49-F238E27FC236}">
              <a16:creationId xmlns:a16="http://schemas.microsoft.com/office/drawing/2014/main" id="{00000000-0008-0000-1F00-0000E7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00" name="Flèche gauche 1">
          <a:hlinkClick xmlns:r="http://schemas.openxmlformats.org/officeDocument/2006/relationships" r:id="rId1"/>
          <a:extLst>
            <a:ext uri="{FF2B5EF4-FFF2-40B4-BE49-F238E27FC236}">
              <a16:creationId xmlns:a16="http://schemas.microsoft.com/office/drawing/2014/main" id="{00000000-0008-0000-1F00-0000E8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01" name="Flèche gauche 1">
          <a:hlinkClick xmlns:r="http://schemas.openxmlformats.org/officeDocument/2006/relationships" r:id="rId2"/>
          <a:extLst>
            <a:ext uri="{FF2B5EF4-FFF2-40B4-BE49-F238E27FC236}">
              <a16:creationId xmlns:a16="http://schemas.microsoft.com/office/drawing/2014/main" id="{00000000-0008-0000-1F00-0000E9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02" name="Flèche gauche 1">
          <a:hlinkClick xmlns:r="http://schemas.openxmlformats.org/officeDocument/2006/relationships" r:id="rId1"/>
          <a:extLst>
            <a:ext uri="{FF2B5EF4-FFF2-40B4-BE49-F238E27FC236}">
              <a16:creationId xmlns:a16="http://schemas.microsoft.com/office/drawing/2014/main" id="{00000000-0008-0000-1F00-0000EA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03" name="Flèche gauche 1">
          <a:hlinkClick xmlns:r="http://schemas.openxmlformats.org/officeDocument/2006/relationships" r:id="rId1"/>
          <a:extLst>
            <a:ext uri="{FF2B5EF4-FFF2-40B4-BE49-F238E27FC236}">
              <a16:creationId xmlns:a16="http://schemas.microsoft.com/office/drawing/2014/main" id="{00000000-0008-0000-1F00-0000EB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04" name="Flèche gauche 1">
          <a:hlinkClick xmlns:r="http://schemas.openxmlformats.org/officeDocument/2006/relationships" r:id="rId1"/>
          <a:extLst>
            <a:ext uri="{FF2B5EF4-FFF2-40B4-BE49-F238E27FC236}">
              <a16:creationId xmlns:a16="http://schemas.microsoft.com/office/drawing/2014/main" id="{00000000-0008-0000-1F00-0000EC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05" name="Flèche gauche 1">
          <a:hlinkClick xmlns:r="http://schemas.openxmlformats.org/officeDocument/2006/relationships" r:id="rId2"/>
          <a:extLst>
            <a:ext uri="{FF2B5EF4-FFF2-40B4-BE49-F238E27FC236}">
              <a16:creationId xmlns:a16="http://schemas.microsoft.com/office/drawing/2014/main" id="{00000000-0008-0000-1F00-0000ED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06" name="Flèche gauche 1">
          <a:hlinkClick xmlns:r="http://schemas.openxmlformats.org/officeDocument/2006/relationships" r:id="rId1"/>
          <a:extLst>
            <a:ext uri="{FF2B5EF4-FFF2-40B4-BE49-F238E27FC236}">
              <a16:creationId xmlns:a16="http://schemas.microsoft.com/office/drawing/2014/main" id="{00000000-0008-0000-1F00-0000EE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07" name="Flèche gauche 1">
          <a:hlinkClick xmlns:r="http://schemas.openxmlformats.org/officeDocument/2006/relationships" r:id="rId1"/>
          <a:extLst>
            <a:ext uri="{FF2B5EF4-FFF2-40B4-BE49-F238E27FC236}">
              <a16:creationId xmlns:a16="http://schemas.microsoft.com/office/drawing/2014/main" id="{00000000-0008-0000-1F00-0000EF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08" name="Flèche gauche 1">
          <a:hlinkClick xmlns:r="http://schemas.openxmlformats.org/officeDocument/2006/relationships" r:id="rId1"/>
          <a:extLst>
            <a:ext uri="{FF2B5EF4-FFF2-40B4-BE49-F238E27FC236}">
              <a16:creationId xmlns:a16="http://schemas.microsoft.com/office/drawing/2014/main" id="{00000000-0008-0000-1F00-0000F0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09" name="Flèche gauche 1">
          <a:hlinkClick xmlns:r="http://schemas.openxmlformats.org/officeDocument/2006/relationships" r:id="rId2"/>
          <a:extLst>
            <a:ext uri="{FF2B5EF4-FFF2-40B4-BE49-F238E27FC236}">
              <a16:creationId xmlns:a16="http://schemas.microsoft.com/office/drawing/2014/main" id="{00000000-0008-0000-1F00-0000F1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10" name="Flèche gauche 1">
          <a:hlinkClick xmlns:r="http://schemas.openxmlformats.org/officeDocument/2006/relationships" r:id="rId1"/>
          <a:extLst>
            <a:ext uri="{FF2B5EF4-FFF2-40B4-BE49-F238E27FC236}">
              <a16:creationId xmlns:a16="http://schemas.microsoft.com/office/drawing/2014/main" id="{00000000-0008-0000-1F00-0000F2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11" name="Flèche gauche 1">
          <a:hlinkClick xmlns:r="http://schemas.openxmlformats.org/officeDocument/2006/relationships" r:id="rId1"/>
          <a:extLst>
            <a:ext uri="{FF2B5EF4-FFF2-40B4-BE49-F238E27FC236}">
              <a16:creationId xmlns:a16="http://schemas.microsoft.com/office/drawing/2014/main" id="{00000000-0008-0000-1F00-0000F3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12" name="Flèche gauche 1">
          <a:hlinkClick xmlns:r="http://schemas.openxmlformats.org/officeDocument/2006/relationships" r:id="rId1"/>
          <a:extLst>
            <a:ext uri="{FF2B5EF4-FFF2-40B4-BE49-F238E27FC236}">
              <a16:creationId xmlns:a16="http://schemas.microsoft.com/office/drawing/2014/main" id="{00000000-0008-0000-1F00-0000F4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13" name="Flèche gauche 1">
          <a:hlinkClick xmlns:r="http://schemas.openxmlformats.org/officeDocument/2006/relationships" r:id="rId2"/>
          <a:extLst>
            <a:ext uri="{FF2B5EF4-FFF2-40B4-BE49-F238E27FC236}">
              <a16:creationId xmlns:a16="http://schemas.microsoft.com/office/drawing/2014/main" id="{00000000-0008-0000-1F00-0000F5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14" name="Flèche gauche 1">
          <a:hlinkClick xmlns:r="http://schemas.openxmlformats.org/officeDocument/2006/relationships" r:id="rId1"/>
          <a:extLst>
            <a:ext uri="{FF2B5EF4-FFF2-40B4-BE49-F238E27FC236}">
              <a16:creationId xmlns:a16="http://schemas.microsoft.com/office/drawing/2014/main" id="{00000000-0008-0000-1F00-0000F6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15" name="Flèche gauche 1">
          <a:hlinkClick xmlns:r="http://schemas.openxmlformats.org/officeDocument/2006/relationships" r:id="rId1"/>
          <a:extLst>
            <a:ext uri="{FF2B5EF4-FFF2-40B4-BE49-F238E27FC236}">
              <a16:creationId xmlns:a16="http://schemas.microsoft.com/office/drawing/2014/main" id="{00000000-0008-0000-1F00-0000F7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16" name="Flèche gauche 1">
          <a:hlinkClick xmlns:r="http://schemas.openxmlformats.org/officeDocument/2006/relationships" r:id="rId1"/>
          <a:extLst>
            <a:ext uri="{FF2B5EF4-FFF2-40B4-BE49-F238E27FC236}">
              <a16:creationId xmlns:a16="http://schemas.microsoft.com/office/drawing/2014/main" id="{00000000-0008-0000-1F00-0000F8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17" name="Flèche gauche 1">
          <a:hlinkClick xmlns:r="http://schemas.openxmlformats.org/officeDocument/2006/relationships" r:id="rId2"/>
          <a:extLst>
            <a:ext uri="{FF2B5EF4-FFF2-40B4-BE49-F238E27FC236}">
              <a16:creationId xmlns:a16="http://schemas.microsoft.com/office/drawing/2014/main" id="{00000000-0008-0000-1F00-0000F9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18" name="Flèche gauche 1">
          <a:hlinkClick xmlns:r="http://schemas.openxmlformats.org/officeDocument/2006/relationships" r:id="rId1"/>
          <a:extLst>
            <a:ext uri="{FF2B5EF4-FFF2-40B4-BE49-F238E27FC236}">
              <a16:creationId xmlns:a16="http://schemas.microsoft.com/office/drawing/2014/main" id="{00000000-0008-0000-1F00-0000FA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19" name="Flèche gauche 1">
          <a:hlinkClick xmlns:r="http://schemas.openxmlformats.org/officeDocument/2006/relationships" r:id="rId1"/>
          <a:extLst>
            <a:ext uri="{FF2B5EF4-FFF2-40B4-BE49-F238E27FC236}">
              <a16:creationId xmlns:a16="http://schemas.microsoft.com/office/drawing/2014/main" id="{00000000-0008-0000-1F00-0000FB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20" name="Flèche gauche 1">
          <a:hlinkClick xmlns:r="http://schemas.openxmlformats.org/officeDocument/2006/relationships" r:id="rId1"/>
          <a:extLst>
            <a:ext uri="{FF2B5EF4-FFF2-40B4-BE49-F238E27FC236}">
              <a16:creationId xmlns:a16="http://schemas.microsoft.com/office/drawing/2014/main" id="{00000000-0008-0000-1F00-0000FC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21" name="Flèche gauche 1">
          <a:hlinkClick xmlns:r="http://schemas.openxmlformats.org/officeDocument/2006/relationships" r:id="rId2"/>
          <a:extLst>
            <a:ext uri="{FF2B5EF4-FFF2-40B4-BE49-F238E27FC236}">
              <a16:creationId xmlns:a16="http://schemas.microsoft.com/office/drawing/2014/main" id="{00000000-0008-0000-1F00-0000FD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22" name="Flèche gauche 1">
          <a:hlinkClick xmlns:r="http://schemas.openxmlformats.org/officeDocument/2006/relationships" r:id="rId1"/>
          <a:extLst>
            <a:ext uri="{FF2B5EF4-FFF2-40B4-BE49-F238E27FC236}">
              <a16:creationId xmlns:a16="http://schemas.microsoft.com/office/drawing/2014/main" id="{00000000-0008-0000-1F00-0000FE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23" name="Flèche gauche 1">
          <a:hlinkClick xmlns:r="http://schemas.openxmlformats.org/officeDocument/2006/relationships" r:id="rId1"/>
          <a:extLst>
            <a:ext uri="{FF2B5EF4-FFF2-40B4-BE49-F238E27FC236}">
              <a16:creationId xmlns:a16="http://schemas.microsoft.com/office/drawing/2014/main" id="{00000000-0008-0000-1F00-0000FF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24" name="Flèche gauche 1">
          <a:hlinkClick xmlns:r="http://schemas.openxmlformats.org/officeDocument/2006/relationships" r:id="rId1"/>
          <a:extLst>
            <a:ext uri="{FF2B5EF4-FFF2-40B4-BE49-F238E27FC236}">
              <a16:creationId xmlns:a16="http://schemas.microsoft.com/office/drawing/2014/main" id="{00000000-0008-0000-1F00-000000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25" name="Flèche gauche 1">
          <a:hlinkClick xmlns:r="http://schemas.openxmlformats.org/officeDocument/2006/relationships" r:id="rId2"/>
          <a:extLst>
            <a:ext uri="{FF2B5EF4-FFF2-40B4-BE49-F238E27FC236}">
              <a16:creationId xmlns:a16="http://schemas.microsoft.com/office/drawing/2014/main" id="{00000000-0008-0000-1F00-000001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26" name="Flèche gauche 1">
          <a:hlinkClick xmlns:r="http://schemas.openxmlformats.org/officeDocument/2006/relationships" r:id="rId1"/>
          <a:extLst>
            <a:ext uri="{FF2B5EF4-FFF2-40B4-BE49-F238E27FC236}">
              <a16:creationId xmlns:a16="http://schemas.microsoft.com/office/drawing/2014/main" id="{00000000-0008-0000-1F00-000002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27" name="Flèche gauche 1">
          <a:hlinkClick xmlns:r="http://schemas.openxmlformats.org/officeDocument/2006/relationships" r:id="rId1"/>
          <a:extLst>
            <a:ext uri="{FF2B5EF4-FFF2-40B4-BE49-F238E27FC236}">
              <a16:creationId xmlns:a16="http://schemas.microsoft.com/office/drawing/2014/main" id="{00000000-0008-0000-1F00-000003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28" name="Flèche gauche 1">
          <a:hlinkClick xmlns:r="http://schemas.openxmlformats.org/officeDocument/2006/relationships" r:id="rId1"/>
          <a:extLst>
            <a:ext uri="{FF2B5EF4-FFF2-40B4-BE49-F238E27FC236}">
              <a16:creationId xmlns:a16="http://schemas.microsoft.com/office/drawing/2014/main" id="{00000000-0008-0000-1F00-000004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29" name="Flèche gauche 1">
          <a:hlinkClick xmlns:r="http://schemas.openxmlformats.org/officeDocument/2006/relationships" r:id="rId2"/>
          <a:extLst>
            <a:ext uri="{FF2B5EF4-FFF2-40B4-BE49-F238E27FC236}">
              <a16:creationId xmlns:a16="http://schemas.microsoft.com/office/drawing/2014/main" id="{00000000-0008-0000-1F00-000005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30" name="Flèche gauche 1">
          <a:hlinkClick xmlns:r="http://schemas.openxmlformats.org/officeDocument/2006/relationships" r:id="rId1"/>
          <a:extLst>
            <a:ext uri="{FF2B5EF4-FFF2-40B4-BE49-F238E27FC236}">
              <a16:creationId xmlns:a16="http://schemas.microsoft.com/office/drawing/2014/main" id="{00000000-0008-0000-1F00-000006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31" name="Flèche gauche 1">
          <a:hlinkClick xmlns:r="http://schemas.openxmlformats.org/officeDocument/2006/relationships" r:id="rId1"/>
          <a:extLst>
            <a:ext uri="{FF2B5EF4-FFF2-40B4-BE49-F238E27FC236}">
              <a16:creationId xmlns:a16="http://schemas.microsoft.com/office/drawing/2014/main" id="{00000000-0008-0000-1F00-000007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32" name="Flèche gauche 1">
          <a:hlinkClick xmlns:r="http://schemas.openxmlformats.org/officeDocument/2006/relationships" r:id="rId1"/>
          <a:extLst>
            <a:ext uri="{FF2B5EF4-FFF2-40B4-BE49-F238E27FC236}">
              <a16:creationId xmlns:a16="http://schemas.microsoft.com/office/drawing/2014/main" id="{00000000-0008-0000-1F00-000008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33" name="Flèche gauche 1">
          <a:hlinkClick xmlns:r="http://schemas.openxmlformats.org/officeDocument/2006/relationships" r:id="rId2"/>
          <a:extLst>
            <a:ext uri="{FF2B5EF4-FFF2-40B4-BE49-F238E27FC236}">
              <a16:creationId xmlns:a16="http://schemas.microsoft.com/office/drawing/2014/main" id="{00000000-0008-0000-1F00-000009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34" name="Flèche gauche 1">
          <a:hlinkClick xmlns:r="http://schemas.openxmlformats.org/officeDocument/2006/relationships" r:id="rId1"/>
          <a:extLst>
            <a:ext uri="{FF2B5EF4-FFF2-40B4-BE49-F238E27FC236}">
              <a16:creationId xmlns:a16="http://schemas.microsoft.com/office/drawing/2014/main" id="{00000000-0008-0000-1F00-00000A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35" name="Flèche gauche 1">
          <a:hlinkClick xmlns:r="http://schemas.openxmlformats.org/officeDocument/2006/relationships" r:id="rId1"/>
          <a:extLst>
            <a:ext uri="{FF2B5EF4-FFF2-40B4-BE49-F238E27FC236}">
              <a16:creationId xmlns:a16="http://schemas.microsoft.com/office/drawing/2014/main" id="{00000000-0008-0000-1F00-00000B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36" name="Flèche gauche 1">
          <a:hlinkClick xmlns:r="http://schemas.openxmlformats.org/officeDocument/2006/relationships" r:id="rId1"/>
          <a:extLst>
            <a:ext uri="{FF2B5EF4-FFF2-40B4-BE49-F238E27FC236}">
              <a16:creationId xmlns:a16="http://schemas.microsoft.com/office/drawing/2014/main" id="{00000000-0008-0000-1F00-00000C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37" name="Flèche gauche 1">
          <a:hlinkClick xmlns:r="http://schemas.openxmlformats.org/officeDocument/2006/relationships" r:id="rId2"/>
          <a:extLst>
            <a:ext uri="{FF2B5EF4-FFF2-40B4-BE49-F238E27FC236}">
              <a16:creationId xmlns:a16="http://schemas.microsoft.com/office/drawing/2014/main" id="{00000000-0008-0000-1F00-00000D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38" name="Flèche gauche 1">
          <a:hlinkClick xmlns:r="http://schemas.openxmlformats.org/officeDocument/2006/relationships" r:id="rId1"/>
          <a:extLst>
            <a:ext uri="{FF2B5EF4-FFF2-40B4-BE49-F238E27FC236}">
              <a16:creationId xmlns:a16="http://schemas.microsoft.com/office/drawing/2014/main" id="{00000000-0008-0000-1F00-00000E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39" name="Flèche gauche 1">
          <a:hlinkClick xmlns:r="http://schemas.openxmlformats.org/officeDocument/2006/relationships" r:id="rId1"/>
          <a:extLst>
            <a:ext uri="{FF2B5EF4-FFF2-40B4-BE49-F238E27FC236}">
              <a16:creationId xmlns:a16="http://schemas.microsoft.com/office/drawing/2014/main" id="{00000000-0008-0000-1F00-00000F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40" name="Flèche gauche 1">
          <a:hlinkClick xmlns:r="http://schemas.openxmlformats.org/officeDocument/2006/relationships" r:id="rId1"/>
          <a:extLst>
            <a:ext uri="{FF2B5EF4-FFF2-40B4-BE49-F238E27FC236}">
              <a16:creationId xmlns:a16="http://schemas.microsoft.com/office/drawing/2014/main" id="{00000000-0008-0000-1F00-000010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41" name="Flèche gauche 1">
          <a:hlinkClick xmlns:r="http://schemas.openxmlformats.org/officeDocument/2006/relationships" r:id="rId2"/>
          <a:extLst>
            <a:ext uri="{FF2B5EF4-FFF2-40B4-BE49-F238E27FC236}">
              <a16:creationId xmlns:a16="http://schemas.microsoft.com/office/drawing/2014/main" id="{00000000-0008-0000-1F00-000011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42" name="Flèche gauche 1">
          <a:hlinkClick xmlns:r="http://schemas.openxmlformats.org/officeDocument/2006/relationships" r:id="rId1"/>
          <a:extLst>
            <a:ext uri="{FF2B5EF4-FFF2-40B4-BE49-F238E27FC236}">
              <a16:creationId xmlns:a16="http://schemas.microsoft.com/office/drawing/2014/main" id="{00000000-0008-0000-1F00-000012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43" name="Flèche gauche 1">
          <a:hlinkClick xmlns:r="http://schemas.openxmlformats.org/officeDocument/2006/relationships" r:id="rId1"/>
          <a:extLst>
            <a:ext uri="{FF2B5EF4-FFF2-40B4-BE49-F238E27FC236}">
              <a16:creationId xmlns:a16="http://schemas.microsoft.com/office/drawing/2014/main" id="{00000000-0008-0000-1F00-000013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44" name="Flèche gauche 1">
          <a:hlinkClick xmlns:r="http://schemas.openxmlformats.org/officeDocument/2006/relationships" r:id="rId1"/>
          <a:extLst>
            <a:ext uri="{FF2B5EF4-FFF2-40B4-BE49-F238E27FC236}">
              <a16:creationId xmlns:a16="http://schemas.microsoft.com/office/drawing/2014/main" id="{00000000-0008-0000-1F00-000014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45" name="Flèche gauche 1">
          <a:hlinkClick xmlns:r="http://schemas.openxmlformats.org/officeDocument/2006/relationships" r:id="rId2"/>
          <a:extLst>
            <a:ext uri="{FF2B5EF4-FFF2-40B4-BE49-F238E27FC236}">
              <a16:creationId xmlns:a16="http://schemas.microsoft.com/office/drawing/2014/main" id="{00000000-0008-0000-1F00-000015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46" name="Flèche gauche 1">
          <a:hlinkClick xmlns:r="http://schemas.openxmlformats.org/officeDocument/2006/relationships" r:id="rId1"/>
          <a:extLst>
            <a:ext uri="{FF2B5EF4-FFF2-40B4-BE49-F238E27FC236}">
              <a16:creationId xmlns:a16="http://schemas.microsoft.com/office/drawing/2014/main" id="{00000000-0008-0000-1F00-000016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47" name="Flèche gauche 1">
          <a:hlinkClick xmlns:r="http://schemas.openxmlformats.org/officeDocument/2006/relationships" r:id="rId1"/>
          <a:extLst>
            <a:ext uri="{FF2B5EF4-FFF2-40B4-BE49-F238E27FC236}">
              <a16:creationId xmlns:a16="http://schemas.microsoft.com/office/drawing/2014/main" id="{00000000-0008-0000-1F00-000017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48" name="Flèche gauche 1">
          <a:hlinkClick xmlns:r="http://schemas.openxmlformats.org/officeDocument/2006/relationships" r:id="rId1"/>
          <a:extLst>
            <a:ext uri="{FF2B5EF4-FFF2-40B4-BE49-F238E27FC236}">
              <a16:creationId xmlns:a16="http://schemas.microsoft.com/office/drawing/2014/main" id="{00000000-0008-0000-1F00-000018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49" name="Flèche gauche 1">
          <a:hlinkClick xmlns:r="http://schemas.openxmlformats.org/officeDocument/2006/relationships" r:id="rId2"/>
          <a:extLst>
            <a:ext uri="{FF2B5EF4-FFF2-40B4-BE49-F238E27FC236}">
              <a16:creationId xmlns:a16="http://schemas.microsoft.com/office/drawing/2014/main" id="{00000000-0008-0000-1F00-000019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50" name="Flèche gauche 1">
          <a:hlinkClick xmlns:r="http://schemas.openxmlformats.org/officeDocument/2006/relationships" r:id="rId1"/>
          <a:extLst>
            <a:ext uri="{FF2B5EF4-FFF2-40B4-BE49-F238E27FC236}">
              <a16:creationId xmlns:a16="http://schemas.microsoft.com/office/drawing/2014/main" id="{00000000-0008-0000-1F00-00001A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51" name="Flèche gauche 1">
          <a:hlinkClick xmlns:r="http://schemas.openxmlformats.org/officeDocument/2006/relationships" r:id="rId1"/>
          <a:extLst>
            <a:ext uri="{FF2B5EF4-FFF2-40B4-BE49-F238E27FC236}">
              <a16:creationId xmlns:a16="http://schemas.microsoft.com/office/drawing/2014/main" id="{00000000-0008-0000-1F00-00001B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52" name="Flèche gauche 1">
          <a:hlinkClick xmlns:r="http://schemas.openxmlformats.org/officeDocument/2006/relationships" r:id="rId1"/>
          <a:extLst>
            <a:ext uri="{FF2B5EF4-FFF2-40B4-BE49-F238E27FC236}">
              <a16:creationId xmlns:a16="http://schemas.microsoft.com/office/drawing/2014/main" id="{00000000-0008-0000-1F00-00001C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53" name="Flèche gauche 1">
          <a:hlinkClick xmlns:r="http://schemas.openxmlformats.org/officeDocument/2006/relationships" r:id="rId2"/>
          <a:extLst>
            <a:ext uri="{FF2B5EF4-FFF2-40B4-BE49-F238E27FC236}">
              <a16:creationId xmlns:a16="http://schemas.microsoft.com/office/drawing/2014/main" id="{00000000-0008-0000-1F00-00001D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54" name="Flèche gauche 1">
          <a:hlinkClick xmlns:r="http://schemas.openxmlformats.org/officeDocument/2006/relationships" r:id="rId1"/>
          <a:extLst>
            <a:ext uri="{FF2B5EF4-FFF2-40B4-BE49-F238E27FC236}">
              <a16:creationId xmlns:a16="http://schemas.microsoft.com/office/drawing/2014/main" id="{00000000-0008-0000-1F00-00001E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55" name="Flèche gauche 1">
          <a:hlinkClick xmlns:r="http://schemas.openxmlformats.org/officeDocument/2006/relationships" r:id="rId1"/>
          <a:extLst>
            <a:ext uri="{FF2B5EF4-FFF2-40B4-BE49-F238E27FC236}">
              <a16:creationId xmlns:a16="http://schemas.microsoft.com/office/drawing/2014/main" id="{00000000-0008-0000-1F00-00001F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56" name="Flèche gauche 1">
          <a:hlinkClick xmlns:r="http://schemas.openxmlformats.org/officeDocument/2006/relationships" r:id="rId1"/>
          <a:extLst>
            <a:ext uri="{FF2B5EF4-FFF2-40B4-BE49-F238E27FC236}">
              <a16:creationId xmlns:a16="http://schemas.microsoft.com/office/drawing/2014/main" id="{00000000-0008-0000-1F00-000020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57" name="Flèche gauche 1">
          <a:hlinkClick xmlns:r="http://schemas.openxmlformats.org/officeDocument/2006/relationships" r:id="rId2"/>
          <a:extLst>
            <a:ext uri="{FF2B5EF4-FFF2-40B4-BE49-F238E27FC236}">
              <a16:creationId xmlns:a16="http://schemas.microsoft.com/office/drawing/2014/main" id="{00000000-0008-0000-1F00-000021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58" name="Flèche gauche 1">
          <a:hlinkClick xmlns:r="http://schemas.openxmlformats.org/officeDocument/2006/relationships" r:id="rId1"/>
          <a:extLst>
            <a:ext uri="{FF2B5EF4-FFF2-40B4-BE49-F238E27FC236}">
              <a16:creationId xmlns:a16="http://schemas.microsoft.com/office/drawing/2014/main" id="{00000000-0008-0000-1F00-000022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59" name="Flèche gauche 1">
          <a:hlinkClick xmlns:r="http://schemas.openxmlformats.org/officeDocument/2006/relationships" r:id="rId1"/>
          <a:extLst>
            <a:ext uri="{FF2B5EF4-FFF2-40B4-BE49-F238E27FC236}">
              <a16:creationId xmlns:a16="http://schemas.microsoft.com/office/drawing/2014/main" id="{00000000-0008-0000-1F00-000023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60" name="Flèche gauche 1">
          <a:hlinkClick xmlns:r="http://schemas.openxmlformats.org/officeDocument/2006/relationships" r:id="rId1"/>
          <a:extLst>
            <a:ext uri="{FF2B5EF4-FFF2-40B4-BE49-F238E27FC236}">
              <a16:creationId xmlns:a16="http://schemas.microsoft.com/office/drawing/2014/main" id="{00000000-0008-0000-1F00-000024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61" name="Flèche gauche 1">
          <a:hlinkClick xmlns:r="http://schemas.openxmlformats.org/officeDocument/2006/relationships" r:id="rId2"/>
          <a:extLst>
            <a:ext uri="{FF2B5EF4-FFF2-40B4-BE49-F238E27FC236}">
              <a16:creationId xmlns:a16="http://schemas.microsoft.com/office/drawing/2014/main" id="{00000000-0008-0000-1F00-000025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62" name="Flèche gauche 1">
          <a:hlinkClick xmlns:r="http://schemas.openxmlformats.org/officeDocument/2006/relationships" r:id="rId1"/>
          <a:extLst>
            <a:ext uri="{FF2B5EF4-FFF2-40B4-BE49-F238E27FC236}">
              <a16:creationId xmlns:a16="http://schemas.microsoft.com/office/drawing/2014/main" id="{00000000-0008-0000-1F00-000026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63" name="Flèche gauche 1">
          <a:hlinkClick xmlns:r="http://schemas.openxmlformats.org/officeDocument/2006/relationships" r:id="rId1"/>
          <a:extLst>
            <a:ext uri="{FF2B5EF4-FFF2-40B4-BE49-F238E27FC236}">
              <a16:creationId xmlns:a16="http://schemas.microsoft.com/office/drawing/2014/main" id="{00000000-0008-0000-1F00-000027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64" name="Flèche gauche 1">
          <a:hlinkClick xmlns:r="http://schemas.openxmlformats.org/officeDocument/2006/relationships" r:id="rId1"/>
          <a:extLst>
            <a:ext uri="{FF2B5EF4-FFF2-40B4-BE49-F238E27FC236}">
              <a16:creationId xmlns:a16="http://schemas.microsoft.com/office/drawing/2014/main" id="{00000000-0008-0000-1F00-000028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65" name="Flèche gauche 1">
          <a:hlinkClick xmlns:r="http://schemas.openxmlformats.org/officeDocument/2006/relationships" r:id="rId2"/>
          <a:extLst>
            <a:ext uri="{FF2B5EF4-FFF2-40B4-BE49-F238E27FC236}">
              <a16:creationId xmlns:a16="http://schemas.microsoft.com/office/drawing/2014/main" id="{00000000-0008-0000-1F00-000029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66" name="Flèche gauche 1">
          <a:hlinkClick xmlns:r="http://schemas.openxmlformats.org/officeDocument/2006/relationships" r:id="rId1"/>
          <a:extLst>
            <a:ext uri="{FF2B5EF4-FFF2-40B4-BE49-F238E27FC236}">
              <a16:creationId xmlns:a16="http://schemas.microsoft.com/office/drawing/2014/main" id="{00000000-0008-0000-1F00-00002A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67" name="Flèche gauche 1">
          <a:hlinkClick xmlns:r="http://schemas.openxmlformats.org/officeDocument/2006/relationships" r:id="rId1"/>
          <a:extLst>
            <a:ext uri="{FF2B5EF4-FFF2-40B4-BE49-F238E27FC236}">
              <a16:creationId xmlns:a16="http://schemas.microsoft.com/office/drawing/2014/main" id="{00000000-0008-0000-1F00-00002B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68" name="Flèche gauche 1">
          <a:hlinkClick xmlns:r="http://schemas.openxmlformats.org/officeDocument/2006/relationships" r:id="rId1"/>
          <a:extLst>
            <a:ext uri="{FF2B5EF4-FFF2-40B4-BE49-F238E27FC236}">
              <a16:creationId xmlns:a16="http://schemas.microsoft.com/office/drawing/2014/main" id="{00000000-0008-0000-1F00-00002C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69" name="Flèche gauche 1">
          <a:hlinkClick xmlns:r="http://schemas.openxmlformats.org/officeDocument/2006/relationships" r:id="rId2"/>
          <a:extLst>
            <a:ext uri="{FF2B5EF4-FFF2-40B4-BE49-F238E27FC236}">
              <a16:creationId xmlns:a16="http://schemas.microsoft.com/office/drawing/2014/main" id="{00000000-0008-0000-1F00-00002D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70" name="Flèche gauche 1">
          <a:hlinkClick xmlns:r="http://schemas.openxmlformats.org/officeDocument/2006/relationships" r:id="rId1"/>
          <a:extLst>
            <a:ext uri="{FF2B5EF4-FFF2-40B4-BE49-F238E27FC236}">
              <a16:creationId xmlns:a16="http://schemas.microsoft.com/office/drawing/2014/main" id="{00000000-0008-0000-1F00-00002E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71" name="Flèche gauche 1">
          <a:hlinkClick xmlns:r="http://schemas.openxmlformats.org/officeDocument/2006/relationships" r:id="rId1"/>
          <a:extLst>
            <a:ext uri="{FF2B5EF4-FFF2-40B4-BE49-F238E27FC236}">
              <a16:creationId xmlns:a16="http://schemas.microsoft.com/office/drawing/2014/main" id="{00000000-0008-0000-1F00-00002F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72" name="Flèche gauche 1">
          <a:hlinkClick xmlns:r="http://schemas.openxmlformats.org/officeDocument/2006/relationships" r:id="rId1"/>
          <a:extLst>
            <a:ext uri="{FF2B5EF4-FFF2-40B4-BE49-F238E27FC236}">
              <a16:creationId xmlns:a16="http://schemas.microsoft.com/office/drawing/2014/main" id="{00000000-0008-0000-1F00-000030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73" name="Flèche gauche 1">
          <a:hlinkClick xmlns:r="http://schemas.openxmlformats.org/officeDocument/2006/relationships" r:id="rId2"/>
          <a:extLst>
            <a:ext uri="{FF2B5EF4-FFF2-40B4-BE49-F238E27FC236}">
              <a16:creationId xmlns:a16="http://schemas.microsoft.com/office/drawing/2014/main" id="{00000000-0008-0000-1F00-000031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74" name="Flèche gauche 1">
          <a:hlinkClick xmlns:r="http://schemas.openxmlformats.org/officeDocument/2006/relationships" r:id="rId1"/>
          <a:extLst>
            <a:ext uri="{FF2B5EF4-FFF2-40B4-BE49-F238E27FC236}">
              <a16:creationId xmlns:a16="http://schemas.microsoft.com/office/drawing/2014/main" id="{00000000-0008-0000-1F00-000032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75" name="Flèche gauche 1">
          <a:hlinkClick xmlns:r="http://schemas.openxmlformats.org/officeDocument/2006/relationships" r:id="rId1"/>
          <a:extLst>
            <a:ext uri="{FF2B5EF4-FFF2-40B4-BE49-F238E27FC236}">
              <a16:creationId xmlns:a16="http://schemas.microsoft.com/office/drawing/2014/main" id="{00000000-0008-0000-1F00-000033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76" name="Flèche gauche 1">
          <a:hlinkClick xmlns:r="http://schemas.openxmlformats.org/officeDocument/2006/relationships" r:id="rId1"/>
          <a:extLst>
            <a:ext uri="{FF2B5EF4-FFF2-40B4-BE49-F238E27FC236}">
              <a16:creationId xmlns:a16="http://schemas.microsoft.com/office/drawing/2014/main" id="{00000000-0008-0000-1F00-000034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77" name="Flèche gauche 1">
          <a:hlinkClick xmlns:r="http://schemas.openxmlformats.org/officeDocument/2006/relationships" r:id="rId2"/>
          <a:extLst>
            <a:ext uri="{FF2B5EF4-FFF2-40B4-BE49-F238E27FC236}">
              <a16:creationId xmlns:a16="http://schemas.microsoft.com/office/drawing/2014/main" id="{00000000-0008-0000-1F00-000035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78" name="Flèche gauche 1">
          <a:hlinkClick xmlns:r="http://schemas.openxmlformats.org/officeDocument/2006/relationships" r:id="rId1"/>
          <a:extLst>
            <a:ext uri="{FF2B5EF4-FFF2-40B4-BE49-F238E27FC236}">
              <a16:creationId xmlns:a16="http://schemas.microsoft.com/office/drawing/2014/main" id="{00000000-0008-0000-1F00-000036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79" name="Flèche gauche 1">
          <a:hlinkClick xmlns:r="http://schemas.openxmlformats.org/officeDocument/2006/relationships" r:id="rId1"/>
          <a:extLst>
            <a:ext uri="{FF2B5EF4-FFF2-40B4-BE49-F238E27FC236}">
              <a16:creationId xmlns:a16="http://schemas.microsoft.com/office/drawing/2014/main" id="{00000000-0008-0000-1F00-000037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80" name="Flèche gauche 1">
          <a:hlinkClick xmlns:r="http://schemas.openxmlformats.org/officeDocument/2006/relationships" r:id="rId1"/>
          <a:extLst>
            <a:ext uri="{FF2B5EF4-FFF2-40B4-BE49-F238E27FC236}">
              <a16:creationId xmlns:a16="http://schemas.microsoft.com/office/drawing/2014/main" id="{00000000-0008-0000-1F00-000038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81" name="Flèche gauche 1">
          <a:hlinkClick xmlns:r="http://schemas.openxmlformats.org/officeDocument/2006/relationships" r:id="rId2"/>
          <a:extLst>
            <a:ext uri="{FF2B5EF4-FFF2-40B4-BE49-F238E27FC236}">
              <a16:creationId xmlns:a16="http://schemas.microsoft.com/office/drawing/2014/main" id="{00000000-0008-0000-1F00-000039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82" name="Flèche gauche 1">
          <a:hlinkClick xmlns:r="http://schemas.openxmlformats.org/officeDocument/2006/relationships" r:id="rId1"/>
          <a:extLst>
            <a:ext uri="{FF2B5EF4-FFF2-40B4-BE49-F238E27FC236}">
              <a16:creationId xmlns:a16="http://schemas.microsoft.com/office/drawing/2014/main" id="{00000000-0008-0000-1F00-00003A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83" name="Flèche gauche 1">
          <a:hlinkClick xmlns:r="http://schemas.openxmlformats.org/officeDocument/2006/relationships" r:id="rId1"/>
          <a:extLst>
            <a:ext uri="{FF2B5EF4-FFF2-40B4-BE49-F238E27FC236}">
              <a16:creationId xmlns:a16="http://schemas.microsoft.com/office/drawing/2014/main" id="{00000000-0008-0000-1F00-00003B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84" name="Flèche gauche 1">
          <a:hlinkClick xmlns:r="http://schemas.openxmlformats.org/officeDocument/2006/relationships" r:id="rId1"/>
          <a:extLst>
            <a:ext uri="{FF2B5EF4-FFF2-40B4-BE49-F238E27FC236}">
              <a16:creationId xmlns:a16="http://schemas.microsoft.com/office/drawing/2014/main" id="{00000000-0008-0000-1F00-00003C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85" name="Flèche gauche 1">
          <a:hlinkClick xmlns:r="http://schemas.openxmlformats.org/officeDocument/2006/relationships" r:id="rId2"/>
          <a:extLst>
            <a:ext uri="{FF2B5EF4-FFF2-40B4-BE49-F238E27FC236}">
              <a16:creationId xmlns:a16="http://schemas.microsoft.com/office/drawing/2014/main" id="{00000000-0008-0000-1F00-00003D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86" name="Flèche gauche 1">
          <a:hlinkClick xmlns:r="http://schemas.openxmlformats.org/officeDocument/2006/relationships" r:id="rId1"/>
          <a:extLst>
            <a:ext uri="{FF2B5EF4-FFF2-40B4-BE49-F238E27FC236}">
              <a16:creationId xmlns:a16="http://schemas.microsoft.com/office/drawing/2014/main" id="{00000000-0008-0000-1F00-00003E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87" name="Flèche gauche 1">
          <a:hlinkClick xmlns:r="http://schemas.openxmlformats.org/officeDocument/2006/relationships" r:id="rId1"/>
          <a:extLst>
            <a:ext uri="{FF2B5EF4-FFF2-40B4-BE49-F238E27FC236}">
              <a16:creationId xmlns:a16="http://schemas.microsoft.com/office/drawing/2014/main" id="{00000000-0008-0000-1F00-00003F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88" name="Flèche gauche 1">
          <a:hlinkClick xmlns:r="http://schemas.openxmlformats.org/officeDocument/2006/relationships" r:id="rId1"/>
          <a:extLst>
            <a:ext uri="{FF2B5EF4-FFF2-40B4-BE49-F238E27FC236}">
              <a16:creationId xmlns:a16="http://schemas.microsoft.com/office/drawing/2014/main" id="{00000000-0008-0000-1F00-000040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89" name="Flèche gauche 1">
          <a:hlinkClick xmlns:r="http://schemas.openxmlformats.org/officeDocument/2006/relationships" r:id="rId2"/>
          <a:extLst>
            <a:ext uri="{FF2B5EF4-FFF2-40B4-BE49-F238E27FC236}">
              <a16:creationId xmlns:a16="http://schemas.microsoft.com/office/drawing/2014/main" id="{00000000-0008-0000-1F00-000041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90" name="Flèche gauche 1">
          <a:hlinkClick xmlns:r="http://schemas.openxmlformats.org/officeDocument/2006/relationships" r:id="rId1"/>
          <a:extLst>
            <a:ext uri="{FF2B5EF4-FFF2-40B4-BE49-F238E27FC236}">
              <a16:creationId xmlns:a16="http://schemas.microsoft.com/office/drawing/2014/main" id="{00000000-0008-0000-1F00-000042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91" name="Flèche gauche 1">
          <a:hlinkClick xmlns:r="http://schemas.openxmlformats.org/officeDocument/2006/relationships" r:id="rId1"/>
          <a:extLst>
            <a:ext uri="{FF2B5EF4-FFF2-40B4-BE49-F238E27FC236}">
              <a16:creationId xmlns:a16="http://schemas.microsoft.com/office/drawing/2014/main" id="{00000000-0008-0000-1F00-000043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92" name="Flèche gauche 1">
          <a:hlinkClick xmlns:r="http://schemas.openxmlformats.org/officeDocument/2006/relationships" r:id="rId1"/>
          <a:extLst>
            <a:ext uri="{FF2B5EF4-FFF2-40B4-BE49-F238E27FC236}">
              <a16:creationId xmlns:a16="http://schemas.microsoft.com/office/drawing/2014/main" id="{00000000-0008-0000-1F00-000044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93" name="Flèche gauche 1">
          <a:hlinkClick xmlns:r="http://schemas.openxmlformats.org/officeDocument/2006/relationships" r:id="rId2"/>
          <a:extLst>
            <a:ext uri="{FF2B5EF4-FFF2-40B4-BE49-F238E27FC236}">
              <a16:creationId xmlns:a16="http://schemas.microsoft.com/office/drawing/2014/main" id="{00000000-0008-0000-1F00-000045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94" name="Flèche gauche 1">
          <a:hlinkClick xmlns:r="http://schemas.openxmlformats.org/officeDocument/2006/relationships" r:id="rId1"/>
          <a:extLst>
            <a:ext uri="{FF2B5EF4-FFF2-40B4-BE49-F238E27FC236}">
              <a16:creationId xmlns:a16="http://schemas.microsoft.com/office/drawing/2014/main" id="{00000000-0008-0000-1F00-000046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95" name="Flèche gauche 1">
          <a:hlinkClick xmlns:r="http://schemas.openxmlformats.org/officeDocument/2006/relationships" r:id="rId1"/>
          <a:extLst>
            <a:ext uri="{FF2B5EF4-FFF2-40B4-BE49-F238E27FC236}">
              <a16:creationId xmlns:a16="http://schemas.microsoft.com/office/drawing/2014/main" id="{00000000-0008-0000-1F00-000047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96" name="Flèche gauche 1">
          <a:hlinkClick xmlns:r="http://schemas.openxmlformats.org/officeDocument/2006/relationships" r:id="rId1"/>
          <a:extLst>
            <a:ext uri="{FF2B5EF4-FFF2-40B4-BE49-F238E27FC236}">
              <a16:creationId xmlns:a16="http://schemas.microsoft.com/office/drawing/2014/main" id="{00000000-0008-0000-1F00-000048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97" name="Flèche gauche 1">
          <a:hlinkClick xmlns:r="http://schemas.openxmlformats.org/officeDocument/2006/relationships" r:id="rId2"/>
          <a:extLst>
            <a:ext uri="{FF2B5EF4-FFF2-40B4-BE49-F238E27FC236}">
              <a16:creationId xmlns:a16="http://schemas.microsoft.com/office/drawing/2014/main" id="{00000000-0008-0000-1F00-000049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98" name="Flèche gauche 1">
          <a:hlinkClick xmlns:r="http://schemas.openxmlformats.org/officeDocument/2006/relationships" r:id="rId1"/>
          <a:extLst>
            <a:ext uri="{FF2B5EF4-FFF2-40B4-BE49-F238E27FC236}">
              <a16:creationId xmlns:a16="http://schemas.microsoft.com/office/drawing/2014/main" id="{00000000-0008-0000-1F00-00004A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99" name="Flèche gauche 1">
          <a:hlinkClick xmlns:r="http://schemas.openxmlformats.org/officeDocument/2006/relationships" r:id="rId1"/>
          <a:extLst>
            <a:ext uri="{FF2B5EF4-FFF2-40B4-BE49-F238E27FC236}">
              <a16:creationId xmlns:a16="http://schemas.microsoft.com/office/drawing/2014/main" id="{00000000-0008-0000-1F00-00004B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00" name="Flèche gauche 1">
          <a:hlinkClick xmlns:r="http://schemas.openxmlformats.org/officeDocument/2006/relationships" r:id="rId1"/>
          <a:extLst>
            <a:ext uri="{FF2B5EF4-FFF2-40B4-BE49-F238E27FC236}">
              <a16:creationId xmlns:a16="http://schemas.microsoft.com/office/drawing/2014/main" id="{00000000-0008-0000-1F00-00004C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01" name="Flèche gauche 1">
          <a:hlinkClick xmlns:r="http://schemas.openxmlformats.org/officeDocument/2006/relationships" r:id="rId2"/>
          <a:extLst>
            <a:ext uri="{FF2B5EF4-FFF2-40B4-BE49-F238E27FC236}">
              <a16:creationId xmlns:a16="http://schemas.microsoft.com/office/drawing/2014/main" id="{00000000-0008-0000-1F00-00004D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02" name="Flèche gauche 1">
          <a:hlinkClick xmlns:r="http://schemas.openxmlformats.org/officeDocument/2006/relationships" r:id="rId1"/>
          <a:extLst>
            <a:ext uri="{FF2B5EF4-FFF2-40B4-BE49-F238E27FC236}">
              <a16:creationId xmlns:a16="http://schemas.microsoft.com/office/drawing/2014/main" id="{00000000-0008-0000-1F00-00004E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03" name="Flèche gauche 1">
          <a:hlinkClick xmlns:r="http://schemas.openxmlformats.org/officeDocument/2006/relationships" r:id="rId1"/>
          <a:extLst>
            <a:ext uri="{FF2B5EF4-FFF2-40B4-BE49-F238E27FC236}">
              <a16:creationId xmlns:a16="http://schemas.microsoft.com/office/drawing/2014/main" id="{00000000-0008-0000-1F00-00004F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04" name="Flèche gauche 1">
          <a:hlinkClick xmlns:r="http://schemas.openxmlformats.org/officeDocument/2006/relationships" r:id="rId1"/>
          <a:extLst>
            <a:ext uri="{FF2B5EF4-FFF2-40B4-BE49-F238E27FC236}">
              <a16:creationId xmlns:a16="http://schemas.microsoft.com/office/drawing/2014/main" id="{00000000-0008-0000-1F00-000050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05" name="Flèche gauche 1">
          <a:hlinkClick xmlns:r="http://schemas.openxmlformats.org/officeDocument/2006/relationships" r:id="rId2"/>
          <a:extLst>
            <a:ext uri="{FF2B5EF4-FFF2-40B4-BE49-F238E27FC236}">
              <a16:creationId xmlns:a16="http://schemas.microsoft.com/office/drawing/2014/main" id="{00000000-0008-0000-1F00-000051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06" name="Flèche gauche 1">
          <a:hlinkClick xmlns:r="http://schemas.openxmlformats.org/officeDocument/2006/relationships" r:id="rId1"/>
          <a:extLst>
            <a:ext uri="{FF2B5EF4-FFF2-40B4-BE49-F238E27FC236}">
              <a16:creationId xmlns:a16="http://schemas.microsoft.com/office/drawing/2014/main" id="{00000000-0008-0000-1F00-000052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07" name="Flèche gauche 1">
          <a:hlinkClick xmlns:r="http://schemas.openxmlformats.org/officeDocument/2006/relationships" r:id="rId1"/>
          <a:extLst>
            <a:ext uri="{FF2B5EF4-FFF2-40B4-BE49-F238E27FC236}">
              <a16:creationId xmlns:a16="http://schemas.microsoft.com/office/drawing/2014/main" id="{00000000-0008-0000-1F00-000053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08" name="Flèche gauche 1">
          <a:hlinkClick xmlns:r="http://schemas.openxmlformats.org/officeDocument/2006/relationships" r:id="rId1"/>
          <a:extLst>
            <a:ext uri="{FF2B5EF4-FFF2-40B4-BE49-F238E27FC236}">
              <a16:creationId xmlns:a16="http://schemas.microsoft.com/office/drawing/2014/main" id="{00000000-0008-0000-1F00-000054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09" name="Flèche gauche 1">
          <a:hlinkClick xmlns:r="http://schemas.openxmlformats.org/officeDocument/2006/relationships" r:id="rId2"/>
          <a:extLst>
            <a:ext uri="{FF2B5EF4-FFF2-40B4-BE49-F238E27FC236}">
              <a16:creationId xmlns:a16="http://schemas.microsoft.com/office/drawing/2014/main" id="{00000000-0008-0000-1F00-000055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10" name="Flèche gauche 1">
          <a:hlinkClick xmlns:r="http://schemas.openxmlformats.org/officeDocument/2006/relationships" r:id="rId1"/>
          <a:extLst>
            <a:ext uri="{FF2B5EF4-FFF2-40B4-BE49-F238E27FC236}">
              <a16:creationId xmlns:a16="http://schemas.microsoft.com/office/drawing/2014/main" id="{00000000-0008-0000-1F00-000056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11" name="Flèche gauche 1">
          <a:hlinkClick xmlns:r="http://schemas.openxmlformats.org/officeDocument/2006/relationships" r:id="rId1"/>
          <a:extLst>
            <a:ext uri="{FF2B5EF4-FFF2-40B4-BE49-F238E27FC236}">
              <a16:creationId xmlns:a16="http://schemas.microsoft.com/office/drawing/2014/main" id="{00000000-0008-0000-1F00-000057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12" name="Flèche gauche 1">
          <a:hlinkClick xmlns:r="http://schemas.openxmlformats.org/officeDocument/2006/relationships" r:id="rId1"/>
          <a:extLst>
            <a:ext uri="{FF2B5EF4-FFF2-40B4-BE49-F238E27FC236}">
              <a16:creationId xmlns:a16="http://schemas.microsoft.com/office/drawing/2014/main" id="{00000000-0008-0000-1F00-000058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13" name="Flèche gauche 1">
          <a:hlinkClick xmlns:r="http://schemas.openxmlformats.org/officeDocument/2006/relationships" r:id="rId2"/>
          <a:extLst>
            <a:ext uri="{FF2B5EF4-FFF2-40B4-BE49-F238E27FC236}">
              <a16:creationId xmlns:a16="http://schemas.microsoft.com/office/drawing/2014/main" id="{00000000-0008-0000-1F00-000059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14" name="Flèche gauche 1">
          <a:hlinkClick xmlns:r="http://schemas.openxmlformats.org/officeDocument/2006/relationships" r:id="rId1"/>
          <a:extLst>
            <a:ext uri="{FF2B5EF4-FFF2-40B4-BE49-F238E27FC236}">
              <a16:creationId xmlns:a16="http://schemas.microsoft.com/office/drawing/2014/main" id="{00000000-0008-0000-1F00-00005A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15" name="Flèche gauche 1">
          <a:hlinkClick xmlns:r="http://schemas.openxmlformats.org/officeDocument/2006/relationships" r:id="rId1"/>
          <a:extLst>
            <a:ext uri="{FF2B5EF4-FFF2-40B4-BE49-F238E27FC236}">
              <a16:creationId xmlns:a16="http://schemas.microsoft.com/office/drawing/2014/main" id="{00000000-0008-0000-1F00-00005B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16" name="Flèche gauche 1">
          <a:hlinkClick xmlns:r="http://schemas.openxmlformats.org/officeDocument/2006/relationships" r:id="rId1"/>
          <a:extLst>
            <a:ext uri="{FF2B5EF4-FFF2-40B4-BE49-F238E27FC236}">
              <a16:creationId xmlns:a16="http://schemas.microsoft.com/office/drawing/2014/main" id="{00000000-0008-0000-1F00-00005C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17" name="Flèche gauche 1">
          <a:hlinkClick xmlns:r="http://schemas.openxmlformats.org/officeDocument/2006/relationships" r:id="rId2"/>
          <a:extLst>
            <a:ext uri="{FF2B5EF4-FFF2-40B4-BE49-F238E27FC236}">
              <a16:creationId xmlns:a16="http://schemas.microsoft.com/office/drawing/2014/main" id="{00000000-0008-0000-1F00-00005D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18" name="Flèche gauche 1">
          <a:hlinkClick xmlns:r="http://schemas.openxmlformats.org/officeDocument/2006/relationships" r:id="rId1"/>
          <a:extLst>
            <a:ext uri="{FF2B5EF4-FFF2-40B4-BE49-F238E27FC236}">
              <a16:creationId xmlns:a16="http://schemas.microsoft.com/office/drawing/2014/main" id="{00000000-0008-0000-1F00-00005E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19" name="Flèche gauche 1">
          <a:hlinkClick xmlns:r="http://schemas.openxmlformats.org/officeDocument/2006/relationships" r:id="rId1"/>
          <a:extLst>
            <a:ext uri="{FF2B5EF4-FFF2-40B4-BE49-F238E27FC236}">
              <a16:creationId xmlns:a16="http://schemas.microsoft.com/office/drawing/2014/main" id="{00000000-0008-0000-1F00-00005F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20" name="Flèche gauche 1">
          <a:hlinkClick xmlns:r="http://schemas.openxmlformats.org/officeDocument/2006/relationships" r:id="rId1"/>
          <a:extLst>
            <a:ext uri="{FF2B5EF4-FFF2-40B4-BE49-F238E27FC236}">
              <a16:creationId xmlns:a16="http://schemas.microsoft.com/office/drawing/2014/main" id="{00000000-0008-0000-1F00-000060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21" name="Flèche gauche 1">
          <a:hlinkClick xmlns:r="http://schemas.openxmlformats.org/officeDocument/2006/relationships" r:id="rId2"/>
          <a:extLst>
            <a:ext uri="{FF2B5EF4-FFF2-40B4-BE49-F238E27FC236}">
              <a16:creationId xmlns:a16="http://schemas.microsoft.com/office/drawing/2014/main" id="{00000000-0008-0000-1F00-000061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22" name="Flèche gauche 1">
          <a:hlinkClick xmlns:r="http://schemas.openxmlformats.org/officeDocument/2006/relationships" r:id="rId1"/>
          <a:extLst>
            <a:ext uri="{FF2B5EF4-FFF2-40B4-BE49-F238E27FC236}">
              <a16:creationId xmlns:a16="http://schemas.microsoft.com/office/drawing/2014/main" id="{00000000-0008-0000-1F00-000062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23" name="Flèche gauche 1">
          <a:hlinkClick xmlns:r="http://schemas.openxmlformats.org/officeDocument/2006/relationships" r:id="rId1"/>
          <a:extLst>
            <a:ext uri="{FF2B5EF4-FFF2-40B4-BE49-F238E27FC236}">
              <a16:creationId xmlns:a16="http://schemas.microsoft.com/office/drawing/2014/main" id="{00000000-0008-0000-1F00-000063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24" name="Flèche gauche 1">
          <a:hlinkClick xmlns:r="http://schemas.openxmlformats.org/officeDocument/2006/relationships" r:id="rId1"/>
          <a:extLst>
            <a:ext uri="{FF2B5EF4-FFF2-40B4-BE49-F238E27FC236}">
              <a16:creationId xmlns:a16="http://schemas.microsoft.com/office/drawing/2014/main" id="{00000000-0008-0000-1F00-000064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25" name="Flèche gauche 1">
          <a:hlinkClick xmlns:r="http://schemas.openxmlformats.org/officeDocument/2006/relationships" r:id="rId2"/>
          <a:extLst>
            <a:ext uri="{FF2B5EF4-FFF2-40B4-BE49-F238E27FC236}">
              <a16:creationId xmlns:a16="http://schemas.microsoft.com/office/drawing/2014/main" id="{00000000-0008-0000-1F00-000065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26" name="Flèche gauche 1">
          <a:hlinkClick xmlns:r="http://schemas.openxmlformats.org/officeDocument/2006/relationships" r:id="rId1"/>
          <a:extLst>
            <a:ext uri="{FF2B5EF4-FFF2-40B4-BE49-F238E27FC236}">
              <a16:creationId xmlns:a16="http://schemas.microsoft.com/office/drawing/2014/main" id="{00000000-0008-0000-1F00-000066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27" name="Flèche gauche 1">
          <a:hlinkClick xmlns:r="http://schemas.openxmlformats.org/officeDocument/2006/relationships" r:id="rId1"/>
          <a:extLst>
            <a:ext uri="{FF2B5EF4-FFF2-40B4-BE49-F238E27FC236}">
              <a16:creationId xmlns:a16="http://schemas.microsoft.com/office/drawing/2014/main" id="{00000000-0008-0000-1F00-000067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28" name="Flèche gauche 1">
          <a:hlinkClick xmlns:r="http://schemas.openxmlformats.org/officeDocument/2006/relationships" r:id="rId1"/>
          <a:extLst>
            <a:ext uri="{FF2B5EF4-FFF2-40B4-BE49-F238E27FC236}">
              <a16:creationId xmlns:a16="http://schemas.microsoft.com/office/drawing/2014/main" id="{00000000-0008-0000-1F00-000068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29" name="Flèche gauche 1">
          <a:hlinkClick xmlns:r="http://schemas.openxmlformats.org/officeDocument/2006/relationships" r:id="rId2"/>
          <a:extLst>
            <a:ext uri="{FF2B5EF4-FFF2-40B4-BE49-F238E27FC236}">
              <a16:creationId xmlns:a16="http://schemas.microsoft.com/office/drawing/2014/main" id="{00000000-0008-0000-1F00-000069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30" name="Flèche gauche 1">
          <a:hlinkClick xmlns:r="http://schemas.openxmlformats.org/officeDocument/2006/relationships" r:id="rId1"/>
          <a:extLst>
            <a:ext uri="{FF2B5EF4-FFF2-40B4-BE49-F238E27FC236}">
              <a16:creationId xmlns:a16="http://schemas.microsoft.com/office/drawing/2014/main" id="{00000000-0008-0000-1F00-00006A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31" name="Flèche gauche 1">
          <a:hlinkClick xmlns:r="http://schemas.openxmlformats.org/officeDocument/2006/relationships" r:id="rId1"/>
          <a:extLst>
            <a:ext uri="{FF2B5EF4-FFF2-40B4-BE49-F238E27FC236}">
              <a16:creationId xmlns:a16="http://schemas.microsoft.com/office/drawing/2014/main" id="{00000000-0008-0000-1F00-00006B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32" name="Flèche gauche 1">
          <a:hlinkClick xmlns:r="http://schemas.openxmlformats.org/officeDocument/2006/relationships" r:id="rId1"/>
          <a:extLst>
            <a:ext uri="{FF2B5EF4-FFF2-40B4-BE49-F238E27FC236}">
              <a16:creationId xmlns:a16="http://schemas.microsoft.com/office/drawing/2014/main" id="{00000000-0008-0000-1F00-00006C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33" name="Flèche gauche 1">
          <a:hlinkClick xmlns:r="http://schemas.openxmlformats.org/officeDocument/2006/relationships" r:id="rId2"/>
          <a:extLst>
            <a:ext uri="{FF2B5EF4-FFF2-40B4-BE49-F238E27FC236}">
              <a16:creationId xmlns:a16="http://schemas.microsoft.com/office/drawing/2014/main" id="{00000000-0008-0000-1F00-00006D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34" name="Flèche gauche 1">
          <a:hlinkClick xmlns:r="http://schemas.openxmlformats.org/officeDocument/2006/relationships" r:id="rId1"/>
          <a:extLst>
            <a:ext uri="{FF2B5EF4-FFF2-40B4-BE49-F238E27FC236}">
              <a16:creationId xmlns:a16="http://schemas.microsoft.com/office/drawing/2014/main" id="{00000000-0008-0000-1F00-00006E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35" name="Flèche gauche 1">
          <a:hlinkClick xmlns:r="http://schemas.openxmlformats.org/officeDocument/2006/relationships" r:id="rId1"/>
          <a:extLst>
            <a:ext uri="{FF2B5EF4-FFF2-40B4-BE49-F238E27FC236}">
              <a16:creationId xmlns:a16="http://schemas.microsoft.com/office/drawing/2014/main" id="{00000000-0008-0000-1F00-00006F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36" name="Flèche gauche 1">
          <a:hlinkClick xmlns:r="http://schemas.openxmlformats.org/officeDocument/2006/relationships" r:id="rId1"/>
          <a:extLst>
            <a:ext uri="{FF2B5EF4-FFF2-40B4-BE49-F238E27FC236}">
              <a16:creationId xmlns:a16="http://schemas.microsoft.com/office/drawing/2014/main" id="{00000000-0008-0000-1F00-000070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37" name="Flèche gauche 1">
          <a:hlinkClick xmlns:r="http://schemas.openxmlformats.org/officeDocument/2006/relationships" r:id="rId2"/>
          <a:extLst>
            <a:ext uri="{FF2B5EF4-FFF2-40B4-BE49-F238E27FC236}">
              <a16:creationId xmlns:a16="http://schemas.microsoft.com/office/drawing/2014/main" id="{00000000-0008-0000-1F00-000071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38" name="Flèche gauche 1">
          <a:hlinkClick xmlns:r="http://schemas.openxmlformats.org/officeDocument/2006/relationships" r:id="rId1"/>
          <a:extLst>
            <a:ext uri="{FF2B5EF4-FFF2-40B4-BE49-F238E27FC236}">
              <a16:creationId xmlns:a16="http://schemas.microsoft.com/office/drawing/2014/main" id="{00000000-0008-0000-1F00-000072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39" name="Flèche gauche 1">
          <a:hlinkClick xmlns:r="http://schemas.openxmlformats.org/officeDocument/2006/relationships" r:id="rId1"/>
          <a:extLst>
            <a:ext uri="{FF2B5EF4-FFF2-40B4-BE49-F238E27FC236}">
              <a16:creationId xmlns:a16="http://schemas.microsoft.com/office/drawing/2014/main" id="{00000000-0008-0000-1F00-000073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40" name="Flèche gauche 1">
          <a:hlinkClick xmlns:r="http://schemas.openxmlformats.org/officeDocument/2006/relationships" r:id="rId1"/>
          <a:extLst>
            <a:ext uri="{FF2B5EF4-FFF2-40B4-BE49-F238E27FC236}">
              <a16:creationId xmlns:a16="http://schemas.microsoft.com/office/drawing/2014/main" id="{00000000-0008-0000-1F00-000074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41" name="Flèche gauche 1">
          <a:hlinkClick xmlns:r="http://schemas.openxmlformats.org/officeDocument/2006/relationships" r:id="rId2"/>
          <a:extLst>
            <a:ext uri="{FF2B5EF4-FFF2-40B4-BE49-F238E27FC236}">
              <a16:creationId xmlns:a16="http://schemas.microsoft.com/office/drawing/2014/main" id="{00000000-0008-0000-1F00-000075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42" name="Flèche gauche 1">
          <a:hlinkClick xmlns:r="http://schemas.openxmlformats.org/officeDocument/2006/relationships" r:id="rId1"/>
          <a:extLst>
            <a:ext uri="{FF2B5EF4-FFF2-40B4-BE49-F238E27FC236}">
              <a16:creationId xmlns:a16="http://schemas.microsoft.com/office/drawing/2014/main" id="{00000000-0008-0000-1F00-000076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43" name="Flèche gauche 1">
          <a:hlinkClick xmlns:r="http://schemas.openxmlformats.org/officeDocument/2006/relationships" r:id="rId1"/>
          <a:extLst>
            <a:ext uri="{FF2B5EF4-FFF2-40B4-BE49-F238E27FC236}">
              <a16:creationId xmlns:a16="http://schemas.microsoft.com/office/drawing/2014/main" id="{00000000-0008-0000-1F00-000077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44" name="Flèche gauche 1">
          <a:hlinkClick xmlns:r="http://schemas.openxmlformats.org/officeDocument/2006/relationships" r:id="rId1"/>
          <a:extLst>
            <a:ext uri="{FF2B5EF4-FFF2-40B4-BE49-F238E27FC236}">
              <a16:creationId xmlns:a16="http://schemas.microsoft.com/office/drawing/2014/main" id="{00000000-0008-0000-1F00-000078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45" name="Flèche gauche 1">
          <a:hlinkClick xmlns:r="http://schemas.openxmlformats.org/officeDocument/2006/relationships" r:id="rId2"/>
          <a:extLst>
            <a:ext uri="{FF2B5EF4-FFF2-40B4-BE49-F238E27FC236}">
              <a16:creationId xmlns:a16="http://schemas.microsoft.com/office/drawing/2014/main" id="{00000000-0008-0000-1F00-000079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46" name="Flèche gauche 1">
          <a:hlinkClick xmlns:r="http://schemas.openxmlformats.org/officeDocument/2006/relationships" r:id="rId1"/>
          <a:extLst>
            <a:ext uri="{FF2B5EF4-FFF2-40B4-BE49-F238E27FC236}">
              <a16:creationId xmlns:a16="http://schemas.microsoft.com/office/drawing/2014/main" id="{00000000-0008-0000-1F00-00007A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47" name="Flèche gauche 1">
          <a:hlinkClick xmlns:r="http://schemas.openxmlformats.org/officeDocument/2006/relationships" r:id="rId1"/>
          <a:extLst>
            <a:ext uri="{FF2B5EF4-FFF2-40B4-BE49-F238E27FC236}">
              <a16:creationId xmlns:a16="http://schemas.microsoft.com/office/drawing/2014/main" id="{00000000-0008-0000-1F00-00007B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48" name="Flèche gauche 1">
          <a:hlinkClick xmlns:r="http://schemas.openxmlformats.org/officeDocument/2006/relationships" r:id="rId1"/>
          <a:extLst>
            <a:ext uri="{FF2B5EF4-FFF2-40B4-BE49-F238E27FC236}">
              <a16:creationId xmlns:a16="http://schemas.microsoft.com/office/drawing/2014/main" id="{00000000-0008-0000-1F00-00007C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49" name="Flèche gauche 1">
          <a:hlinkClick xmlns:r="http://schemas.openxmlformats.org/officeDocument/2006/relationships" r:id="rId2"/>
          <a:extLst>
            <a:ext uri="{FF2B5EF4-FFF2-40B4-BE49-F238E27FC236}">
              <a16:creationId xmlns:a16="http://schemas.microsoft.com/office/drawing/2014/main" id="{00000000-0008-0000-1F00-00007D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50" name="Flèche gauche 1">
          <a:hlinkClick xmlns:r="http://schemas.openxmlformats.org/officeDocument/2006/relationships" r:id="rId1"/>
          <a:extLst>
            <a:ext uri="{FF2B5EF4-FFF2-40B4-BE49-F238E27FC236}">
              <a16:creationId xmlns:a16="http://schemas.microsoft.com/office/drawing/2014/main" id="{00000000-0008-0000-1F00-00007E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51" name="Flèche gauche 1">
          <a:hlinkClick xmlns:r="http://schemas.openxmlformats.org/officeDocument/2006/relationships" r:id="rId1"/>
          <a:extLst>
            <a:ext uri="{FF2B5EF4-FFF2-40B4-BE49-F238E27FC236}">
              <a16:creationId xmlns:a16="http://schemas.microsoft.com/office/drawing/2014/main" id="{00000000-0008-0000-1F00-00007F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52" name="Flèche gauche 1">
          <a:hlinkClick xmlns:r="http://schemas.openxmlformats.org/officeDocument/2006/relationships" r:id="rId1"/>
          <a:extLst>
            <a:ext uri="{FF2B5EF4-FFF2-40B4-BE49-F238E27FC236}">
              <a16:creationId xmlns:a16="http://schemas.microsoft.com/office/drawing/2014/main" id="{00000000-0008-0000-1F00-000080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53" name="Flèche gauche 1">
          <a:hlinkClick xmlns:r="http://schemas.openxmlformats.org/officeDocument/2006/relationships" r:id="rId2"/>
          <a:extLst>
            <a:ext uri="{FF2B5EF4-FFF2-40B4-BE49-F238E27FC236}">
              <a16:creationId xmlns:a16="http://schemas.microsoft.com/office/drawing/2014/main" id="{00000000-0008-0000-1F00-000081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54" name="Flèche gauche 1">
          <a:hlinkClick xmlns:r="http://schemas.openxmlformats.org/officeDocument/2006/relationships" r:id="rId1"/>
          <a:extLst>
            <a:ext uri="{FF2B5EF4-FFF2-40B4-BE49-F238E27FC236}">
              <a16:creationId xmlns:a16="http://schemas.microsoft.com/office/drawing/2014/main" id="{00000000-0008-0000-1F00-000082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55" name="Flèche gauche 1">
          <a:hlinkClick xmlns:r="http://schemas.openxmlformats.org/officeDocument/2006/relationships" r:id="rId1"/>
          <a:extLst>
            <a:ext uri="{FF2B5EF4-FFF2-40B4-BE49-F238E27FC236}">
              <a16:creationId xmlns:a16="http://schemas.microsoft.com/office/drawing/2014/main" id="{00000000-0008-0000-1F00-000083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56" name="Flèche gauche 1">
          <a:hlinkClick xmlns:r="http://schemas.openxmlformats.org/officeDocument/2006/relationships" r:id="rId1"/>
          <a:extLst>
            <a:ext uri="{FF2B5EF4-FFF2-40B4-BE49-F238E27FC236}">
              <a16:creationId xmlns:a16="http://schemas.microsoft.com/office/drawing/2014/main" id="{00000000-0008-0000-1F00-000084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57" name="Flèche gauche 1">
          <a:hlinkClick xmlns:r="http://schemas.openxmlformats.org/officeDocument/2006/relationships" r:id="rId2"/>
          <a:extLst>
            <a:ext uri="{FF2B5EF4-FFF2-40B4-BE49-F238E27FC236}">
              <a16:creationId xmlns:a16="http://schemas.microsoft.com/office/drawing/2014/main" id="{00000000-0008-0000-1F00-000085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58" name="Flèche gauche 1">
          <a:hlinkClick xmlns:r="http://schemas.openxmlformats.org/officeDocument/2006/relationships" r:id="rId1"/>
          <a:extLst>
            <a:ext uri="{FF2B5EF4-FFF2-40B4-BE49-F238E27FC236}">
              <a16:creationId xmlns:a16="http://schemas.microsoft.com/office/drawing/2014/main" id="{00000000-0008-0000-1F00-000086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59" name="Flèche gauche 1">
          <a:hlinkClick xmlns:r="http://schemas.openxmlformats.org/officeDocument/2006/relationships" r:id="rId1"/>
          <a:extLst>
            <a:ext uri="{FF2B5EF4-FFF2-40B4-BE49-F238E27FC236}">
              <a16:creationId xmlns:a16="http://schemas.microsoft.com/office/drawing/2014/main" id="{00000000-0008-0000-1F00-000087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60" name="Flèche gauche 1">
          <a:hlinkClick xmlns:r="http://schemas.openxmlformats.org/officeDocument/2006/relationships" r:id="rId1"/>
          <a:extLst>
            <a:ext uri="{FF2B5EF4-FFF2-40B4-BE49-F238E27FC236}">
              <a16:creationId xmlns:a16="http://schemas.microsoft.com/office/drawing/2014/main" id="{00000000-0008-0000-1F00-000088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61" name="Flèche gauche 1">
          <a:hlinkClick xmlns:r="http://schemas.openxmlformats.org/officeDocument/2006/relationships" r:id="rId2"/>
          <a:extLst>
            <a:ext uri="{FF2B5EF4-FFF2-40B4-BE49-F238E27FC236}">
              <a16:creationId xmlns:a16="http://schemas.microsoft.com/office/drawing/2014/main" id="{00000000-0008-0000-1F00-000089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62" name="Flèche gauche 1">
          <a:hlinkClick xmlns:r="http://schemas.openxmlformats.org/officeDocument/2006/relationships" r:id="rId1"/>
          <a:extLst>
            <a:ext uri="{FF2B5EF4-FFF2-40B4-BE49-F238E27FC236}">
              <a16:creationId xmlns:a16="http://schemas.microsoft.com/office/drawing/2014/main" id="{00000000-0008-0000-1F00-00008A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63" name="Flèche gauche 1">
          <a:hlinkClick xmlns:r="http://schemas.openxmlformats.org/officeDocument/2006/relationships" r:id="rId1"/>
          <a:extLst>
            <a:ext uri="{FF2B5EF4-FFF2-40B4-BE49-F238E27FC236}">
              <a16:creationId xmlns:a16="http://schemas.microsoft.com/office/drawing/2014/main" id="{00000000-0008-0000-1F00-00008B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64" name="Flèche gauche 1">
          <a:hlinkClick xmlns:r="http://schemas.openxmlformats.org/officeDocument/2006/relationships" r:id="rId1"/>
          <a:extLst>
            <a:ext uri="{FF2B5EF4-FFF2-40B4-BE49-F238E27FC236}">
              <a16:creationId xmlns:a16="http://schemas.microsoft.com/office/drawing/2014/main" id="{00000000-0008-0000-1F00-00008C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65" name="Flèche gauche 1">
          <a:hlinkClick xmlns:r="http://schemas.openxmlformats.org/officeDocument/2006/relationships" r:id="rId2"/>
          <a:extLst>
            <a:ext uri="{FF2B5EF4-FFF2-40B4-BE49-F238E27FC236}">
              <a16:creationId xmlns:a16="http://schemas.microsoft.com/office/drawing/2014/main" id="{00000000-0008-0000-1F00-00008D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66" name="Flèche gauche 1">
          <a:hlinkClick xmlns:r="http://schemas.openxmlformats.org/officeDocument/2006/relationships" r:id="rId1"/>
          <a:extLst>
            <a:ext uri="{FF2B5EF4-FFF2-40B4-BE49-F238E27FC236}">
              <a16:creationId xmlns:a16="http://schemas.microsoft.com/office/drawing/2014/main" id="{00000000-0008-0000-1F00-00008E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67" name="Flèche gauche 1">
          <a:hlinkClick xmlns:r="http://schemas.openxmlformats.org/officeDocument/2006/relationships" r:id="rId1"/>
          <a:extLst>
            <a:ext uri="{FF2B5EF4-FFF2-40B4-BE49-F238E27FC236}">
              <a16:creationId xmlns:a16="http://schemas.microsoft.com/office/drawing/2014/main" id="{00000000-0008-0000-1F00-00008F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68" name="Flèche gauche 1">
          <a:hlinkClick xmlns:r="http://schemas.openxmlformats.org/officeDocument/2006/relationships" r:id="rId1"/>
          <a:extLst>
            <a:ext uri="{FF2B5EF4-FFF2-40B4-BE49-F238E27FC236}">
              <a16:creationId xmlns:a16="http://schemas.microsoft.com/office/drawing/2014/main" id="{00000000-0008-0000-1F00-000090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69" name="Flèche gauche 1">
          <a:hlinkClick xmlns:r="http://schemas.openxmlformats.org/officeDocument/2006/relationships" r:id="rId2"/>
          <a:extLst>
            <a:ext uri="{FF2B5EF4-FFF2-40B4-BE49-F238E27FC236}">
              <a16:creationId xmlns:a16="http://schemas.microsoft.com/office/drawing/2014/main" id="{00000000-0008-0000-1F00-000091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70" name="Flèche gauche 1">
          <a:hlinkClick xmlns:r="http://schemas.openxmlformats.org/officeDocument/2006/relationships" r:id="rId1"/>
          <a:extLst>
            <a:ext uri="{FF2B5EF4-FFF2-40B4-BE49-F238E27FC236}">
              <a16:creationId xmlns:a16="http://schemas.microsoft.com/office/drawing/2014/main" id="{00000000-0008-0000-1F00-000092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71" name="Flèche gauche 1">
          <a:hlinkClick xmlns:r="http://schemas.openxmlformats.org/officeDocument/2006/relationships" r:id="rId1"/>
          <a:extLst>
            <a:ext uri="{FF2B5EF4-FFF2-40B4-BE49-F238E27FC236}">
              <a16:creationId xmlns:a16="http://schemas.microsoft.com/office/drawing/2014/main" id="{00000000-0008-0000-1F00-000093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72" name="Flèche gauche 1">
          <a:hlinkClick xmlns:r="http://schemas.openxmlformats.org/officeDocument/2006/relationships" r:id="rId1"/>
          <a:extLst>
            <a:ext uri="{FF2B5EF4-FFF2-40B4-BE49-F238E27FC236}">
              <a16:creationId xmlns:a16="http://schemas.microsoft.com/office/drawing/2014/main" id="{00000000-0008-0000-1F00-000094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73" name="Flèche gauche 1">
          <a:hlinkClick xmlns:r="http://schemas.openxmlformats.org/officeDocument/2006/relationships" r:id="rId2"/>
          <a:extLst>
            <a:ext uri="{FF2B5EF4-FFF2-40B4-BE49-F238E27FC236}">
              <a16:creationId xmlns:a16="http://schemas.microsoft.com/office/drawing/2014/main" id="{00000000-0008-0000-1F00-000095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74" name="Flèche gauche 1">
          <a:hlinkClick xmlns:r="http://schemas.openxmlformats.org/officeDocument/2006/relationships" r:id="rId1"/>
          <a:extLst>
            <a:ext uri="{FF2B5EF4-FFF2-40B4-BE49-F238E27FC236}">
              <a16:creationId xmlns:a16="http://schemas.microsoft.com/office/drawing/2014/main" id="{00000000-0008-0000-1F00-000096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75" name="Flèche gauche 1">
          <a:hlinkClick xmlns:r="http://schemas.openxmlformats.org/officeDocument/2006/relationships" r:id="rId1"/>
          <a:extLst>
            <a:ext uri="{FF2B5EF4-FFF2-40B4-BE49-F238E27FC236}">
              <a16:creationId xmlns:a16="http://schemas.microsoft.com/office/drawing/2014/main" id="{00000000-0008-0000-1F00-000097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76" name="Flèche gauche 1">
          <a:hlinkClick xmlns:r="http://schemas.openxmlformats.org/officeDocument/2006/relationships" r:id="rId1"/>
          <a:extLst>
            <a:ext uri="{FF2B5EF4-FFF2-40B4-BE49-F238E27FC236}">
              <a16:creationId xmlns:a16="http://schemas.microsoft.com/office/drawing/2014/main" id="{00000000-0008-0000-1F00-000098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77" name="Flèche gauche 1">
          <a:hlinkClick xmlns:r="http://schemas.openxmlformats.org/officeDocument/2006/relationships" r:id="rId2"/>
          <a:extLst>
            <a:ext uri="{FF2B5EF4-FFF2-40B4-BE49-F238E27FC236}">
              <a16:creationId xmlns:a16="http://schemas.microsoft.com/office/drawing/2014/main" id="{00000000-0008-0000-1F00-000099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78" name="Flèche gauche 1">
          <a:hlinkClick xmlns:r="http://schemas.openxmlformats.org/officeDocument/2006/relationships" r:id="rId1"/>
          <a:extLst>
            <a:ext uri="{FF2B5EF4-FFF2-40B4-BE49-F238E27FC236}">
              <a16:creationId xmlns:a16="http://schemas.microsoft.com/office/drawing/2014/main" id="{00000000-0008-0000-1F00-00009A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79" name="Flèche gauche 1">
          <a:hlinkClick xmlns:r="http://schemas.openxmlformats.org/officeDocument/2006/relationships" r:id="rId1"/>
          <a:extLst>
            <a:ext uri="{FF2B5EF4-FFF2-40B4-BE49-F238E27FC236}">
              <a16:creationId xmlns:a16="http://schemas.microsoft.com/office/drawing/2014/main" id="{00000000-0008-0000-1F00-00009B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80" name="Flèche gauche 1">
          <a:hlinkClick xmlns:r="http://schemas.openxmlformats.org/officeDocument/2006/relationships" r:id="rId1"/>
          <a:extLst>
            <a:ext uri="{FF2B5EF4-FFF2-40B4-BE49-F238E27FC236}">
              <a16:creationId xmlns:a16="http://schemas.microsoft.com/office/drawing/2014/main" id="{00000000-0008-0000-1F00-00009C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81" name="Flèche gauche 1">
          <a:hlinkClick xmlns:r="http://schemas.openxmlformats.org/officeDocument/2006/relationships" r:id="rId2"/>
          <a:extLst>
            <a:ext uri="{FF2B5EF4-FFF2-40B4-BE49-F238E27FC236}">
              <a16:creationId xmlns:a16="http://schemas.microsoft.com/office/drawing/2014/main" id="{00000000-0008-0000-1F00-00009D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82" name="Flèche gauche 1">
          <a:hlinkClick xmlns:r="http://schemas.openxmlformats.org/officeDocument/2006/relationships" r:id="rId1"/>
          <a:extLst>
            <a:ext uri="{FF2B5EF4-FFF2-40B4-BE49-F238E27FC236}">
              <a16:creationId xmlns:a16="http://schemas.microsoft.com/office/drawing/2014/main" id="{00000000-0008-0000-1F00-00009E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83" name="Flèche gauche 1">
          <a:hlinkClick xmlns:r="http://schemas.openxmlformats.org/officeDocument/2006/relationships" r:id="rId1"/>
          <a:extLst>
            <a:ext uri="{FF2B5EF4-FFF2-40B4-BE49-F238E27FC236}">
              <a16:creationId xmlns:a16="http://schemas.microsoft.com/office/drawing/2014/main" id="{00000000-0008-0000-1F00-00009F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84" name="Flèche gauche 1">
          <a:hlinkClick xmlns:r="http://schemas.openxmlformats.org/officeDocument/2006/relationships" r:id="rId1"/>
          <a:extLst>
            <a:ext uri="{FF2B5EF4-FFF2-40B4-BE49-F238E27FC236}">
              <a16:creationId xmlns:a16="http://schemas.microsoft.com/office/drawing/2014/main" id="{00000000-0008-0000-1F00-0000A0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85" name="Flèche gauche 1">
          <a:hlinkClick xmlns:r="http://schemas.openxmlformats.org/officeDocument/2006/relationships" r:id="rId2"/>
          <a:extLst>
            <a:ext uri="{FF2B5EF4-FFF2-40B4-BE49-F238E27FC236}">
              <a16:creationId xmlns:a16="http://schemas.microsoft.com/office/drawing/2014/main" id="{00000000-0008-0000-1F00-0000A1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86" name="Flèche gauche 1">
          <a:hlinkClick xmlns:r="http://schemas.openxmlformats.org/officeDocument/2006/relationships" r:id="rId1"/>
          <a:extLst>
            <a:ext uri="{FF2B5EF4-FFF2-40B4-BE49-F238E27FC236}">
              <a16:creationId xmlns:a16="http://schemas.microsoft.com/office/drawing/2014/main" id="{00000000-0008-0000-1F00-0000A2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87" name="Flèche gauche 1">
          <a:hlinkClick xmlns:r="http://schemas.openxmlformats.org/officeDocument/2006/relationships" r:id="rId1"/>
          <a:extLst>
            <a:ext uri="{FF2B5EF4-FFF2-40B4-BE49-F238E27FC236}">
              <a16:creationId xmlns:a16="http://schemas.microsoft.com/office/drawing/2014/main" id="{00000000-0008-0000-1F00-0000A3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88" name="Flèche gauche 1">
          <a:hlinkClick xmlns:r="http://schemas.openxmlformats.org/officeDocument/2006/relationships" r:id="rId1"/>
          <a:extLst>
            <a:ext uri="{FF2B5EF4-FFF2-40B4-BE49-F238E27FC236}">
              <a16:creationId xmlns:a16="http://schemas.microsoft.com/office/drawing/2014/main" id="{00000000-0008-0000-1F00-0000A4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89" name="Flèche gauche 1">
          <a:hlinkClick xmlns:r="http://schemas.openxmlformats.org/officeDocument/2006/relationships" r:id="rId2"/>
          <a:extLst>
            <a:ext uri="{FF2B5EF4-FFF2-40B4-BE49-F238E27FC236}">
              <a16:creationId xmlns:a16="http://schemas.microsoft.com/office/drawing/2014/main" id="{00000000-0008-0000-1F00-0000A5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90" name="Flèche gauche 1">
          <a:hlinkClick xmlns:r="http://schemas.openxmlformats.org/officeDocument/2006/relationships" r:id="rId1"/>
          <a:extLst>
            <a:ext uri="{FF2B5EF4-FFF2-40B4-BE49-F238E27FC236}">
              <a16:creationId xmlns:a16="http://schemas.microsoft.com/office/drawing/2014/main" id="{00000000-0008-0000-1F00-0000A6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91" name="Flèche gauche 1">
          <a:hlinkClick xmlns:r="http://schemas.openxmlformats.org/officeDocument/2006/relationships" r:id="rId1"/>
          <a:extLst>
            <a:ext uri="{FF2B5EF4-FFF2-40B4-BE49-F238E27FC236}">
              <a16:creationId xmlns:a16="http://schemas.microsoft.com/office/drawing/2014/main" id="{00000000-0008-0000-1F00-0000A7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92" name="Flèche gauche 1">
          <a:hlinkClick xmlns:r="http://schemas.openxmlformats.org/officeDocument/2006/relationships" r:id="rId1"/>
          <a:extLst>
            <a:ext uri="{FF2B5EF4-FFF2-40B4-BE49-F238E27FC236}">
              <a16:creationId xmlns:a16="http://schemas.microsoft.com/office/drawing/2014/main" id="{00000000-0008-0000-1F00-0000A8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93" name="Flèche gauche 1">
          <a:hlinkClick xmlns:r="http://schemas.openxmlformats.org/officeDocument/2006/relationships" r:id="rId2"/>
          <a:extLst>
            <a:ext uri="{FF2B5EF4-FFF2-40B4-BE49-F238E27FC236}">
              <a16:creationId xmlns:a16="http://schemas.microsoft.com/office/drawing/2014/main" id="{00000000-0008-0000-1F00-0000A9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94" name="Flèche gauche 1">
          <a:hlinkClick xmlns:r="http://schemas.openxmlformats.org/officeDocument/2006/relationships" r:id="rId1"/>
          <a:extLst>
            <a:ext uri="{FF2B5EF4-FFF2-40B4-BE49-F238E27FC236}">
              <a16:creationId xmlns:a16="http://schemas.microsoft.com/office/drawing/2014/main" id="{00000000-0008-0000-1F00-0000AA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95" name="Flèche gauche 1">
          <a:hlinkClick xmlns:r="http://schemas.openxmlformats.org/officeDocument/2006/relationships" r:id="rId1"/>
          <a:extLst>
            <a:ext uri="{FF2B5EF4-FFF2-40B4-BE49-F238E27FC236}">
              <a16:creationId xmlns:a16="http://schemas.microsoft.com/office/drawing/2014/main" id="{00000000-0008-0000-1F00-0000AB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96" name="Flèche gauche 1">
          <a:hlinkClick xmlns:r="http://schemas.openxmlformats.org/officeDocument/2006/relationships" r:id="rId1"/>
          <a:extLst>
            <a:ext uri="{FF2B5EF4-FFF2-40B4-BE49-F238E27FC236}">
              <a16:creationId xmlns:a16="http://schemas.microsoft.com/office/drawing/2014/main" id="{00000000-0008-0000-1F00-0000AC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97" name="Flèche gauche 1">
          <a:hlinkClick xmlns:r="http://schemas.openxmlformats.org/officeDocument/2006/relationships" r:id="rId2"/>
          <a:extLst>
            <a:ext uri="{FF2B5EF4-FFF2-40B4-BE49-F238E27FC236}">
              <a16:creationId xmlns:a16="http://schemas.microsoft.com/office/drawing/2014/main" id="{00000000-0008-0000-1F00-0000AD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98" name="Flèche gauche 1">
          <a:hlinkClick xmlns:r="http://schemas.openxmlformats.org/officeDocument/2006/relationships" r:id="rId1"/>
          <a:extLst>
            <a:ext uri="{FF2B5EF4-FFF2-40B4-BE49-F238E27FC236}">
              <a16:creationId xmlns:a16="http://schemas.microsoft.com/office/drawing/2014/main" id="{00000000-0008-0000-1F00-0000AE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99" name="Flèche gauche 1">
          <a:hlinkClick xmlns:r="http://schemas.openxmlformats.org/officeDocument/2006/relationships" r:id="rId1"/>
          <a:extLst>
            <a:ext uri="{FF2B5EF4-FFF2-40B4-BE49-F238E27FC236}">
              <a16:creationId xmlns:a16="http://schemas.microsoft.com/office/drawing/2014/main" id="{00000000-0008-0000-1F00-0000AF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00" name="Flèche gauche 1">
          <a:hlinkClick xmlns:r="http://schemas.openxmlformats.org/officeDocument/2006/relationships" r:id="rId1"/>
          <a:extLst>
            <a:ext uri="{FF2B5EF4-FFF2-40B4-BE49-F238E27FC236}">
              <a16:creationId xmlns:a16="http://schemas.microsoft.com/office/drawing/2014/main" id="{00000000-0008-0000-1F00-0000B0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01" name="Flèche gauche 1">
          <a:hlinkClick xmlns:r="http://schemas.openxmlformats.org/officeDocument/2006/relationships" r:id="rId2"/>
          <a:extLst>
            <a:ext uri="{FF2B5EF4-FFF2-40B4-BE49-F238E27FC236}">
              <a16:creationId xmlns:a16="http://schemas.microsoft.com/office/drawing/2014/main" id="{00000000-0008-0000-1F00-0000B1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02" name="Flèche gauche 1">
          <a:hlinkClick xmlns:r="http://schemas.openxmlformats.org/officeDocument/2006/relationships" r:id="rId1"/>
          <a:extLst>
            <a:ext uri="{FF2B5EF4-FFF2-40B4-BE49-F238E27FC236}">
              <a16:creationId xmlns:a16="http://schemas.microsoft.com/office/drawing/2014/main" id="{00000000-0008-0000-1F00-0000B2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03" name="Flèche gauche 1">
          <a:hlinkClick xmlns:r="http://schemas.openxmlformats.org/officeDocument/2006/relationships" r:id="rId1"/>
          <a:extLst>
            <a:ext uri="{FF2B5EF4-FFF2-40B4-BE49-F238E27FC236}">
              <a16:creationId xmlns:a16="http://schemas.microsoft.com/office/drawing/2014/main" id="{00000000-0008-0000-1F00-0000B3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04" name="Flèche gauche 1">
          <a:hlinkClick xmlns:r="http://schemas.openxmlformats.org/officeDocument/2006/relationships" r:id="rId1"/>
          <a:extLst>
            <a:ext uri="{FF2B5EF4-FFF2-40B4-BE49-F238E27FC236}">
              <a16:creationId xmlns:a16="http://schemas.microsoft.com/office/drawing/2014/main" id="{00000000-0008-0000-1F00-0000B4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05" name="Flèche gauche 1">
          <a:hlinkClick xmlns:r="http://schemas.openxmlformats.org/officeDocument/2006/relationships" r:id="rId2"/>
          <a:extLst>
            <a:ext uri="{FF2B5EF4-FFF2-40B4-BE49-F238E27FC236}">
              <a16:creationId xmlns:a16="http://schemas.microsoft.com/office/drawing/2014/main" id="{00000000-0008-0000-1F00-0000B5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06" name="Flèche gauche 1">
          <a:hlinkClick xmlns:r="http://schemas.openxmlformats.org/officeDocument/2006/relationships" r:id="rId1"/>
          <a:extLst>
            <a:ext uri="{FF2B5EF4-FFF2-40B4-BE49-F238E27FC236}">
              <a16:creationId xmlns:a16="http://schemas.microsoft.com/office/drawing/2014/main" id="{00000000-0008-0000-1F00-0000B6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07" name="Flèche gauche 1">
          <a:hlinkClick xmlns:r="http://schemas.openxmlformats.org/officeDocument/2006/relationships" r:id="rId1"/>
          <a:extLst>
            <a:ext uri="{FF2B5EF4-FFF2-40B4-BE49-F238E27FC236}">
              <a16:creationId xmlns:a16="http://schemas.microsoft.com/office/drawing/2014/main" id="{00000000-0008-0000-1F00-0000B7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08" name="Flèche gauche 1">
          <a:hlinkClick xmlns:r="http://schemas.openxmlformats.org/officeDocument/2006/relationships" r:id="rId1"/>
          <a:extLst>
            <a:ext uri="{FF2B5EF4-FFF2-40B4-BE49-F238E27FC236}">
              <a16:creationId xmlns:a16="http://schemas.microsoft.com/office/drawing/2014/main" id="{00000000-0008-0000-1F00-0000B8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09" name="Flèche gauche 1">
          <a:hlinkClick xmlns:r="http://schemas.openxmlformats.org/officeDocument/2006/relationships" r:id="rId2"/>
          <a:extLst>
            <a:ext uri="{FF2B5EF4-FFF2-40B4-BE49-F238E27FC236}">
              <a16:creationId xmlns:a16="http://schemas.microsoft.com/office/drawing/2014/main" id="{00000000-0008-0000-1F00-0000B9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10" name="Flèche gauche 1">
          <a:hlinkClick xmlns:r="http://schemas.openxmlformats.org/officeDocument/2006/relationships" r:id="rId1"/>
          <a:extLst>
            <a:ext uri="{FF2B5EF4-FFF2-40B4-BE49-F238E27FC236}">
              <a16:creationId xmlns:a16="http://schemas.microsoft.com/office/drawing/2014/main" id="{00000000-0008-0000-1F00-0000BA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11" name="Flèche gauche 1">
          <a:hlinkClick xmlns:r="http://schemas.openxmlformats.org/officeDocument/2006/relationships" r:id="rId1"/>
          <a:extLst>
            <a:ext uri="{FF2B5EF4-FFF2-40B4-BE49-F238E27FC236}">
              <a16:creationId xmlns:a16="http://schemas.microsoft.com/office/drawing/2014/main" id="{00000000-0008-0000-1F00-0000BB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12" name="Flèche gauche 1">
          <a:hlinkClick xmlns:r="http://schemas.openxmlformats.org/officeDocument/2006/relationships" r:id="rId1"/>
          <a:extLst>
            <a:ext uri="{FF2B5EF4-FFF2-40B4-BE49-F238E27FC236}">
              <a16:creationId xmlns:a16="http://schemas.microsoft.com/office/drawing/2014/main" id="{00000000-0008-0000-1F00-0000BC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13" name="Flèche gauche 1">
          <a:hlinkClick xmlns:r="http://schemas.openxmlformats.org/officeDocument/2006/relationships" r:id="rId2"/>
          <a:extLst>
            <a:ext uri="{FF2B5EF4-FFF2-40B4-BE49-F238E27FC236}">
              <a16:creationId xmlns:a16="http://schemas.microsoft.com/office/drawing/2014/main" id="{00000000-0008-0000-1F00-0000BD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14" name="Flèche gauche 1">
          <a:hlinkClick xmlns:r="http://schemas.openxmlformats.org/officeDocument/2006/relationships" r:id="rId1"/>
          <a:extLst>
            <a:ext uri="{FF2B5EF4-FFF2-40B4-BE49-F238E27FC236}">
              <a16:creationId xmlns:a16="http://schemas.microsoft.com/office/drawing/2014/main" id="{00000000-0008-0000-1F00-0000BE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15" name="Flèche gauche 1">
          <a:hlinkClick xmlns:r="http://schemas.openxmlformats.org/officeDocument/2006/relationships" r:id="rId1"/>
          <a:extLst>
            <a:ext uri="{FF2B5EF4-FFF2-40B4-BE49-F238E27FC236}">
              <a16:creationId xmlns:a16="http://schemas.microsoft.com/office/drawing/2014/main" id="{00000000-0008-0000-1F00-0000BF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16" name="Flèche gauche 1">
          <a:hlinkClick xmlns:r="http://schemas.openxmlformats.org/officeDocument/2006/relationships" r:id="rId1"/>
          <a:extLst>
            <a:ext uri="{FF2B5EF4-FFF2-40B4-BE49-F238E27FC236}">
              <a16:creationId xmlns:a16="http://schemas.microsoft.com/office/drawing/2014/main" id="{00000000-0008-0000-1F00-0000C0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17" name="Flèche gauche 1">
          <a:hlinkClick xmlns:r="http://schemas.openxmlformats.org/officeDocument/2006/relationships" r:id="rId2"/>
          <a:extLst>
            <a:ext uri="{FF2B5EF4-FFF2-40B4-BE49-F238E27FC236}">
              <a16:creationId xmlns:a16="http://schemas.microsoft.com/office/drawing/2014/main" id="{00000000-0008-0000-1F00-0000C1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18" name="Flèche gauche 1">
          <a:hlinkClick xmlns:r="http://schemas.openxmlformats.org/officeDocument/2006/relationships" r:id="rId1"/>
          <a:extLst>
            <a:ext uri="{FF2B5EF4-FFF2-40B4-BE49-F238E27FC236}">
              <a16:creationId xmlns:a16="http://schemas.microsoft.com/office/drawing/2014/main" id="{00000000-0008-0000-1F00-0000C2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19" name="Flèche gauche 1">
          <a:hlinkClick xmlns:r="http://schemas.openxmlformats.org/officeDocument/2006/relationships" r:id="rId1"/>
          <a:extLst>
            <a:ext uri="{FF2B5EF4-FFF2-40B4-BE49-F238E27FC236}">
              <a16:creationId xmlns:a16="http://schemas.microsoft.com/office/drawing/2014/main" id="{00000000-0008-0000-1F00-0000C3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20" name="Flèche gauche 1">
          <a:hlinkClick xmlns:r="http://schemas.openxmlformats.org/officeDocument/2006/relationships" r:id="rId1"/>
          <a:extLst>
            <a:ext uri="{FF2B5EF4-FFF2-40B4-BE49-F238E27FC236}">
              <a16:creationId xmlns:a16="http://schemas.microsoft.com/office/drawing/2014/main" id="{00000000-0008-0000-1F00-0000C4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21" name="Flèche gauche 1">
          <a:hlinkClick xmlns:r="http://schemas.openxmlformats.org/officeDocument/2006/relationships" r:id="rId2"/>
          <a:extLst>
            <a:ext uri="{FF2B5EF4-FFF2-40B4-BE49-F238E27FC236}">
              <a16:creationId xmlns:a16="http://schemas.microsoft.com/office/drawing/2014/main" id="{00000000-0008-0000-1F00-0000C5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22" name="Flèche gauche 1">
          <a:hlinkClick xmlns:r="http://schemas.openxmlformats.org/officeDocument/2006/relationships" r:id="rId1"/>
          <a:extLst>
            <a:ext uri="{FF2B5EF4-FFF2-40B4-BE49-F238E27FC236}">
              <a16:creationId xmlns:a16="http://schemas.microsoft.com/office/drawing/2014/main" id="{00000000-0008-0000-1F00-0000C6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23" name="Flèche gauche 1">
          <a:hlinkClick xmlns:r="http://schemas.openxmlformats.org/officeDocument/2006/relationships" r:id="rId1"/>
          <a:extLst>
            <a:ext uri="{FF2B5EF4-FFF2-40B4-BE49-F238E27FC236}">
              <a16:creationId xmlns:a16="http://schemas.microsoft.com/office/drawing/2014/main" id="{00000000-0008-0000-1F00-0000C7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24" name="Flèche gauche 1">
          <a:hlinkClick xmlns:r="http://schemas.openxmlformats.org/officeDocument/2006/relationships" r:id="rId1"/>
          <a:extLst>
            <a:ext uri="{FF2B5EF4-FFF2-40B4-BE49-F238E27FC236}">
              <a16:creationId xmlns:a16="http://schemas.microsoft.com/office/drawing/2014/main" id="{00000000-0008-0000-1F00-0000C8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25" name="Flèche gauche 1">
          <a:hlinkClick xmlns:r="http://schemas.openxmlformats.org/officeDocument/2006/relationships" r:id="rId2"/>
          <a:extLst>
            <a:ext uri="{FF2B5EF4-FFF2-40B4-BE49-F238E27FC236}">
              <a16:creationId xmlns:a16="http://schemas.microsoft.com/office/drawing/2014/main" id="{00000000-0008-0000-1F00-0000C9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26" name="Flèche gauche 1">
          <a:hlinkClick xmlns:r="http://schemas.openxmlformats.org/officeDocument/2006/relationships" r:id="rId1"/>
          <a:extLst>
            <a:ext uri="{FF2B5EF4-FFF2-40B4-BE49-F238E27FC236}">
              <a16:creationId xmlns:a16="http://schemas.microsoft.com/office/drawing/2014/main" id="{00000000-0008-0000-1F00-0000CA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27" name="Flèche gauche 1">
          <a:hlinkClick xmlns:r="http://schemas.openxmlformats.org/officeDocument/2006/relationships" r:id="rId1"/>
          <a:extLst>
            <a:ext uri="{FF2B5EF4-FFF2-40B4-BE49-F238E27FC236}">
              <a16:creationId xmlns:a16="http://schemas.microsoft.com/office/drawing/2014/main" id="{00000000-0008-0000-1F00-0000CB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28" name="Flèche gauche 1">
          <a:hlinkClick xmlns:r="http://schemas.openxmlformats.org/officeDocument/2006/relationships" r:id="rId1"/>
          <a:extLst>
            <a:ext uri="{FF2B5EF4-FFF2-40B4-BE49-F238E27FC236}">
              <a16:creationId xmlns:a16="http://schemas.microsoft.com/office/drawing/2014/main" id="{00000000-0008-0000-1F00-0000CC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29" name="Flèche gauche 1">
          <a:hlinkClick xmlns:r="http://schemas.openxmlformats.org/officeDocument/2006/relationships" r:id="rId2"/>
          <a:extLst>
            <a:ext uri="{FF2B5EF4-FFF2-40B4-BE49-F238E27FC236}">
              <a16:creationId xmlns:a16="http://schemas.microsoft.com/office/drawing/2014/main" id="{00000000-0008-0000-1F00-0000CD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30" name="Flèche gauche 1">
          <a:hlinkClick xmlns:r="http://schemas.openxmlformats.org/officeDocument/2006/relationships" r:id="rId1"/>
          <a:extLst>
            <a:ext uri="{FF2B5EF4-FFF2-40B4-BE49-F238E27FC236}">
              <a16:creationId xmlns:a16="http://schemas.microsoft.com/office/drawing/2014/main" id="{00000000-0008-0000-1F00-0000CE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31" name="Flèche gauche 1">
          <a:hlinkClick xmlns:r="http://schemas.openxmlformats.org/officeDocument/2006/relationships" r:id="rId1"/>
          <a:extLst>
            <a:ext uri="{FF2B5EF4-FFF2-40B4-BE49-F238E27FC236}">
              <a16:creationId xmlns:a16="http://schemas.microsoft.com/office/drawing/2014/main" id="{00000000-0008-0000-1F00-0000CF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32" name="Flèche gauche 1">
          <a:hlinkClick xmlns:r="http://schemas.openxmlformats.org/officeDocument/2006/relationships" r:id="rId1"/>
          <a:extLst>
            <a:ext uri="{FF2B5EF4-FFF2-40B4-BE49-F238E27FC236}">
              <a16:creationId xmlns:a16="http://schemas.microsoft.com/office/drawing/2014/main" id="{00000000-0008-0000-1F00-0000D0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33" name="Flèche gauche 1">
          <a:hlinkClick xmlns:r="http://schemas.openxmlformats.org/officeDocument/2006/relationships" r:id="rId2"/>
          <a:extLst>
            <a:ext uri="{FF2B5EF4-FFF2-40B4-BE49-F238E27FC236}">
              <a16:creationId xmlns:a16="http://schemas.microsoft.com/office/drawing/2014/main" id="{00000000-0008-0000-1F00-0000D1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34" name="Flèche gauche 1">
          <a:hlinkClick xmlns:r="http://schemas.openxmlformats.org/officeDocument/2006/relationships" r:id="rId1"/>
          <a:extLst>
            <a:ext uri="{FF2B5EF4-FFF2-40B4-BE49-F238E27FC236}">
              <a16:creationId xmlns:a16="http://schemas.microsoft.com/office/drawing/2014/main" id="{00000000-0008-0000-1F00-0000D2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35" name="Flèche gauche 1">
          <a:hlinkClick xmlns:r="http://schemas.openxmlformats.org/officeDocument/2006/relationships" r:id="rId1"/>
          <a:extLst>
            <a:ext uri="{FF2B5EF4-FFF2-40B4-BE49-F238E27FC236}">
              <a16:creationId xmlns:a16="http://schemas.microsoft.com/office/drawing/2014/main" id="{00000000-0008-0000-1F00-0000D3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36" name="Flèche gauche 1">
          <a:hlinkClick xmlns:r="http://schemas.openxmlformats.org/officeDocument/2006/relationships" r:id="rId1"/>
          <a:extLst>
            <a:ext uri="{FF2B5EF4-FFF2-40B4-BE49-F238E27FC236}">
              <a16:creationId xmlns:a16="http://schemas.microsoft.com/office/drawing/2014/main" id="{00000000-0008-0000-1F00-0000D4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37" name="Flèche gauche 1">
          <a:hlinkClick xmlns:r="http://schemas.openxmlformats.org/officeDocument/2006/relationships" r:id="rId2"/>
          <a:extLst>
            <a:ext uri="{FF2B5EF4-FFF2-40B4-BE49-F238E27FC236}">
              <a16:creationId xmlns:a16="http://schemas.microsoft.com/office/drawing/2014/main" id="{00000000-0008-0000-1F00-0000D5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38" name="Flèche gauche 1">
          <a:hlinkClick xmlns:r="http://schemas.openxmlformats.org/officeDocument/2006/relationships" r:id="rId1"/>
          <a:extLst>
            <a:ext uri="{FF2B5EF4-FFF2-40B4-BE49-F238E27FC236}">
              <a16:creationId xmlns:a16="http://schemas.microsoft.com/office/drawing/2014/main" id="{00000000-0008-0000-1F00-0000D6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39" name="Flèche gauche 1">
          <a:hlinkClick xmlns:r="http://schemas.openxmlformats.org/officeDocument/2006/relationships" r:id="rId1"/>
          <a:extLst>
            <a:ext uri="{FF2B5EF4-FFF2-40B4-BE49-F238E27FC236}">
              <a16:creationId xmlns:a16="http://schemas.microsoft.com/office/drawing/2014/main" id="{00000000-0008-0000-1F00-0000D7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40" name="Flèche gauche 1">
          <a:hlinkClick xmlns:r="http://schemas.openxmlformats.org/officeDocument/2006/relationships" r:id="rId1"/>
          <a:extLst>
            <a:ext uri="{FF2B5EF4-FFF2-40B4-BE49-F238E27FC236}">
              <a16:creationId xmlns:a16="http://schemas.microsoft.com/office/drawing/2014/main" id="{00000000-0008-0000-1F00-0000D8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41" name="Flèche gauche 1">
          <a:hlinkClick xmlns:r="http://schemas.openxmlformats.org/officeDocument/2006/relationships" r:id="rId2"/>
          <a:extLst>
            <a:ext uri="{FF2B5EF4-FFF2-40B4-BE49-F238E27FC236}">
              <a16:creationId xmlns:a16="http://schemas.microsoft.com/office/drawing/2014/main" id="{00000000-0008-0000-1F00-0000D9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42" name="Flèche gauche 1">
          <a:hlinkClick xmlns:r="http://schemas.openxmlformats.org/officeDocument/2006/relationships" r:id="rId1"/>
          <a:extLst>
            <a:ext uri="{FF2B5EF4-FFF2-40B4-BE49-F238E27FC236}">
              <a16:creationId xmlns:a16="http://schemas.microsoft.com/office/drawing/2014/main" id="{00000000-0008-0000-1F00-0000DA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43" name="Flèche gauche 1">
          <a:hlinkClick xmlns:r="http://schemas.openxmlformats.org/officeDocument/2006/relationships" r:id="rId1"/>
          <a:extLst>
            <a:ext uri="{FF2B5EF4-FFF2-40B4-BE49-F238E27FC236}">
              <a16:creationId xmlns:a16="http://schemas.microsoft.com/office/drawing/2014/main" id="{00000000-0008-0000-1F00-0000DB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44" name="Flèche gauche 1">
          <a:hlinkClick xmlns:r="http://schemas.openxmlformats.org/officeDocument/2006/relationships" r:id="rId1"/>
          <a:extLst>
            <a:ext uri="{FF2B5EF4-FFF2-40B4-BE49-F238E27FC236}">
              <a16:creationId xmlns:a16="http://schemas.microsoft.com/office/drawing/2014/main" id="{00000000-0008-0000-1F00-0000DC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45" name="Flèche gauche 1">
          <a:hlinkClick xmlns:r="http://schemas.openxmlformats.org/officeDocument/2006/relationships" r:id="rId2"/>
          <a:extLst>
            <a:ext uri="{FF2B5EF4-FFF2-40B4-BE49-F238E27FC236}">
              <a16:creationId xmlns:a16="http://schemas.microsoft.com/office/drawing/2014/main" id="{00000000-0008-0000-1F00-0000DD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46" name="Flèche gauche 1">
          <a:hlinkClick xmlns:r="http://schemas.openxmlformats.org/officeDocument/2006/relationships" r:id="rId1"/>
          <a:extLst>
            <a:ext uri="{FF2B5EF4-FFF2-40B4-BE49-F238E27FC236}">
              <a16:creationId xmlns:a16="http://schemas.microsoft.com/office/drawing/2014/main" id="{00000000-0008-0000-1F00-0000DE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47" name="Flèche gauche 1">
          <a:hlinkClick xmlns:r="http://schemas.openxmlformats.org/officeDocument/2006/relationships" r:id="rId1"/>
          <a:extLst>
            <a:ext uri="{FF2B5EF4-FFF2-40B4-BE49-F238E27FC236}">
              <a16:creationId xmlns:a16="http://schemas.microsoft.com/office/drawing/2014/main" id="{00000000-0008-0000-1F00-0000DF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48" name="Flèche gauche 1">
          <a:hlinkClick xmlns:r="http://schemas.openxmlformats.org/officeDocument/2006/relationships" r:id="rId1"/>
          <a:extLst>
            <a:ext uri="{FF2B5EF4-FFF2-40B4-BE49-F238E27FC236}">
              <a16:creationId xmlns:a16="http://schemas.microsoft.com/office/drawing/2014/main" id="{00000000-0008-0000-1F00-0000E0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49" name="Flèche gauche 1">
          <a:hlinkClick xmlns:r="http://schemas.openxmlformats.org/officeDocument/2006/relationships" r:id="rId2"/>
          <a:extLst>
            <a:ext uri="{FF2B5EF4-FFF2-40B4-BE49-F238E27FC236}">
              <a16:creationId xmlns:a16="http://schemas.microsoft.com/office/drawing/2014/main" id="{00000000-0008-0000-1F00-0000E1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50" name="Flèche gauche 1">
          <a:hlinkClick xmlns:r="http://schemas.openxmlformats.org/officeDocument/2006/relationships" r:id="rId1"/>
          <a:extLst>
            <a:ext uri="{FF2B5EF4-FFF2-40B4-BE49-F238E27FC236}">
              <a16:creationId xmlns:a16="http://schemas.microsoft.com/office/drawing/2014/main" id="{00000000-0008-0000-1F00-0000E2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51" name="Flèche gauche 1">
          <a:hlinkClick xmlns:r="http://schemas.openxmlformats.org/officeDocument/2006/relationships" r:id="rId1"/>
          <a:extLst>
            <a:ext uri="{FF2B5EF4-FFF2-40B4-BE49-F238E27FC236}">
              <a16:creationId xmlns:a16="http://schemas.microsoft.com/office/drawing/2014/main" id="{00000000-0008-0000-1F00-0000E3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52" name="Flèche gauche 1">
          <a:hlinkClick xmlns:r="http://schemas.openxmlformats.org/officeDocument/2006/relationships" r:id="rId1"/>
          <a:extLst>
            <a:ext uri="{FF2B5EF4-FFF2-40B4-BE49-F238E27FC236}">
              <a16:creationId xmlns:a16="http://schemas.microsoft.com/office/drawing/2014/main" id="{00000000-0008-0000-1F00-0000E4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53" name="Flèche gauche 1">
          <a:hlinkClick xmlns:r="http://schemas.openxmlformats.org/officeDocument/2006/relationships" r:id="rId2"/>
          <a:extLst>
            <a:ext uri="{FF2B5EF4-FFF2-40B4-BE49-F238E27FC236}">
              <a16:creationId xmlns:a16="http://schemas.microsoft.com/office/drawing/2014/main" id="{00000000-0008-0000-1F00-0000E5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54" name="Flèche gauche 1">
          <a:hlinkClick xmlns:r="http://schemas.openxmlformats.org/officeDocument/2006/relationships" r:id="rId1"/>
          <a:extLst>
            <a:ext uri="{FF2B5EF4-FFF2-40B4-BE49-F238E27FC236}">
              <a16:creationId xmlns:a16="http://schemas.microsoft.com/office/drawing/2014/main" id="{00000000-0008-0000-1F00-0000E6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55" name="Flèche gauche 1">
          <a:hlinkClick xmlns:r="http://schemas.openxmlformats.org/officeDocument/2006/relationships" r:id="rId1"/>
          <a:extLst>
            <a:ext uri="{FF2B5EF4-FFF2-40B4-BE49-F238E27FC236}">
              <a16:creationId xmlns:a16="http://schemas.microsoft.com/office/drawing/2014/main" id="{00000000-0008-0000-1F00-0000E7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56" name="Flèche gauche 1">
          <a:hlinkClick xmlns:r="http://schemas.openxmlformats.org/officeDocument/2006/relationships" r:id="rId1"/>
          <a:extLst>
            <a:ext uri="{FF2B5EF4-FFF2-40B4-BE49-F238E27FC236}">
              <a16:creationId xmlns:a16="http://schemas.microsoft.com/office/drawing/2014/main" id="{00000000-0008-0000-1F00-0000E8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57" name="Flèche gauche 1">
          <a:hlinkClick xmlns:r="http://schemas.openxmlformats.org/officeDocument/2006/relationships" r:id="rId2"/>
          <a:extLst>
            <a:ext uri="{FF2B5EF4-FFF2-40B4-BE49-F238E27FC236}">
              <a16:creationId xmlns:a16="http://schemas.microsoft.com/office/drawing/2014/main" id="{00000000-0008-0000-1F00-0000E9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58" name="Flèche gauche 1">
          <a:hlinkClick xmlns:r="http://schemas.openxmlformats.org/officeDocument/2006/relationships" r:id="rId1"/>
          <a:extLst>
            <a:ext uri="{FF2B5EF4-FFF2-40B4-BE49-F238E27FC236}">
              <a16:creationId xmlns:a16="http://schemas.microsoft.com/office/drawing/2014/main" id="{00000000-0008-0000-1F00-0000EA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59" name="Flèche gauche 1">
          <a:hlinkClick xmlns:r="http://schemas.openxmlformats.org/officeDocument/2006/relationships" r:id="rId1"/>
          <a:extLst>
            <a:ext uri="{FF2B5EF4-FFF2-40B4-BE49-F238E27FC236}">
              <a16:creationId xmlns:a16="http://schemas.microsoft.com/office/drawing/2014/main" id="{00000000-0008-0000-1F00-0000EB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60" name="Flèche gauche 1">
          <a:hlinkClick xmlns:r="http://schemas.openxmlformats.org/officeDocument/2006/relationships" r:id="rId1"/>
          <a:extLst>
            <a:ext uri="{FF2B5EF4-FFF2-40B4-BE49-F238E27FC236}">
              <a16:creationId xmlns:a16="http://schemas.microsoft.com/office/drawing/2014/main" id="{00000000-0008-0000-1F00-0000EC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61" name="Flèche gauche 1">
          <a:hlinkClick xmlns:r="http://schemas.openxmlformats.org/officeDocument/2006/relationships" r:id="rId2"/>
          <a:extLst>
            <a:ext uri="{FF2B5EF4-FFF2-40B4-BE49-F238E27FC236}">
              <a16:creationId xmlns:a16="http://schemas.microsoft.com/office/drawing/2014/main" id="{00000000-0008-0000-1F00-0000ED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62" name="Flèche gauche 1">
          <a:hlinkClick xmlns:r="http://schemas.openxmlformats.org/officeDocument/2006/relationships" r:id="rId1"/>
          <a:extLst>
            <a:ext uri="{FF2B5EF4-FFF2-40B4-BE49-F238E27FC236}">
              <a16:creationId xmlns:a16="http://schemas.microsoft.com/office/drawing/2014/main" id="{00000000-0008-0000-1F00-0000EE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63" name="Flèche gauche 1">
          <a:hlinkClick xmlns:r="http://schemas.openxmlformats.org/officeDocument/2006/relationships" r:id="rId1"/>
          <a:extLst>
            <a:ext uri="{FF2B5EF4-FFF2-40B4-BE49-F238E27FC236}">
              <a16:creationId xmlns:a16="http://schemas.microsoft.com/office/drawing/2014/main" id="{00000000-0008-0000-1F00-0000EF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64" name="Flèche gauche 1">
          <a:hlinkClick xmlns:r="http://schemas.openxmlformats.org/officeDocument/2006/relationships" r:id="rId1"/>
          <a:extLst>
            <a:ext uri="{FF2B5EF4-FFF2-40B4-BE49-F238E27FC236}">
              <a16:creationId xmlns:a16="http://schemas.microsoft.com/office/drawing/2014/main" id="{00000000-0008-0000-1F00-0000F0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65" name="Flèche gauche 1">
          <a:hlinkClick xmlns:r="http://schemas.openxmlformats.org/officeDocument/2006/relationships" r:id="rId2"/>
          <a:extLst>
            <a:ext uri="{FF2B5EF4-FFF2-40B4-BE49-F238E27FC236}">
              <a16:creationId xmlns:a16="http://schemas.microsoft.com/office/drawing/2014/main" id="{00000000-0008-0000-1F00-0000F1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66" name="Flèche gauche 1">
          <a:hlinkClick xmlns:r="http://schemas.openxmlformats.org/officeDocument/2006/relationships" r:id="rId1"/>
          <a:extLst>
            <a:ext uri="{FF2B5EF4-FFF2-40B4-BE49-F238E27FC236}">
              <a16:creationId xmlns:a16="http://schemas.microsoft.com/office/drawing/2014/main" id="{00000000-0008-0000-1F00-0000F2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67" name="Flèche gauche 1">
          <a:hlinkClick xmlns:r="http://schemas.openxmlformats.org/officeDocument/2006/relationships" r:id="rId1"/>
          <a:extLst>
            <a:ext uri="{FF2B5EF4-FFF2-40B4-BE49-F238E27FC236}">
              <a16:creationId xmlns:a16="http://schemas.microsoft.com/office/drawing/2014/main" id="{00000000-0008-0000-1F00-0000F3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68" name="Flèche gauche 1">
          <a:hlinkClick xmlns:r="http://schemas.openxmlformats.org/officeDocument/2006/relationships" r:id="rId1"/>
          <a:extLst>
            <a:ext uri="{FF2B5EF4-FFF2-40B4-BE49-F238E27FC236}">
              <a16:creationId xmlns:a16="http://schemas.microsoft.com/office/drawing/2014/main" id="{00000000-0008-0000-1F00-0000F4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69" name="Flèche gauche 1">
          <a:hlinkClick xmlns:r="http://schemas.openxmlformats.org/officeDocument/2006/relationships" r:id="rId2"/>
          <a:extLst>
            <a:ext uri="{FF2B5EF4-FFF2-40B4-BE49-F238E27FC236}">
              <a16:creationId xmlns:a16="http://schemas.microsoft.com/office/drawing/2014/main" id="{00000000-0008-0000-1F00-0000F5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70" name="Flèche gauche 1">
          <a:hlinkClick xmlns:r="http://schemas.openxmlformats.org/officeDocument/2006/relationships" r:id="rId1"/>
          <a:extLst>
            <a:ext uri="{FF2B5EF4-FFF2-40B4-BE49-F238E27FC236}">
              <a16:creationId xmlns:a16="http://schemas.microsoft.com/office/drawing/2014/main" id="{00000000-0008-0000-1F00-0000F6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71" name="Flèche gauche 1">
          <a:hlinkClick xmlns:r="http://schemas.openxmlformats.org/officeDocument/2006/relationships" r:id="rId1"/>
          <a:extLst>
            <a:ext uri="{FF2B5EF4-FFF2-40B4-BE49-F238E27FC236}">
              <a16:creationId xmlns:a16="http://schemas.microsoft.com/office/drawing/2014/main" id="{00000000-0008-0000-1F00-0000F7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72" name="Flèche gauche 1">
          <a:hlinkClick xmlns:r="http://schemas.openxmlformats.org/officeDocument/2006/relationships" r:id="rId1"/>
          <a:extLst>
            <a:ext uri="{FF2B5EF4-FFF2-40B4-BE49-F238E27FC236}">
              <a16:creationId xmlns:a16="http://schemas.microsoft.com/office/drawing/2014/main" id="{00000000-0008-0000-1F00-0000F8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73" name="Flèche gauche 1">
          <a:hlinkClick xmlns:r="http://schemas.openxmlformats.org/officeDocument/2006/relationships" r:id="rId2"/>
          <a:extLst>
            <a:ext uri="{FF2B5EF4-FFF2-40B4-BE49-F238E27FC236}">
              <a16:creationId xmlns:a16="http://schemas.microsoft.com/office/drawing/2014/main" id="{00000000-0008-0000-1F00-0000F9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74" name="Flèche gauche 1">
          <a:hlinkClick xmlns:r="http://schemas.openxmlformats.org/officeDocument/2006/relationships" r:id="rId1"/>
          <a:extLst>
            <a:ext uri="{FF2B5EF4-FFF2-40B4-BE49-F238E27FC236}">
              <a16:creationId xmlns:a16="http://schemas.microsoft.com/office/drawing/2014/main" id="{00000000-0008-0000-1F00-0000FA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75" name="Flèche gauche 1">
          <a:hlinkClick xmlns:r="http://schemas.openxmlformats.org/officeDocument/2006/relationships" r:id="rId1"/>
          <a:extLst>
            <a:ext uri="{FF2B5EF4-FFF2-40B4-BE49-F238E27FC236}">
              <a16:creationId xmlns:a16="http://schemas.microsoft.com/office/drawing/2014/main" id="{00000000-0008-0000-1F00-0000FB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76" name="Flèche gauche 1">
          <a:hlinkClick xmlns:r="http://schemas.openxmlformats.org/officeDocument/2006/relationships" r:id="rId1"/>
          <a:extLst>
            <a:ext uri="{FF2B5EF4-FFF2-40B4-BE49-F238E27FC236}">
              <a16:creationId xmlns:a16="http://schemas.microsoft.com/office/drawing/2014/main" id="{00000000-0008-0000-1F00-0000FC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77" name="Flèche gauche 1">
          <a:hlinkClick xmlns:r="http://schemas.openxmlformats.org/officeDocument/2006/relationships" r:id="rId2"/>
          <a:extLst>
            <a:ext uri="{FF2B5EF4-FFF2-40B4-BE49-F238E27FC236}">
              <a16:creationId xmlns:a16="http://schemas.microsoft.com/office/drawing/2014/main" id="{00000000-0008-0000-1F00-0000FD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78" name="Flèche gauche 1">
          <a:hlinkClick xmlns:r="http://schemas.openxmlformats.org/officeDocument/2006/relationships" r:id="rId1"/>
          <a:extLst>
            <a:ext uri="{FF2B5EF4-FFF2-40B4-BE49-F238E27FC236}">
              <a16:creationId xmlns:a16="http://schemas.microsoft.com/office/drawing/2014/main" id="{00000000-0008-0000-1F00-0000FE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79" name="Flèche gauche 1">
          <a:hlinkClick xmlns:r="http://schemas.openxmlformats.org/officeDocument/2006/relationships" r:id="rId1"/>
          <a:extLst>
            <a:ext uri="{FF2B5EF4-FFF2-40B4-BE49-F238E27FC236}">
              <a16:creationId xmlns:a16="http://schemas.microsoft.com/office/drawing/2014/main" id="{00000000-0008-0000-1F00-0000FF04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80" name="Flèche gauche 1">
          <a:hlinkClick xmlns:r="http://schemas.openxmlformats.org/officeDocument/2006/relationships" r:id="rId1"/>
          <a:extLst>
            <a:ext uri="{FF2B5EF4-FFF2-40B4-BE49-F238E27FC236}">
              <a16:creationId xmlns:a16="http://schemas.microsoft.com/office/drawing/2014/main" id="{00000000-0008-0000-1F00-000000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81" name="Flèche gauche 1">
          <a:hlinkClick xmlns:r="http://schemas.openxmlformats.org/officeDocument/2006/relationships" r:id="rId2"/>
          <a:extLst>
            <a:ext uri="{FF2B5EF4-FFF2-40B4-BE49-F238E27FC236}">
              <a16:creationId xmlns:a16="http://schemas.microsoft.com/office/drawing/2014/main" id="{00000000-0008-0000-1F00-000001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82" name="Flèche gauche 1">
          <a:hlinkClick xmlns:r="http://schemas.openxmlformats.org/officeDocument/2006/relationships" r:id="rId1"/>
          <a:extLst>
            <a:ext uri="{FF2B5EF4-FFF2-40B4-BE49-F238E27FC236}">
              <a16:creationId xmlns:a16="http://schemas.microsoft.com/office/drawing/2014/main" id="{00000000-0008-0000-1F00-000002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83" name="Flèche gauche 1">
          <a:hlinkClick xmlns:r="http://schemas.openxmlformats.org/officeDocument/2006/relationships" r:id="rId1"/>
          <a:extLst>
            <a:ext uri="{FF2B5EF4-FFF2-40B4-BE49-F238E27FC236}">
              <a16:creationId xmlns:a16="http://schemas.microsoft.com/office/drawing/2014/main" id="{00000000-0008-0000-1F00-000003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84" name="Flèche gauche 1">
          <a:hlinkClick xmlns:r="http://schemas.openxmlformats.org/officeDocument/2006/relationships" r:id="rId1"/>
          <a:extLst>
            <a:ext uri="{FF2B5EF4-FFF2-40B4-BE49-F238E27FC236}">
              <a16:creationId xmlns:a16="http://schemas.microsoft.com/office/drawing/2014/main" id="{00000000-0008-0000-1F00-000004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85" name="Flèche gauche 1">
          <a:hlinkClick xmlns:r="http://schemas.openxmlformats.org/officeDocument/2006/relationships" r:id="rId2"/>
          <a:extLst>
            <a:ext uri="{FF2B5EF4-FFF2-40B4-BE49-F238E27FC236}">
              <a16:creationId xmlns:a16="http://schemas.microsoft.com/office/drawing/2014/main" id="{00000000-0008-0000-1F00-000005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86" name="Flèche gauche 1">
          <a:hlinkClick xmlns:r="http://schemas.openxmlformats.org/officeDocument/2006/relationships" r:id="rId1"/>
          <a:extLst>
            <a:ext uri="{FF2B5EF4-FFF2-40B4-BE49-F238E27FC236}">
              <a16:creationId xmlns:a16="http://schemas.microsoft.com/office/drawing/2014/main" id="{00000000-0008-0000-1F00-000006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87" name="Flèche gauche 1">
          <a:hlinkClick xmlns:r="http://schemas.openxmlformats.org/officeDocument/2006/relationships" r:id="rId1"/>
          <a:extLst>
            <a:ext uri="{FF2B5EF4-FFF2-40B4-BE49-F238E27FC236}">
              <a16:creationId xmlns:a16="http://schemas.microsoft.com/office/drawing/2014/main" id="{00000000-0008-0000-1F00-000007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88" name="Flèche gauche 1">
          <a:hlinkClick xmlns:r="http://schemas.openxmlformats.org/officeDocument/2006/relationships" r:id="rId1"/>
          <a:extLst>
            <a:ext uri="{FF2B5EF4-FFF2-40B4-BE49-F238E27FC236}">
              <a16:creationId xmlns:a16="http://schemas.microsoft.com/office/drawing/2014/main" id="{00000000-0008-0000-1F00-000008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89" name="Flèche gauche 1">
          <a:hlinkClick xmlns:r="http://schemas.openxmlformats.org/officeDocument/2006/relationships" r:id="rId2"/>
          <a:extLst>
            <a:ext uri="{FF2B5EF4-FFF2-40B4-BE49-F238E27FC236}">
              <a16:creationId xmlns:a16="http://schemas.microsoft.com/office/drawing/2014/main" id="{00000000-0008-0000-1F00-000009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90" name="Flèche gauche 1">
          <a:hlinkClick xmlns:r="http://schemas.openxmlformats.org/officeDocument/2006/relationships" r:id="rId1"/>
          <a:extLst>
            <a:ext uri="{FF2B5EF4-FFF2-40B4-BE49-F238E27FC236}">
              <a16:creationId xmlns:a16="http://schemas.microsoft.com/office/drawing/2014/main" id="{00000000-0008-0000-1F00-00000A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91" name="Flèche gauche 1">
          <a:hlinkClick xmlns:r="http://schemas.openxmlformats.org/officeDocument/2006/relationships" r:id="rId1"/>
          <a:extLst>
            <a:ext uri="{FF2B5EF4-FFF2-40B4-BE49-F238E27FC236}">
              <a16:creationId xmlns:a16="http://schemas.microsoft.com/office/drawing/2014/main" id="{00000000-0008-0000-1F00-00000B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92" name="Flèche gauche 1">
          <a:hlinkClick xmlns:r="http://schemas.openxmlformats.org/officeDocument/2006/relationships" r:id="rId1"/>
          <a:extLst>
            <a:ext uri="{FF2B5EF4-FFF2-40B4-BE49-F238E27FC236}">
              <a16:creationId xmlns:a16="http://schemas.microsoft.com/office/drawing/2014/main" id="{00000000-0008-0000-1F00-00000C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93" name="Flèche gauche 1">
          <a:hlinkClick xmlns:r="http://schemas.openxmlformats.org/officeDocument/2006/relationships" r:id="rId2"/>
          <a:extLst>
            <a:ext uri="{FF2B5EF4-FFF2-40B4-BE49-F238E27FC236}">
              <a16:creationId xmlns:a16="http://schemas.microsoft.com/office/drawing/2014/main" id="{00000000-0008-0000-1F00-00000D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94" name="Flèche gauche 1">
          <a:hlinkClick xmlns:r="http://schemas.openxmlformats.org/officeDocument/2006/relationships" r:id="rId1"/>
          <a:extLst>
            <a:ext uri="{FF2B5EF4-FFF2-40B4-BE49-F238E27FC236}">
              <a16:creationId xmlns:a16="http://schemas.microsoft.com/office/drawing/2014/main" id="{00000000-0008-0000-1F00-00000E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95" name="Flèche gauche 1">
          <a:hlinkClick xmlns:r="http://schemas.openxmlformats.org/officeDocument/2006/relationships" r:id="rId1"/>
          <a:extLst>
            <a:ext uri="{FF2B5EF4-FFF2-40B4-BE49-F238E27FC236}">
              <a16:creationId xmlns:a16="http://schemas.microsoft.com/office/drawing/2014/main" id="{00000000-0008-0000-1F00-00000F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96" name="Flèche gauche 1">
          <a:hlinkClick xmlns:r="http://schemas.openxmlformats.org/officeDocument/2006/relationships" r:id="rId1"/>
          <a:extLst>
            <a:ext uri="{FF2B5EF4-FFF2-40B4-BE49-F238E27FC236}">
              <a16:creationId xmlns:a16="http://schemas.microsoft.com/office/drawing/2014/main" id="{00000000-0008-0000-1F00-000010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97" name="Flèche gauche 1">
          <a:hlinkClick xmlns:r="http://schemas.openxmlformats.org/officeDocument/2006/relationships" r:id="rId2"/>
          <a:extLst>
            <a:ext uri="{FF2B5EF4-FFF2-40B4-BE49-F238E27FC236}">
              <a16:creationId xmlns:a16="http://schemas.microsoft.com/office/drawing/2014/main" id="{00000000-0008-0000-1F00-000011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98" name="Flèche gauche 1">
          <a:hlinkClick xmlns:r="http://schemas.openxmlformats.org/officeDocument/2006/relationships" r:id="rId1"/>
          <a:extLst>
            <a:ext uri="{FF2B5EF4-FFF2-40B4-BE49-F238E27FC236}">
              <a16:creationId xmlns:a16="http://schemas.microsoft.com/office/drawing/2014/main" id="{00000000-0008-0000-1F00-000012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99" name="Flèche gauche 1">
          <a:hlinkClick xmlns:r="http://schemas.openxmlformats.org/officeDocument/2006/relationships" r:id="rId1"/>
          <a:extLst>
            <a:ext uri="{FF2B5EF4-FFF2-40B4-BE49-F238E27FC236}">
              <a16:creationId xmlns:a16="http://schemas.microsoft.com/office/drawing/2014/main" id="{00000000-0008-0000-1F00-000013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00" name="Flèche gauche 1">
          <a:hlinkClick xmlns:r="http://schemas.openxmlformats.org/officeDocument/2006/relationships" r:id="rId1"/>
          <a:extLst>
            <a:ext uri="{FF2B5EF4-FFF2-40B4-BE49-F238E27FC236}">
              <a16:creationId xmlns:a16="http://schemas.microsoft.com/office/drawing/2014/main" id="{00000000-0008-0000-1F00-000014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01" name="Flèche gauche 1">
          <a:hlinkClick xmlns:r="http://schemas.openxmlformats.org/officeDocument/2006/relationships" r:id="rId2"/>
          <a:extLst>
            <a:ext uri="{FF2B5EF4-FFF2-40B4-BE49-F238E27FC236}">
              <a16:creationId xmlns:a16="http://schemas.microsoft.com/office/drawing/2014/main" id="{00000000-0008-0000-1F00-000015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02" name="Flèche gauche 1">
          <a:hlinkClick xmlns:r="http://schemas.openxmlformats.org/officeDocument/2006/relationships" r:id="rId1"/>
          <a:extLst>
            <a:ext uri="{FF2B5EF4-FFF2-40B4-BE49-F238E27FC236}">
              <a16:creationId xmlns:a16="http://schemas.microsoft.com/office/drawing/2014/main" id="{00000000-0008-0000-1F00-000016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03" name="Flèche gauche 1">
          <a:hlinkClick xmlns:r="http://schemas.openxmlformats.org/officeDocument/2006/relationships" r:id="rId1"/>
          <a:extLst>
            <a:ext uri="{FF2B5EF4-FFF2-40B4-BE49-F238E27FC236}">
              <a16:creationId xmlns:a16="http://schemas.microsoft.com/office/drawing/2014/main" id="{00000000-0008-0000-1F00-000017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04" name="Flèche gauche 1">
          <a:hlinkClick xmlns:r="http://schemas.openxmlformats.org/officeDocument/2006/relationships" r:id="rId1"/>
          <a:extLst>
            <a:ext uri="{FF2B5EF4-FFF2-40B4-BE49-F238E27FC236}">
              <a16:creationId xmlns:a16="http://schemas.microsoft.com/office/drawing/2014/main" id="{00000000-0008-0000-1F00-000018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05" name="Flèche gauche 1">
          <a:hlinkClick xmlns:r="http://schemas.openxmlformats.org/officeDocument/2006/relationships" r:id="rId2"/>
          <a:extLst>
            <a:ext uri="{FF2B5EF4-FFF2-40B4-BE49-F238E27FC236}">
              <a16:creationId xmlns:a16="http://schemas.microsoft.com/office/drawing/2014/main" id="{00000000-0008-0000-1F00-000019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06" name="Flèche gauche 1">
          <a:hlinkClick xmlns:r="http://schemas.openxmlformats.org/officeDocument/2006/relationships" r:id="rId1"/>
          <a:extLst>
            <a:ext uri="{FF2B5EF4-FFF2-40B4-BE49-F238E27FC236}">
              <a16:creationId xmlns:a16="http://schemas.microsoft.com/office/drawing/2014/main" id="{00000000-0008-0000-1F00-00001A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07" name="Flèche gauche 1">
          <a:hlinkClick xmlns:r="http://schemas.openxmlformats.org/officeDocument/2006/relationships" r:id="rId1"/>
          <a:extLst>
            <a:ext uri="{FF2B5EF4-FFF2-40B4-BE49-F238E27FC236}">
              <a16:creationId xmlns:a16="http://schemas.microsoft.com/office/drawing/2014/main" id="{00000000-0008-0000-1F00-00001B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08" name="Flèche gauche 1">
          <a:hlinkClick xmlns:r="http://schemas.openxmlformats.org/officeDocument/2006/relationships" r:id="rId1"/>
          <a:extLst>
            <a:ext uri="{FF2B5EF4-FFF2-40B4-BE49-F238E27FC236}">
              <a16:creationId xmlns:a16="http://schemas.microsoft.com/office/drawing/2014/main" id="{00000000-0008-0000-1F00-00001C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09" name="Flèche gauche 1">
          <a:hlinkClick xmlns:r="http://schemas.openxmlformats.org/officeDocument/2006/relationships" r:id="rId2"/>
          <a:extLst>
            <a:ext uri="{FF2B5EF4-FFF2-40B4-BE49-F238E27FC236}">
              <a16:creationId xmlns:a16="http://schemas.microsoft.com/office/drawing/2014/main" id="{00000000-0008-0000-1F00-00001D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10" name="Flèche gauche 1">
          <a:hlinkClick xmlns:r="http://schemas.openxmlformats.org/officeDocument/2006/relationships" r:id="rId1"/>
          <a:extLst>
            <a:ext uri="{FF2B5EF4-FFF2-40B4-BE49-F238E27FC236}">
              <a16:creationId xmlns:a16="http://schemas.microsoft.com/office/drawing/2014/main" id="{00000000-0008-0000-1F00-00001E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11" name="Flèche gauche 1">
          <a:hlinkClick xmlns:r="http://schemas.openxmlformats.org/officeDocument/2006/relationships" r:id="rId1"/>
          <a:extLst>
            <a:ext uri="{FF2B5EF4-FFF2-40B4-BE49-F238E27FC236}">
              <a16:creationId xmlns:a16="http://schemas.microsoft.com/office/drawing/2014/main" id="{00000000-0008-0000-1F00-00001F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12" name="Flèche gauche 1">
          <a:hlinkClick xmlns:r="http://schemas.openxmlformats.org/officeDocument/2006/relationships" r:id="rId1"/>
          <a:extLst>
            <a:ext uri="{FF2B5EF4-FFF2-40B4-BE49-F238E27FC236}">
              <a16:creationId xmlns:a16="http://schemas.microsoft.com/office/drawing/2014/main" id="{00000000-0008-0000-1F00-000020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13" name="Flèche gauche 1">
          <a:hlinkClick xmlns:r="http://schemas.openxmlformats.org/officeDocument/2006/relationships" r:id="rId2"/>
          <a:extLst>
            <a:ext uri="{FF2B5EF4-FFF2-40B4-BE49-F238E27FC236}">
              <a16:creationId xmlns:a16="http://schemas.microsoft.com/office/drawing/2014/main" id="{00000000-0008-0000-1F00-000021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14" name="Flèche gauche 1">
          <a:hlinkClick xmlns:r="http://schemas.openxmlformats.org/officeDocument/2006/relationships" r:id="rId1"/>
          <a:extLst>
            <a:ext uri="{FF2B5EF4-FFF2-40B4-BE49-F238E27FC236}">
              <a16:creationId xmlns:a16="http://schemas.microsoft.com/office/drawing/2014/main" id="{00000000-0008-0000-1F00-000022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15" name="Flèche gauche 1">
          <a:hlinkClick xmlns:r="http://schemas.openxmlformats.org/officeDocument/2006/relationships" r:id="rId1"/>
          <a:extLst>
            <a:ext uri="{FF2B5EF4-FFF2-40B4-BE49-F238E27FC236}">
              <a16:creationId xmlns:a16="http://schemas.microsoft.com/office/drawing/2014/main" id="{00000000-0008-0000-1F00-000023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16" name="Flèche gauche 1">
          <a:hlinkClick xmlns:r="http://schemas.openxmlformats.org/officeDocument/2006/relationships" r:id="rId1"/>
          <a:extLst>
            <a:ext uri="{FF2B5EF4-FFF2-40B4-BE49-F238E27FC236}">
              <a16:creationId xmlns:a16="http://schemas.microsoft.com/office/drawing/2014/main" id="{00000000-0008-0000-1F00-000024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17" name="Flèche gauche 1">
          <a:hlinkClick xmlns:r="http://schemas.openxmlformats.org/officeDocument/2006/relationships" r:id="rId2"/>
          <a:extLst>
            <a:ext uri="{FF2B5EF4-FFF2-40B4-BE49-F238E27FC236}">
              <a16:creationId xmlns:a16="http://schemas.microsoft.com/office/drawing/2014/main" id="{00000000-0008-0000-1F00-000025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18" name="Flèche gauche 1">
          <a:hlinkClick xmlns:r="http://schemas.openxmlformats.org/officeDocument/2006/relationships" r:id="rId1"/>
          <a:extLst>
            <a:ext uri="{FF2B5EF4-FFF2-40B4-BE49-F238E27FC236}">
              <a16:creationId xmlns:a16="http://schemas.microsoft.com/office/drawing/2014/main" id="{00000000-0008-0000-1F00-000026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19" name="Flèche gauche 1">
          <a:hlinkClick xmlns:r="http://schemas.openxmlformats.org/officeDocument/2006/relationships" r:id="rId1"/>
          <a:extLst>
            <a:ext uri="{FF2B5EF4-FFF2-40B4-BE49-F238E27FC236}">
              <a16:creationId xmlns:a16="http://schemas.microsoft.com/office/drawing/2014/main" id="{00000000-0008-0000-1F00-000027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20" name="Flèche gauche 1">
          <a:hlinkClick xmlns:r="http://schemas.openxmlformats.org/officeDocument/2006/relationships" r:id="rId1"/>
          <a:extLst>
            <a:ext uri="{FF2B5EF4-FFF2-40B4-BE49-F238E27FC236}">
              <a16:creationId xmlns:a16="http://schemas.microsoft.com/office/drawing/2014/main" id="{00000000-0008-0000-1F00-000028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21" name="Flèche gauche 1">
          <a:hlinkClick xmlns:r="http://schemas.openxmlformats.org/officeDocument/2006/relationships" r:id="rId2"/>
          <a:extLst>
            <a:ext uri="{FF2B5EF4-FFF2-40B4-BE49-F238E27FC236}">
              <a16:creationId xmlns:a16="http://schemas.microsoft.com/office/drawing/2014/main" id="{00000000-0008-0000-1F00-000029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22" name="Flèche gauche 1">
          <a:hlinkClick xmlns:r="http://schemas.openxmlformats.org/officeDocument/2006/relationships" r:id="rId1"/>
          <a:extLst>
            <a:ext uri="{FF2B5EF4-FFF2-40B4-BE49-F238E27FC236}">
              <a16:creationId xmlns:a16="http://schemas.microsoft.com/office/drawing/2014/main" id="{00000000-0008-0000-1F00-00002A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23" name="Flèche gauche 1">
          <a:hlinkClick xmlns:r="http://schemas.openxmlformats.org/officeDocument/2006/relationships" r:id="rId1"/>
          <a:extLst>
            <a:ext uri="{FF2B5EF4-FFF2-40B4-BE49-F238E27FC236}">
              <a16:creationId xmlns:a16="http://schemas.microsoft.com/office/drawing/2014/main" id="{00000000-0008-0000-1F00-00002B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24" name="Flèche gauche 1">
          <a:hlinkClick xmlns:r="http://schemas.openxmlformats.org/officeDocument/2006/relationships" r:id="rId1"/>
          <a:extLst>
            <a:ext uri="{FF2B5EF4-FFF2-40B4-BE49-F238E27FC236}">
              <a16:creationId xmlns:a16="http://schemas.microsoft.com/office/drawing/2014/main" id="{00000000-0008-0000-1F00-00002C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25" name="Flèche gauche 1">
          <a:hlinkClick xmlns:r="http://schemas.openxmlformats.org/officeDocument/2006/relationships" r:id="rId2"/>
          <a:extLst>
            <a:ext uri="{FF2B5EF4-FFF2-40B4-BE49-F238E27FC236}">
              <a16:creationId xmlns:a16="http://schemas.microsoft.com/office/drawing/2014/main" id="{00000000-0008-0000-1F00-00002D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26" name="Flèche gauche 1">
          <a:hlinkClick xmlns:r="http://schemas.openxmlformats.org/officeDocument/2006/relationships" r:id="rId1"/>
          <a:extLst>
            <a:ext uri="{FF2B5EF4-FFF2-40B4-BE49-F238E27FC236}">
              <a16:creationId xmlns:a16="http://schemas.microsoft.com/office/drawing/2014/main" id="{00000000-0008-0000-1F00-00002E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27" name="Flèche gauche 1">
          <a:hlinkClick xmlns:r="http://schemas.openxmlformats.org/officeDocument/2006/relationships" r:id="rId1"/>
          <a:extLst>
            <a:ext uri="{FF2B5EF4-FFF2-40B4-BE49-F238E27FC236}">
              <a16:creationId xmlns:a16="http://schemas.microsoft.com/office/drawing/2014/main" id="{00000000-0008-0000-1F00-00002F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28" name="Flèche gauche 1">
          <a:hlinkClick xmlns:r="http://schemas.openxmlformats.org/officeDocument/2006/relationships" r:id="rId1"/>
          <a:extLst>
            <a:ext uri="{FF2B5EF4-FFF2-40B4-BE49-F238E27FC236}">
              <a16:creationId xmlns:a16="http://schemas.microsoft.com/office/drawing/2014/main" id="{00000000-0008-0000-1F00-000030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29" name="Flèche gauche 1">
          <a:hlinkClick xmlns:r="http://schemas.openxmlformats.org/officeDocument/2006/relationships" r:id="rId2"/>
          <a:extLst>
            <a:ext uri="{FF2B5EF4-FFF2-40B4-BE49-F238E27FC236}">
              <a16:creationId xmlns:a16="http://schemas.microsoft.com/office/drawing/2014/main" id="{00000000-0008-0000-1F00-000031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30" name="Flèche gauche 1">
          <a:hlinkClick xmlns:r="http://schemas.openxmlformats.org/officeDocument/2006/relationships" r:id="rId1"/>
          <a:extLst>
            <a:ext uri="{FF2B5EF4-FFF2-40B4-BE49-F238E27FC236}">
              <a16:creationId xmlns:a16="http://schemas.microsoft.com/office/drawing/2014/main" id="{00000000-0008-0000-1F00-000032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31" name="Flèche gauche 1">
          <a:hlinkClick xmlns:r="http://schemas.openxmlformats.org/officeDocument/2006/relationships" r:id="rId1"/>
          <a:extLst>
            <a:ext uri="{FF2B5EF4-FFF2-40B4-BE49-F238E27FC236}">
              <a16:creationId xmlns:a16="http://schemas.microsoft.com/office/drawing/2014/main" id="{00000000-0008-0000-1F00-000033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32" name="Flèche gauche 1">
          <a:hlinkClick xmlns:r="http://schemas.openxmlformats.org/officeDocument/2006/relationships" r:id="rId1"/>
          <a:extLst>
            <a:ext uri="{FF2B5EF4-FFF2-40B4-BE49-F238E27FC236}">
              <a16:creationId xmlns:a16="http://schemas.microsoft.com/office/drawing/2014/main" id="{00000000-0008-0000-1F00-000034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33" name="Flèche gauche 1">
          <a:hlinkClick xmlns:r="http://schemas.openxmlformats.org/officeDocument/2006/relationships" r:id="rId2"/>
          <a:extLst>
            <a:ext uri="{FF2B5EF4-FFF2-40B4-BE49-F238E27FC236}">
              <a16:creationId xmlns:a16="http://schemas.microsoft.com/office/drawing/2014/main" id="{00000000-0008-0000-1F00-000035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34" name="Flèche gauche 1">
          <a:hlinkClick xmlns:r="http://schemas.openxmlformats.org/officeDocument/2006/relationships" r:id="rId1"/>
          <a:extLst>
            <a:ext uri="{FF2B5EF4-FFF2-40B4-BE49-F238E27FC236}">
              <a16:creationId xmlns:a16="http://schemas.microsoft.com/office/drawing/2014/main" id="{00000000-0008-0000-1F00-000036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35" name="Flèche gauche 1">
          <a:hlinkClick xmlns:r="http://schemas.openxmlformats.org/officeDocument/2006/relationships" r:id="rId1"/>
          <a:extLst>
            <a:ext uri="{FF2B5EF4-FFF2-40B4-BE49-F238E27FC236}">
              <a16:creationId xmlns:a16="http://schemas.microsoft.com/office/drawing/2014/main" id="{00000000-0008-0000-1F00-000037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36" name="Flèche gauche 1">
          <a:hlinkClick xmlns:r="http://schemas.openxmlformats.org/officeDocument/2006/relationships" r:id="rId1"/>
          <a:extLst>
            <a:ext uri="{FF2B5EF4-FFF2-40B4-BE49-F238E27FC236}">
              <a16:creationId xmlns:a16="http://schemas.microsoft.com/office/drawing/2014/main" id="{00000000-0008-0000-1F00-000038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37" name="Flèche gauche 1">
          <a:hlinkClick xmlns:r="http://schemas.openxmlformats.org/officeDocument/2006/relationships" r:id="rId2"/>
          <a:extLst>
            <a:ext uri="{FF2B5EF4-FFF2-40B4-BE49-F238E27FC236}">
              <a16:creationId xmlns:a16="http://schemas.microsoft.com/office/drawing/2014/main" id="{00000000-0008-0000-1F00-000039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38" name="Flèche gauche 1">
          <a:hlinkClick xmlns:r="http://schemas.openxmlformats.org/officeDocument/2006/relationships" r:id="rId1"/>
          <a:extLst>
            <a:ext uri="{FF2B5EF4-FFF2-40B4-BE49-F238E27FC236}">
              <a16:creationId xmlns:a16="http://schemas.microsoft.com/office/drawing/2014/main" id="{00000000-0008-0000-1F00-00003A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39" name="Flèche gauche 1">
          <a:hlinkClick xmlns:r="http://schemas.openxmlformats.org/officeDocument/2006/relationships" r:id="rId1"/>
          <a:extLst>
            <a:ext uri="{FF2B5EF4-FFF2-40B4-BE49-F238E27FC236}">
              <a16:creationId xmlns:a16="http://schemas.microsoft.com/office/drawing/2014/main" id="{00000000-0008-0000-1F00-00003B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40" name="Flèche gauche 1">
          <a:hlinkClick xmlns:r="http://schemas.openxmlformats.org/officeDocument/2006/relationships" r:id="rId1"/>
          <a:extLst>
            <a:ext uri="{FF2B5EF4-FFF2-40B4-BE49-F238E27FC236}">
              <a16:creationId xmlns:a16="http://schemas.microsoft.com/office/drawing/2014/main" id="{00000000-0008-0000-1F00-00003C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41" name="Flèche gauche 1">
          <a:hlinkClick xmlns:r="http://schemas.openxmlformats.org/officeDocument/2006/relationships" r:id="rId2"/>
          <a:extLst>
            <a:ext uri="{FF2B5EF4-FFF2-40B4-BE49-F238E27FC236}">
              <a16:creationId xmlns:a16="http://schemas.microsoft.com/office/drawing/2014/main" id="{00000000-0008-0000-1F00-00003D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42" name="Flèche gauche 1">
          <a:hlinkClick xmlns:r="http://schemas.openxmlformats.org/officeDocument/2006/relationships" r:id="rId1"/>
          <a:extLst>
            <a:ext uri="{FF2B5EF4-FFF2-40B4-BE49-F238E27FC236}">
              <a16:creationId xmlns:a16="http://schemas.microsoft.com/office/drawing/2014/main" id="{00000000-0008-0000-1F00-00003E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43" name="Flèche gauche 1">
          <a:hlinkClick xmlns:r="http://schemas.openxmlformats.org/officeDocument/2006/relationships" r:id="rId1"/>
          <a:extLst>
            <a:ext uri="{FF2B5EF4-FFF2-40B4-BE49-F238E27FC236}">
              <a16:creationId xmlns:a16="http://schemas.microsoft.com/office/drawing/2014/main" id="{00000000-0008-0000-1F00-00003F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44" name="Flèche gauche 1">
          <a:hlinkClick xmlns:r="http://schemas.openxmlformats.org/officeDocument/2006/relationships" r:id="rId1"/>
          <a:extLst>
            <a:ext uri="{FF2B5EF4-FFF2-40B4-BE49-F238E27FC236}">
              <a16:creationId xmlns:a16="http://schemas.microsoft.com/office/drawing/2014/main" id="{00000000-0008-0000-1F00-000040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45" name="Flèche gauche 1">
          <a:hlinkClick xmlns:r="http://schemas.openxmlformats.org/officeDocument/2006/relationships" r:id="rId2"/>
          <a:extLst>
            <a:ext uri="{FF2B5EF4-FFF2-40B4-BE49-F238E27FC236}">
              <a16:creationId xmlns:a16="http://schemas.microsoft.com/office/drawing/2014/main" id="{00000000-0008-0000-1F00-000041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46" name="Flèche gauche 1">
          <a:hlinkClick xmlns:r="http://schemas.openxmlformats.org/officeDocument/2006/relationships" r:id="rId1"/>
          <a:extLst>
            <a:ext uri="{FF2B5EF4-FFF2-40B4-BE49-F238E27FC236}">
              <a16:creationId xmlns:a16="http://schemas.microsoft.com/office/drawing/2014/main" id="{00000000-0008-0000-1F00-000042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47" name="Flèche gauche 1">
          <a:hlinkClick xmlns:r="http://schemas.openxmlformats.org/officeDocument/2006/relationships" r:id="rId1"/>
          <a:extLst>
            <a:ext uri="{FF2B5EF4-FFF2-40B4-BE49-F238E27FC236}">
              <a16:creationId xmlns:a16="http://schemas.microsoft.com/office/drawing/2014/main" id="{00000000-0008-0000-1F00-000043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48" name="Flèche gauche 1">
          <a:hlinkClick xmlns:r="http://schemas.openxmlformats.org/officeDocument/2006/relationships" r:id="rId1"/>
          <a:extLst>
            <a:ext uri="{FF2B5EF4-FFF2-40B4-BE49-F238E27FC236}">
              <a16:creationId xmlns:a16="http://schemas.microsoft.com/office/drawing/2014/main" id="{00000000-0008-0000-1F00-000044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49" name="Flèche gauche 1">
          <a:hlinkClick xmlns:r="http://schemas.openxmlformats.org/officeDocument/2006/relationships" r:id="rId2"/>
          <a:extLst>
            <a:ext uri="{FF2B5EF4-FFF2-40B4-BE49-F238E27FC236}">
              <a16:creationId xmlns:a16="http://schemas.microsoft.com/office/drawing/2014/main" id="{00000000-0008-0000-1F00-000045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50" name="Flèche gauche 1">
          <a:hlinkClick xmlns:r="http://schemas.openxmlformats.org/officeDocument/2006/relationships" r:id="rId1"/>
          <a:extLst>
            <a:ext uri="{FF2B5EF4-FFF2-40B4-BE49-F238E27FC236}">
              <a16:creationId xmlns:a16="http://schemas.microsoft.com/office/drawing/2014/main" id="{00000000-0008-0000-1F00-000046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51" name="Flèche gauche 1">
          <a:hlinkClick xmlns:r="http://schemas.openxmlformats.org/officeDocument/2006/relationships" r:id="rId1"/>
          <a:extLst>
            <a:ext uri="{FF2B5EF4-FFF2-40B4-BE49-F238E27FC236}">
              <a16:creationId xmlns:a16="http://schemas.microsoft.com/office/drawing/2014/main" id="{00000000-0008-0000-1F00-000047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52" name="Flèche gauche 1">
          <a:hlinkClick xmlns:r="http://schemas.openxmlformats.org/officeDocument/2006/relationships" r:id="rId1"/>
          <a:extLst>
            <a:ext uri="{FF2B5EF4-FFF2-40B4-BE49-F238E27FC236}">
              <a16:creationId xmlns:a16="http://schemas.microsoft.com/office/drawing/2014/main" id="{00000000-0008-0000-1F00-000048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53" name="Flèche gauche 1">
          <a:hlinkClick xmlns:r="http://schemas.openxmlformats.org/officeDocument/2006/relationships" r:id="rId2"/>
          <a:extLst>
            <a:ext uri="{FF2B5EF4-FFF2-40B4-BE49-F238E27FC236}">
              <a16:creationId xmlns:a16="http://schemas.microsoft.com/office/drawing/2014/main" id="{00000000-0008-0000-1F00-000049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54" name="Flèche gauche 1">
          <a:hlinkClick xmlns:r="http://schemas.openxmlformats.org/officeDocument/2006/relationships" r:id="rId1"/>
          <a:extLst>
            <a:ext uri="{FF2B5EF4-FFF2-40B4-BE49-F238E27FC236}">
              <a16:creationId xmlns:a16="http://schemas.microsoft.com/office/drawing/2014/main" id="{00000000-0008-0000-1F00-00004A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55" name="Flèche gauche 1">
          <a:hlinkClick xmlns:r="http://schemas.openxmlformats.org/officeDocument/2006/relationships" r:id="rId1"/>
          <a:extLst>
            <a:ext uri="{FF2B5EF4-FFF2-40B4-BE49-F238E27FC236}">
              <a16:creationId xmlns:a16="http://schemas.microsoft.com/office/drawing/2014/main" id="{00000000-0008-0000-1F00-00004B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56" name="Flèche gauche 1">
          <a:hlinkClick xmlns:r="http://schemas.openxmlformats.org/officeDocument/2006/relationships" r:id="rId1"/>
          <a:extLst>
            <a:ext uri="{FF2B5EF4-FFF2-40B4-BE49-F238E27FC236}">
              <a16:creationId xmlns:a16="http://schemas.microsoft.com/office/drawing/2014/main" id="{00000000-0008-0000-1F00-00004C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57" name="Flèche gauche 1">
          <a:hlinkClick xmlns:r="http://schemas.openxmlformats.org/officeDocument/2006/relationships" r:id="rId2"/>
          <a:extLst>
            <a:ext uri="{FF2B5EF4-FFF2-40B4-BE49-F238E27FC236}">
              <a16:creationId xmlns:a16="http://schemas.microsoft.com/office/drawing/2014/main" id="{00000000-0008-0000-1F00-00004D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58" name="Flèche gauche 1">
          <a:hlinkClick xmlns:r="http://schemas.openxmlformats.org/officeDocument/2006/relationships" r:id="rId1"/>
          <a:extLst>
            <a:ext uri="{FF2B5EF4-FFF2-40B4-BE49-F238E27FC236}">
              <a16:creationId xmlns:a16="http://schemas.microsoft.com/office/drawing/2014/main" id="{00000000-0008-0000-1F00-00004E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59" name="Flèche gauche 1">
          <a:hlinkClick xmlns:r="http://schemas.openxmlformats.org/officeDocument/2006/relationships" r:id="rId1"/>
          <a:extLst>
            <a:ext uri="{FF2B5EF4-FFF2-40B4-BE49-F238E27FC236}">
              <a16:creationId xmlns:a16="http://schemas.microsoft.com/office/drawing/2014/main" id="{00000000-0008-0000-1F00-00004F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60" name="Flèche gauche 1">
          <a:hlinkClick xmlns:r="http://schemas.openxmlformats.org/officeDocument/2006/relationships" r:id="rId1"/>
          <a:extLst>
            <a:ext uri="{FF2B5EF4-FFF2-40B4-BE49-F238E27FC236}">
              <a16:creationId xmlns:a16="http://schemas.microsoft.com/office/drawing/2014/main" id="{00000000-0008-0000-1F00-000050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61" name="Flèche gauche 1">
          <a:hlinkClick xmlns:r="http://schemas.openxmlformats.org/officeDocument/2006/relationships" r:id="rId2"/>
          <a:extLst>
            <a:ext uri="{FF2B5EF4-FFF2-40B4-BE49-F238E27FC236}">
              <a16:creationId xmlns:a16="http://schemas.microsoft.com/office/drawing/2014/main" id="{00000000-0008-0000-1F00-000051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62" name="Flèche gauche 1">
          <a:hlinkClick xmlns:r="http://schemas.openxmlformats.org/officeDocument/2006/relationships" r:id="rId1"/>
          <a:extLst>
            <a:ext uri="{FF2B5EF4-FFF2-40B4-BE49-F238E27FC236}">
              <a16:creationId xmlns:a16="http://schemas.microsoft.com/office/drawing/2014/main" id="{00000000-0008-0000-1F00-000052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63" name="Flèche gauche 1">
          <a:hlinkClick xmlns:r="http://schemas.openxmlformats.org/officeDocument/2006/relationships" r:id="rId1"/>
          <a:extLst>
            <a:ext uri="{FF2B5EF4-FFF2-40B4-BE49-F238E27FC236}">
              <a16:creationId xmlns:a16="http://schemas.microsoft.com/office/drawing/2014/main" id="{00000000-0008-0000-1F00-000053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64" name="Flèche gauche 1">
          <a:hlinkClick xmlns:r="http://schemas.openxmlformats.org/officeDocument/2006/relationships" r:id="rId1"/>
          <a:extLst>
            <a:ext uri="{FF2B5EF4-FFF2-40B4-BE49-F238E27FC236}">
              <a16:creationId xmlns:a16="http://schemas.microsoft.com/office/drawing/2014/main" id="{00000000-0008-0000-1F00-000054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65" name="Flèche gauche 1">
          <a:hlinkClick xmlns:r="http://schemas.openxmlformats.org/officeDocument/2006/relationships" r:id="rId2"/>
          <a:extLst>
            <a:ext uri="{FF2B5EF4-FFF2-40B4-BE49-F238E27FC236}">
              <a16:creationId xmlns:a16="http://schemas.microsoft.com/office/drawing/2014/main" id="{00000000-0008-0000-1F00-000055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66" name="Flèche gauche 1">
          <a:hlinkClick xmlns:r="http://schemas.openxmlformats.org/officeDocument/2006/relationships" r:id="rId1"/>
          <a:extLst>
            <a:ext uri="{FF2B5EF4-FFF2-40B4-BE49-F238E27FC236}">
              <a16:creationId xmlns:a16="http://schemas.microsoft.com/office/drawing/2014/main" id="{00000000-0008-0000-1F00-000056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67" name="Flèche gauche 1">
          <a:hlinkClick xmlns:r="http://schemas.openxmlformats.org/officeDocument/2006/relationships" r:id="rId1"/>
          <a:extLst>
            <a:ext uri="{FF2B5EF4-FFF2-40B4-BE49-F238E27FC236}">
              <a16:creationId xmlns:a16="http://schemas.microsoft.com/office/drawing/2014/main" id="{00000000-0008-0000-1F00-000057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68" name="Flèche gauche 1">
          <a:hlinkClick xmlns:r="http://schemas.openxmlformats.org/officeDocument/2006/relationships" r:id="rId1"/>
          <a:extLst>
            <a:ext uri="{FF2B5EF4-FFF2-40B4-BE49-F238E27FC236}">
              <a16:creationId xmlns:a16="http://schemas.microsoft.com/office/drawing/2014/main" id="{00000000-0008-0000-1F00-000058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69" name="Flèche gauche 1">
          <a:hlinkClick xmlns:r="http://schemas.openxmlformats.org/officeDocument/2006/relationships" r:id="rId2"/>
          <a:extLst>
            <a:ext uri="{FF2B5EF4-FFF2-40B4-BE49-F238E27FC236}">
              <a16:creationId xmlns:a16="http://schemas.microsoft.com/office/drawing/2014/main" id="{00000000-0008-0000-1F00-000059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70" name="Flèche gauche 1">
          <a:hlinkClick xmlns:r="http://schemas.openxmlformats.org/officeDocument/2006/relationships" r:id="rId1"/>
          <a:extLst>
            <a:ext uri="{FF2B5EF4-FFF2-40B4-BE49-F238E27FC236}">
              <a16:creationId xmlns:a16="http://schemas.microsoft.com/office/drawing/2014/main" id="{00000000-0008-0000-1F00-00005A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71" name="Flèche gauche 1">
          <a:hlinkClick xmlns:r="http://schemas.openxmlformats.org/officeDocument/2006/relationships" r:id="rId1"/>
          <a:extLst>
            <a:ext uri="{FF2B5EF4-FFF2-40B4-BE49-F238E27FC236}">
              <a16:creationId xmlns:a16="http://schemas.microsoft.com/office/drawing/2014/main" id="{00000000-0008-0000-1F00-00005B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72" name="Flèche gauche 1">
          <a:hlinkClick xmlns:r="http://schemas.openxmlformats.org/officeDocument/2006/relationships" r:id="rId1"/>
          <a:extLst>
            <a:ext uri="{FF2B5EF4-FFF2-40B4-BE49-F238E27FC236}">
              <a16:creationId xmlns:a16="http://schemas.microsoft.com/office/drawing/2014/main" id="{00000000-0008-0000-1F00-00005C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73" name="Flèche gauche 1">
          <a:hlinkClick xmlns:r="http://schemas.openxmlformats.org/officeDocument/2006/relationships" r:id="rId2"/>
          <a:extLst>
            <a:ext uri="{FF2B5EF4-FFF2-40B4-BE49-F238E27FC236}">
              <a16:creationId xmlns:a16="http://schemas.microsoft.com/office/drawing/2014/main" id="{00000000-0008-0000-1F00-00005D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74" name="Flèche gauche 1">
          <a:hlinkClick xmlns:r="http://schemas.openxmlformats.org/officeDocument/2006/relationships" r:id="rId1"/>
          <a:extLst>
            <a:ext uri="{FF2B5EF4-FFF2-40B4-BE49-F238E27FC236}">
              <a16:creationId xmlns:a16="http://schemas.microsoft.com/office/drawing/2014/main" id="{00000000-0008-0000-1F00-00005E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75" name="Flèche gauche 1">
          <a:hlinkClick xmlns:r="http://schemas.openxmlformats.org/officeDocument/2006/relationships" r:id="rId1"/>
          <a:extLst>
            <a:ext uri="{FF2B5EF4-FFF2-40B4-BE49-F238E27FC236}">
              <a16:creationId xmlns:a16="http://schemas.microsoft.com/office/drawing/2014/main" id="{00000000-0008-0000-1F00-00005F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76" name="Flèche gauche 1">
          <a:hlinkClick xmlns:r="http://schemas.openxmlformats.org/officeDocument/2006/relationships" r:id="rId1"/>
          <a:extLst>
            <a:ext uri="{FF2B5EF4-FFF2-40B4-BE49-F238E27FC236}">
              <a16:creationId xmlns:a16="http://schemas.microsoft.com/office/drawing/2014/main" id="{00000000-0008-0000-1F00-000060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77" name="Flèche gauche 1">
          <a:hlinkClick xmlns:r="http://schemas.openxmlformats.org/officeDocument/2006/relationships" r:id="rId2"/>
          <a:extLst>
            <a:ext uri="{FF2B5EF4-FFF2-40B4-BE49-F238E27FC236}">
              <a16:creationId xmlns:a16="http://schemas.microsoft.com/office/drawing/2014/main" id="{00000000-0008-0000-1F00-000061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78" name="Flèche gauche 1">
          <a:hlinkClick xmlns:r="http://schemas.openxmlformats.org/officeDocument/2006/relationships" r:id="rId1"/>
          <a:extLst>
            <a:ext uri="{FF2B5EF4-FFF2-40B4-BE49-F238E27FC236}">
              <a16:creationId xmlns:a16="http://schemas.microsoft.com/office/drawing/2014/main" id="{00000000-0008-0000-1F00-000062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79" name="Flèche gauche 1">
          <a:hlinkClick xmlns:r="http://schemas.openxmlformats.org/officeDocument/2006/relationships" r:id="rId1"/>
          <a:extLst>
            <a:ext uri="{FF2B5EF4-FFF2-40B4-BE49-F238E27FC236}">
              <a16:creationId xmlns:a16="http://schemas.microsoft.com/office/drawing/2014/main" id="{00000000-0008-0000-1F00-000063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80" name="Flèche gauche 1">
          <a:hlinkClick xmlns:r="http://schemas.openxmlformats.org/officeDocument/2006/relationships" r:id="rId1"/>
          <a:extLst>
            <a:ext uri="{FF2B5EF4-FFF2-40B4-BE49-F238E27FC236}">
              <a16:creationId xmlns:a16="http://schemas.microsoft.com/office/drawing/2014/main" id="{00000000-0008-0000-1F00-000064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81" name="Flèche gauche 1">
          <a:hlinkClick xmlns:r="http://schemas.openxmlformats.org/officeDocument/2006/relationships" r:id="rId2"/>
          <a:extLst>
            <a:ext uri="{FF2B5EF4-FFF2-40B4-BE49-F238E27FC236}">
              <a16:creationId xmlns:a16="http://schemas.microsoft.com/office/drawing/2014/main" id="{00000000-0008-0000-1F00-000065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82" name="Flèche gauche 1">
          <a:hlinkClick xmlns:r="http://schemas.openxmlformats.org/officeDocument/2006/relationships" r:id="rId1"/>
          <a:extLst>
            <a:ext uri="{FF2B5EF4-FFF2-40B4-BE49-F238E27FC236}">
              <a16:creationId xmlns:a16="http://schemas.microsoft.com/office/drawing/2014/main" id="{00000000-0008-0000-1F00-000066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83" name="Flèche gauche 1">
          <a:hlinkClick xmlns:r="http://schemas.openxmlformats.org/officeDocument/2006/relationships" r:id="rId1"/>
          <a:extLst>
            <a:ext uri="{FF2B5EF4-FFF2-40B4-BE49-F238E27FC236}">
              <a16:creationId xmlns:a16="http://schemas.microsoft.com/office/drawing/2014/main" id="{00000000-0008-0000-1F00-000067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84" name="Flèche gauche 1">
          <a:hlinkClick xmlns:r="http://schemas.openxmlformats.org/officeDocument/2006/relationships" r:id="rId1"/>
          <a:extLst>
            <a:ext uri="{FF2B5EF4-FFF2-40B4-BE49-F238E27FC236}">
              <a16:creationId xmlns:a16="http://schemas.microsoft.com/office/drawing/2014/main" id="{00000000-0008-0000-1F00-000068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85" name="Flèche gauche 1">
          <a:hlinkClick xmlns:r="http://schemas.openxmlformats.org/officeDocument/2006/relationships" r:id="rId2"/>
          <a:extLst>
            <a:ext uri="{FF2B5EF4-FFF2-40B4-BE49-F238E27FC236}">
              <a16:creationId xmlns:a16="http://schemas.microsoft.com/office/drawing/2014/main" id="{00000000-0008-0000-1F00-000069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86" name="Flèche gauche 1">
          <a:hlinkClick xmlns:r="http://schemas.openxmlformats.org/officeDocument/2006/relationships" r:id="rId1"/>
          <a:extLst>
            <a:ext uri="{FF2B5EF4-FFF2-40B4-BE49-F238E27FC236}">
              <a16:creationId xmlns:a16="http://schemas.microsoft.com/office/drawing/2014/main" id="{00000000-0008-0000-1F00-00006A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87" name="Flèche gauche 1">
          <a:hlinkClick xmlns:r="http://schemas.openxmlformats.org/officeDocument/2006/relationships" r:id="rId1"/>
          <a:extLst>
            <a:ext uri="{FF2B5EF4-FFF2-40B4-BE49-F238E27FC236}">
              <a16:creationId xmlns:a16="http://schemas.microsoft.com/office/drawing/2014/main" id="{00000000-0008-0000-1F00-00006B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88" name="Flèche gauche 1">
          <a:hlinkClick xmlns:r="http://schemas.openxmlformats.org/officeDocument/2006/relationships" r:id="rId1"/>
          <a:extLst>
            <a:ext uri="{FF2B5EF4-FFF2-40B4-BE49-F238E27FC236}">
              <a16:creationId xmlns:a16="http://schemas.microsoft.com/office/drawing/2014/main" id="{00000000-0008-0000-1F00-00006C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89" name="Flèche gauche 1">
          <a:hlinkClick xmlns:r="http://schemas.openxmlformats.org/officeDocument/2006/relationships" r:id="rId2"/>
          <a:extLst>
            <a:ext uri="{FF2B5EF4-FFF2-40B4-BE49-F238E27FC236}">
              <a16:creationId xmlns:a16="http://schemas.microsoft.com/office/drawing/2014/main" id="{00000000-0008-0000-1F00-00006D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90" name="Flèche gauche 1">
          <a:hlinkClick xmlns:r="http://schemas.openxmlformats.org/officeDocument/2006/relationships" r:id="rId1"/>
          <a:extLst>
            <a:ext uri="{FF2B5EF4-FFF2-40B4-BE49-F238E27FC236}">
              <a16:creationId xmlns:a16="http://schemas.microsoft.com/office/drawing/2014/main" id="{00000000-0008-0000-1F00-00006E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91" name="Flèche gauche 1">
          <a:hlinkClick xmlns:r="http://schemas.openxmlformats.org/officeDocument/2006/relationships" r:id="rId1"/>
          <a:extLst>
            <a:ext uri="{FF2B5EF4-FFF2-40B4-BE49-F238E27FC236}">
              <a16:creationId xmlns:a16="http://schemas.microsoft.com/office/drawing/2014/main" id="{00000000-0008-0000-1F00-00006F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92" name="Flèche gauche 1">
          <a:hlinkClick xmlns:r="http://schemas.openxmlformats.org/officeDocument/2006/relationships" r:id="rId1"/>
          <a:extLst>
            <a:ext uri="{FF2B5EF4-FFF2-40B4-BE49-F238E27FC236}">
              <a16:creationId xmlns:a16="http://schemas.microsoft.com/office/drawing/2014/main" id="{00000000-0008-0000-1F00-000070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93" name="Flèche gauche 1">
          <a:hlinkClick xmlns:r="http://schemas.openxmlformats.org/officeDocument/2006/relationships" r:id="rId2"/>
          <a:extLst>
            <a:ext uri="{FF2B5EF4-FFF2-40B4-BE49-F238E27FC236}">
              <a16:creationId xmlns:a16="http://schemas.microsoft.com/office/drawing/2014/main" id="{00000000-0008-0000-1F00-000071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94" name="Flèche gauche 1">
          <a:hlinkClick xmlns:r="http://schemas.openxmlformats.org/officeDocument/2006/relationships" r:id="rId1"/>
          <a:extLst>
            <a:ext uri="{FF2B5EF4-FFF2-40B4-BE49-F238E27FC236}">
              <a16:creationId xmlns:a16="http://schemas.microsoft.com/office/drawing/2014/main" id="{00000000-0008-0000-1F00-000072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95" name="Flèche gauche 1">
          <a:hlinkClick xmlns:r="http://schemas.openxmlformats.org/officeDocument/2006/relationships" r:id="rId1"/>
          <a:extLst>
            <a:ext uri="{FF2B5EF4-FFF2-40B4-BE49-F238E27FC236}">
              <a16:creationId xmlns:a16="http://schemas.microsoft.com/office/drawing/2014/main" id="{00000000-0008-0000-1F00-000073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96" name="Flèche gauche 1">
          <a:hlinkClick xmlns:r="http://schemas.openxmlformats.org/officeDocument/2006/relationships" r:id="rId1"/>
          <a:extLst>
            <a:ext uri="{FF2B5EF4-FFF2-40B4-BE49-F238E27FC236}">
              <a16:creationId xmlns:a16="http://schemas.microsoft.com/office/drawing/2014/main" id="{00000000-0008-0000-1F00-000074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97" name="Flèche gauche 1">
          <a:hlinkClick xmlns:r="http://schemas.openxmlformats.org/officeDocument/2006/relationships" r:id="rId2"/>
          <a:extLst>
            <a:ext uri="{FF2B5EF4-FFF2-40B4-BE49-F238E27FC236}">
              <a16:creationId xmlns:a16="http://schemas.microsoft.com/office/drawing/2014/main" id="{00000000-0008-0000-1F00-000075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98" name="Flèche gauche 1">
          <a:hlinkClick xmlns:r="http://schemas.openxmlformats.org/officeDocument/2006/relationships" r:id="rId1"/>
          <a:extLst>
            <a:ext uri="{FF2B5EF4-FFF2-40B4-BE49-F238E27FC236}">
              <a16:creationId xmlns:a16="http://schemas.microsoft.com/office/drawing/2014/main" id="{00000000-0008-0000-1F00-000076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99" name="Flèche gauche 1">
          <a:hlinkClick xmlns:r="http://schemas.openxmlformats.org/officeDocument/2006/relationships" r:id="rId1"/>
          <a:extLst>
            <a:ext uri="{FF2B5EF4-FFF2-40B4-BE49-F238E27FC236}">
              <a16:creationId xmlns:a16="http://schemas.microsoft.com/office/drawing/2014/main" id="{00000000-0008-0000-1F00-000077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00" name="Flèche gauche 1">
          <a:hlinkClick xmlns:r="http://schemas.openxmlformats.org/officeDocument/2006/relationships" r:id="rId1"/>
          <a:extLst>
            <a:ext uri="{FF2B5EF4-FFF2-40B4-BE49-F238E27FC236}">
              <a16:creationId xmlns:a16="http://schemas.microsoft.com/office/drawing/2014/main" id="{00000000-0008-0000-1F00-000078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01" name="Flèche gauche 1">
          <a:hlinkClick xmlns:r="http://schemas.openxmlformats.org/officeDocument/2006/relationships" r:id="rId2"/>
          <a:extLst>
            <a:ext uri="{FF2B5EF4-FFF2-40B4-BE49-F238E27FC236}">
              <a16:creationId xmlns:a16="http://schemas.microsoft.com/office/drawing/2014/main" id="{00000000-0008-0000-1F00-000079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02" name="Flèche gauche 1">
          <a:hlinkClick xmlns:r="http://schemas.openxmlformats.org/officeDocument/2006/relationships" r:id="rId1"/>
          <a:extLst>
            <a:ext uri="{FF2B5EF4-FFF2-40B4-BE49-F238E27FC236}">
              <a16:creationId xmlns:a16="http://schemas.microsoft.com/office/drawing/2014/main" id="{00000000-0008-0000-1F00-00007A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03" name="Flèche gauche 1">
          <a:hlinkClick xmlns:r="http://schemas.openxmlformats.org/officeDocument/2006/relationships" r:id="rId1"/>
          <a:extLst>
            <a:ext uri="{FF2B5EF4-FFF2-40B4-BE49-F238E27FC236}">
              <a16:creationId xmlns:a16="http://schemas.microsoft.com/office/drawing/2014/main" id="{00000000-0008-0000-1F00-00007B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04" name="Flèche gauche 1">
          <a:hlinkClick xmlns:r="http://schemas.openxmlformats.org/officeDocument/2006/relationships" r:id="rId1"/>
          <a:extLst>
            <a:ext uri="{FF2B5EF4-FFF2-40B4-BE49-F238E27FC236}">
              <a16:creationId xmlns:a16="http://schemas.microsoft.com/office/drawing/2014/main" id="{00000000-0008-0000-1F00-00007C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05" name="Flèche gauche 1">
          <a:hlinkClick xmlns:r="http://schemas.openxmlformats.org/officeDocument/2006/relationships" r:id="rId2"/>
          <a:extLst>
            <a:ext uri="{FF2B5EF4-FFF2-40B4-BE49-F238E27FC236}">
              <a16:creationId xmlns:a16="http://schemas.microsoft.com/office/drawing/2014/main" id="{00000000-0008-0000-1F00-00007D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06" name="Flèche gauche 1">
          <a:hlinkClick xmlns:r="http://schemas.openxmlformats.org/officeDocument/2006/relationships" r:id="rId1"/>
          <a:extLst>
            <a:ext uri="{FF2B5EF4-FFF2-40B4-BE49-F238E27FC236}">
              <a16:creationId xmlns:a16="http://schemas.microsoft.com/office/drawing/2014/main" id="{00000000-0008-0000-1F00-00007E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07" name="Flèche gauche 1">
          <a:hlinkClick xmlns:r="http://schemas.openxmlformats.org/officeDocument/2006/relationships" r:id="rId1"/>
          <a:extLst>
            <a:ext uri="{FF2B5EF4-FFF2-40B4-BE49-F238E27FC236}">
              <a16:creationId xmlns:a16="http://schemas.microsoft.com/office/drawing/2014/main" id="{00000000-0008-0000-1F00-00007F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08" name="Flèche gauche 1">
          <a:hlinkClick xmlns:r="http://schemas.openxmlformats.org/officeDocument/2006/relationships" r:id="rId1"/>
          <a:extLst>
            <a:ext uri="{FF2B5EF4-FFF2-40B4-BE49-F238E27FC236}">
              <a16:creationId xmlns:a16="http://schemas.microsoft.com/office/drawing/2014/main" id="{00000000-0008-0000-1F00-000080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09" name="Flèche gauche 1">
          <a:hlinkClick xmlns:r="http://schemas.openxmlformats.org/officeDocument/2006/relationships" r:id="rId2"/>
          <a:extLst>
            <a:ext uri="{FF2B5EF4-FFF2-40B4-BE49-F238E27FC236}">
              <a16:creationId xmlns:a16="http://schemas.microsoft.com/office/drawing/2014/main" id="{00000000-0008-0000-1F00-000081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10" name="Flèche gauche 1">
          <a:hlinkClick xmlns:r="http://schemas.openxmlformats.org/officeDocument/2006/relationships" r:id="rId1"/>
          <a:extLst>
            <a:ext uri="{FF2B5EF4-FFF2-40B4-BE49-F238E27FC236}">
              <a16:creationId xmlns:a16="http://schemas.microsoft.com/office/drawing/2014/main" id="{00000000-0008-0000-1F00-000082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11" name="Flèche gauche 1">
          <a:hlinkClick xmlns:r="http://schemas.openxmlformats.org/officeDocument/2006/relationships" r:id="rId1"/>
          <a:extLst>
            <a:ext uri="{FF2B5EF4-FFF2-40B4-BE49-F238E27FC236}">
              <a16:creationId xmlns:a16="http://schemas.microsoft.com/office/drawing/2014/main" id="{00000000-0008-0000-1F00-000083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12" name="Flèche gauche 1">
          <a:hlinkClick xmlns:r="http://schemas.openxmlformats.org/officeDocument/2006/relationships" r:id="rId1"/>
          <a:extLst>
            <a:ext uri="{FF2B5EF4-FFF2-40B4-BE49-F238E27FC236}">
              <a16:creationId xmlns:a16="http://schemas.microsoft.com/office/drawing/2014/main" id="{00000000-0008-0000-1F00-000084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13" name="Flèche gauche 1">
          <a:hlinkClick xmlns:r="http://schemas.openxmlformats.org/officeDocument/2006/relationships" r:id="rId2"/>
          <a:extLst>
            <a:ext uri="{FF2B5EF4-FFF2-40B4-BE49-F238E27FC236}">
              <a16:creationId xmlns:a16="http://schemas.microsoft.com/office/drawing/2014/main" id="{00000000-0008-0000-1F00-000085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14" name="Flèche gauche 1">
          <a:hlinkClick xmlns:r="http://schemas.openxmlformats.org/officeDocument/2006/relationships" r:id="rId1"/>
          <a:extLst>
            <a:ext uri="{FF2B5EF4-FFF2-40B4-BE49-F238E27FC236}">
              <a16:creationId xmlns:a16="http://schemas.microsoft.com/office/drawing/2014/main" id="{00000000-0008-0000-1F00-000086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15" name="Flèche gauche 1">
          <a:hlinkClick xmlns:r="http://schemas.openxmlformats.org/officeDocument/2006/relationships" r:id="rId1"/>
          <a:extLst>
            <a:ext uri="{FF2B5EF4-FFF2-40B4-BE49-F238E27FC236}">
              <a16:creationId xmlns:a16="http://schemas.microsoft.com/office/drawing/2014/main" id="{00000000-0008-0000-1F00-000087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16" name="Flèche gauche 1">
          <a:hlinkClick xmlns:r="http://schemas.openxmlformats.org/officeDocument/2006/relationships" r:id="rId1"/>
          <a:extLst>
            <a:ext uri="{FF2B5EF4-FFF2-40B4-BE49-F238E27FC236}">
              <a16:creationId xmlns:a16="http://schemas.microsoft.com/office/drawing/2014/main" id="{00000000-0008-0000-1F00-000088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17" name="Flèche gauche 1">
          <a:hlinkClick xmlns:r="http://schemas.openxmlformats.org/officeDocument/2006/relationships" r:id="rId2"/>
          <a:extLst>
            <a:ext uri="{FF2B5EF4-FFF2-40B4-BE49-F238E27FC236}">
              <a16:creationId xmlns:a16="http://schemas.microsoft.com/office/drawing/2014/main" id="{00000000-0008-0000-1F00-000089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18" name="Flèche gauche 1">
          <a:hlinkClick xmlns:r="http://schemas.openxmlformats.org/officeDocument/2006/relationships" r:id="rId1"/>
          <a:extLst>
            <a:ext uri="{FF2B5EF4-FFF2-40B4-BE49-F238E27FC236}">
              <a16:creationId xmlns:a16="http://schemas.microsoft.com/office/drawing/2014/main" id="{00000000-0008-0000-1F00-00008A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19" name="Flèche gauche 1">
          <a:hlinkClick xmlns:r="http://schemas.openxmlformats.org/officeDocument/2006/relationships" r:id="rId1"/>
          <a:extLst>
            <a:ext uri="{FF2B5EF4-FFF2-40B4-BE49-F238E27FC236}">
              <a16:creationId xmlns:a16="http://schemas.microsoft.com/office/drawing/2014/main" id="{00000000-0008-0000-1F00-00008B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20" name="Flèche gauche 1">
          <a:hlinkClick xmlns:r="http://schemas.openxmlformats.org/officeDocument/2006/relationships" r:id="rId1"/>
          <a:extLst>
            <a:ext uri="{FF2B5EF4-FFF2-40B4-BE49-F238E27FC236}">
              <a16:creationId xmlns:a16="http://schemas.microsoft.com/office/drawing/2014/main" id="{00000000-0008-0000-1F00-00008C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21" name="Flèche gauche 1">
          <a:hlinkClick xmlns:r="http://schemas.openxmlformats.org/officeDocument/2006/relationships" r:id="rId2"/>
          <a:extLst>
            <a:ext uri="{FF2B5EF4-FFF2-40B4-BE49-F238E27FC236}">
              <a16:creationId xmlns:a16="http://schemas.microsoft.com/office/drawing/2014/main" id="{00000000-0008-0000-1F00-00008D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22" name="Flèche gauche 1">
          <a:hlinkClick xmlns:r="http://schemas.openxmlformats.org/officeDocument/2006/relationships" r:id="rId1"/>
          <a:extLst>
            <a:ext uri="{FF2B5EF4-FFF2-40B4-BE49-F238E27FC236}">
              <a16:creationId xmlns:a16="http://schemas.microsoft.com/office/drawing/2014/main" id="{00000000-0008-0000-1F00-00008E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23" name="Flèche gauche 1">
          <a:hlinkClick xmlns:r="http://schemas.openxmlformats.org/officeDocument/2006/relationships" r:id="rId1"/>
          <a:extLst>
            <a:ext uri="{FF2B5EF4-FFF2-40B4-BE49-F238E27FC236}">
              <a16:creationId xmlns:a16="http://schemas.microsoft.com/office/drawing/2014/main" id="{00000000-0008-0000-1F00-00008F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24" name="Flèche gauche 1">
          <a:hlinkClick xmlns:r="http://schemas.openxmlformats.org/officeDocument/2006/relationships" r:id="rId1"/>
          <a:extLst>
            <a:ext uri="{FF2B5EF4-FFF2-40B4-BE49-F238E27FC236}">
              <a16:creationId xmlns:a16="http://schemas.microsoft.com/office/drawing/2014/main" id="{00000000-0008-0000-1F00-000090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25" name="Flèche gauche 1">
          <a:hlinkClick xmlns:r="http://schemas.openxmlformats.org/officeDocument/2006/relationships" r:id="rId2"/>
          <a:extLst>
            <a:ext uri="{FF2B5EF4-FFF2-40B4-BE49-F238E27FC236}">
              <a16:creationId xmlns:a16="http://schemas.microsoft.com/office/drawing/2014/main" id="{00000000-0008-0000-1F00-000091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26" name="Flèche gauche 1">
          <a:hlinkClick xmlns:r="http://schemas.openxmlformats.org/officeDocument/2006/relationships" r:id="rId1"/>
          <a:extLst>
            <a:ext uri="{FF2B5EF4-FFF2-40B4-BE49-F238E27FC236}">
              <a16:creationId xmlns:a16="http://schemas.microsoft.com/office/drawing/2014/main" id="{00000000-0008-0000-1F00-000092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27" name="Flèche gauche 1">
          <a:hlinkClick xmlns:r="http://schemas.openxmlformats.org/officeDocument/2006/relationships" r:id="rId1"/>
          <a:extLst>
            <a:ext uri="{FF2B5EF4-FFF2-40B4-BE49-F238E27FC236}">
              <a16:creationId xmlns:a16="http://schemas.microsoft.com/office/drawing/2014/main" id="{00000000-0008-0000-1F00-000093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28" name="Flèche gauche 1">
          <a:hlinkClick xmlns:r="http://schemas.openxmlformats.org/officeDocument/2006/relationships" r:id="rId1"/>
          <a:extLst>
            <a:ext uri="{FF2B5EF4-FFF2-40B4-BE49-F238E27FC236}">
              <a16:creationId xmlns:a16="http://schemas.microsoft.com/office/drawing/2014/main" id="{00000000-0008-0000-1F00-000094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29" name="Flèche gauche 1">
          <a:hlinkClick xmlns:r="http://schemas.openxmlformats.org/officeDocument/2006/relationships" r:id="rId2"/>
          <a:extLst>
            <a:ext uri="{FF2B5EF4-FFF2-40B4-BE49-F238E27FC236}">
              <a16:creationId xmlns:a16="http://schemas.microsoft.com/office/drawing/2014/main" id="{00000000-0008-0000-1F00-000095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30" name="Flèche gauche 1">
          <a:hlinkClick xmlns:r="http://schemas.openxmlformats.org/officeDocument/2006/relationships" r:id="rId1"/>
          <a:extLst>
            <a:ext uri="{FF2B5EF4-FFF2-40B4-BE49-F238E27FC236}">
              <a16:creationId xmlns:a16="http://schemas.microsoft.com/office/drawing/2014/main" id="{00000000-0008-0000-1F00-000096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31" name="Flèche gauche 1">
          <a:hlinkClick xmlns:r="http://schemas.openxmlformats.org/officeDocument/2006/relationships" r:id="rId1"/>
          <a:extLst>
            <a:ext uri="{FF2B5EF4-FFF2-40B4-BE49-F238E27FC236}">
              <a16:creationId xmlns:a16="http://schemas.microsoft.com/office/drawing/2014/main" id="{00000000-0008-0000-1F00-000097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32" name="Flèche gauche 1">
          <a:hlinkClick xmlns:r="http://schemas.openxmlformats.org/officeDocument/2006/relationships" r:id="rId1"/>
          <a:extLst>
            <a:ext uri="{FF2B5EF4-FFF2-40B4-BE49-F238E27FC236}">
              <a16:creationId xmlns:a16="http://schemas.microsoft.com/office/drawing/2014/main" id="{00000000-0008-0000-1F00-000098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33" name="Flèche gauche 1">
          <a:hlinkClick xmlns:r="http://schemas.openxmlformats.org/officeDocument/2006/relationships" r:id="rId2"/>
          <a:extLst>
            <a:ext uri="{FF2B5EF4-FFF2-40B4-BE49-F238E27FC236}">
              <a16:creationId xmlns:a16="http://schemas.microsoft.com/office/drawing/2014/main" id="{00000000-0008-0000-1F00-000099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34" name="Flèche gauche 1">
          <a:hlinkClick xmlns:r="http://schemas.openxmlformats.org/officeDocument/2006/relationships" r:id="rId1"/>
          <a:extLst>
            <a:ext uri="{FF2B5EF4-FFF2-40B4-BE49-F238E27FC236}">
              <a16:creationId xmlns:a16="http://schemas.microsoft.com/office/drawing/2014/main" id="{00000000-0008-0000-1F00-00009A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35" name="Flèche gauche 1">
          <a:hlinkClick xmlns:r="http://schemas.openxmlformats.org/officeDocument/2006/relationships" r:id="rId1"/>
          <a:extLst>
            <a:ext uri="{FF2B5EF4-FFF2-40B4-BE49-F238E27FC236}">
              <a16:creationId xmlns:a16="http://schemas.microsoft.com/office/drawing/2014/main" id="{00000000-0008-0000-1F00-00009B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36" name="Flèche gauche 1">
          <a:hlinkClick xmlns:r="http://schemas.openxmlformats.org/officeDocument/2006/relationships" r:id="rId1"/>
          <a:extLst>
            <a:ext uri="{FF2B5EF4-FFF2-40B4-BE49-F238E27FC236}">
              <a16:creationId xmlns:a16="http://schemas.microsoft.com/office/drawing/2014/main" id="{00000000-0008-0000-1F00-00009C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37" name="Flèche gauche 1">
          <a:hlinkClick xmlns:r="http://schemas.openxmlformats.org/officeDocument/2006/relationships" r:id="rId2"/>
          <a:extLst>
            <a:ext uri="{FF2B5EF4-FFF2-40B4-BE49-F238E27FC236}">
              <a16:creationId xmlns:a16="http://schemas.microsoft.com/office/drawing/2014/main" id="{00000000-0008-0000-1F00-00009D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38" name="Flèche gauche 1">
          <a:hlinkClick xmlns:r="http://schemas.openxmlformats.org/officeDocument/2006/relationships" r:id="rId1"/>
          <a:extLst>
            <a:ext uri="{FF2B5EF4-FFF2-40B4-BE49-F238E27FC236}">
              <a16:creationId xmlns:a16="http://schemas.microsoft.com/office/drawing/2014/main" id="{00000000-0008-0000-1F00-00009E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39" name="Flèche gauche 1">
          <a:hlinkClick xmlns:r="http://schemas.openxmlformats.org/officeDocument/2006/relationships" r:id="rId1"/>
          <a:extLst>
            <a:ext uri="{FF2B5EF4-FFF2-40B4-BE49-F238E27FC236}">
              <a16:creationId xmlns:a16="http://schemas.microsoft.com/office/drawing/2014/main" id="{00000000-0008-0000-1F00-00009F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40" name="Flèche gauche 1">
          <a:hlinkClick xmlns:r="http://schemas.openxmlformats.org/officeDocument/2006/relationships" r:id="rId1"/>
          <a:extLst>
            <a:ext uri="{FF2B5EF4-FFF2-40B4-BE49-F238E27FC236}">
              <a16:creationId xmlns:a16="http://schemas.microsoft.com/office/drawing/2014/main" id="{00000000-0008-0000-1F00-0000A0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41" name="Flèche gauche 1">
          <a:hlinkClick xmlns:r="http://schemas.openxmlformats.org/officeDocument/2006/relationships" r:id="rId2"/>
          <a:extLst>
            <a:ext uri="{FF2B5EF4-FFF2-40B4-BE49-F238E27FC236}">
              <a16:creationId xmlns:a16="http://schemas.microsoft.com/office/drawing/2014/main" id="{00000000-0008-0000-1F00-0000A1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42" name="Flèche gauche 1">
          <a:hlinkClick xmlns:r="http://schemas.openxmlformats.org/officeDocument/2006/relationships" r:id="rId1"/>
          <a:extLst>
            <a:ext uri="{FF2B5EF4-FFF2-40B4-BE49-F238E27FC236}">
              <a16:creationId xmlns:a16="http://schemas.microsoft.com/office/drawing/2014/main" id="{00000000-0008-0000-1F00-0000A2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43" name="Flèche gauche 1">
          <a:hlinkClick xmlns:r="http://schemas.openxmlformats.org/officeDocument/2006/relationships" r:id="rId1"/>
          <a:extLst>
            <a:ext uri="{FF2B5EF4-FFF2-40B4-BE49-F238E27FC236}">
              <a16:creationId xmlns:a16="http://schemas.microsoft.com/office/drawing/2014/main" id="{00000000-0008-0000-1F00-0000A3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44" name="Flèche gauche 1">
          <a:hlinkClick xmlns:r="http://schemas.openxmlformats.org/officeDocument/2006/relationships" r:id="rId1"/>
          <a:extLst>
            <a:ext uri="{FF2B5EF4-FFF2-40B4-BE49-F238E27FC236}">
              <a16:creationId xmlns:a16="http://schemas.microsoft.com/office/drawing/2014/main" id="{00000000-0008-0000-1F00-0000A4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45" name="Flèche gauche 1">
          <a:hlinkClick xmlns:r="http://schemas.openxmlformats.org/officeDocument/2006/relationships" r:id="rId2"/>
          <a:extLst>
            <a:ext uri="{FF2B5EF4-FFF2-40B4-BE49-F238E27FC236}">
              <a16:creationId xmlns:a16="http://schemas.microsoft.com/office/drawing/2014/main" id="{00000000-0008-0000-1F00-0000A5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46" name="Flèche gauche 1">
          <a:hlinkClick xmlns:r="http://schemas.openxmlformats.org/officeDocument/2006/relationships" r:id="rId1"/>
          <a:extLst>
            <a:ext uri="{FF2B5EF4-FFF2-40B4-BE49-F238E27FC236}">
              <a16:creationId xmlns:a16="http://schemas.microsoft.com/office/drawing/2014/main" id="{00000000-0008-0000-1F00-0000A6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47" name="Flèche gauche 1">
          <a:hlinkClick xmlns:r="http://schemas.openxmlformats.org/officeDocument/2006/relationships" r:id="rId1"/>
          <a:extLst>
            <a:ext uri="{FF2B5EF4-FFF2-40B4-BE49-F238E27FC236}">
              <a16:creationId xmlns:a16="http://schemas.microsoft.com/office/drawing/2014/main" id="{00000000-0008-0000-1F00-0000A7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48" name="Flèche gauche 1">
          <a:hlinkClick xmlns:r="http://schemas.openxmlformats.org/officeDocument/2006/relationships" r:id="rId1"/>
          <a:extLst>
            <a:ext uri="{FF2B5EF4-FFF2-40B4-BE49-F238E27FC236}">
              <a16:creationId xmlns:a16="http://schemas.microsoft.com/office/drawing/2014/main" id="{00000000-0008-0000-1F00-0000A8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49" name="Flèche gauche 1">
          <a:hlinkClick xmlns:r="http://schemas.openxmlformats.org/officeDocument/2006/relationships" r:id="rId2"/>
          <a:extLst>
            <a:ext uri="{FF2B5EF4-FFF2-40B4-BE49-F238E27FC236}">
              <a16:creationId xmlns:a16="http://schemas.microsoft.com/office/drawing/2014/main" id="{00000000-0008-0000-1F00-0000A9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50" name="Flèche gauche 1">
          <a:hlinkClick xmlns:r="http://schemas.openxmlformats.org/officeDocument/2006/relationships" r:id="rId1"/>
          <a:extLst>
            <a:ext uri="{FF2B5EF4-FFF2-40B4-BE49-F238E27FC236}">
              <a16:creationId xmlns:a16="http://schemas.microsoft.com/office/drawing/2014/main" id="{00000000-0008-0000-1F00-0000AA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51" name="Flèche gauche 1">
          <a:hlinkClick xmlns:r="http://schemas.openxmlformats.org/officeDocument/2006/relationships" r:id="rId1"/>
          <a:extLst>
            <a:ext uri="{FF2B5EF4-FFF2-40B4-BE49-F238E27FC236}">
              <a16:creationId xmlns:a16="http://schemas.microsoft.com/office/drawing/2014/main" id="{00000000-0008-0000-1F00-0000AB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52" name="Flèche gauche 1">
          <a:hlinkClick xmlns:r="http://schemas.openxmlformats.org/officeDocument/2006/relationships" r:id="rId1"/>
          <a:extLst>
            <a:ext uri="{FF2B5EF4-FFF2-40B4-BE49-F238E27FC236}">
              <a16:creationId xmlns:a16="http://schemas.microsoft.com/office/drawing/2014/main" id="{00000000-0008-0000-1F00-0000AC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53" name="Flèche gauche 1">
          <a:hlinkClick xmlns:r="http://schemas.openxmlformats.org/officeDocument/2006/relationships" r:id="rId2"/>
          <a:extLst>
            <a:ext uri="{FF2B5EF4-FFF2-40B4-BE49-F238E27FC236}">
              <a16:creationId xmlns:a16="http://schemas.microsoft.com/office/drawing/2014/main" id="{00000000-0008-0000-1F00-0000AD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54" name="Flèche gauche 1">
          <a:hlinkClick xmlns:r="http://schemas.openxmlformats.org/officeDocument/2006/relationships" r:id="rId1"/>
          <a:extLst>
            <a:ext uri="{FF2B5EF4-FFF2-40B4-BE49-F238E27FC236}">
              <a16:creationId xmlns:a16="http://schemas.microsoft.com/office/drawing/2014/main" id="{00000000-0008-0000-1F00-0000AE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55" name="Flèche gauche 1">
          <a:hlinkClick xmlns:r="http://schemas.openxmlformats.org/officeDocument/2006/relationships" r:id="rId1"/>
          <a:extLst>
            <a:ext uri="{FF2B5EF4-FFF2-40B4-BE49-F238E27FC236}">
              <a16:creationId xmlns:a16="http://schemas.microsoft.com/office/drawing/2014/main" id="{00000000-0008-0000-1F00-0000AF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56" name="Flèche gauche 1">
          <a:hlinkClick xmlns:r="http://schemas.openxmlformats.org/officeDocument/2006/relationships" r:id="rId1"/>
          <a:extLst>
            <a:ext uri="{FF2B5EF4-FFF2-40B4-BE49-F238E27FC236}">
              <a16:creationId xmlns:a16="http://schemas.microsoft.com/office/drawing/2014/main" id="{00000000-0008-0000-1F00-0000B0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57" name="Flèche gauche 1">
          <a:hlinkClick xmlns:r="http://schemas.openxmlformats.org/officeDocument/2006/relationships" r:id="rId2"/>
          <a:extLst>
            <a:ext uri="{FF2B5EF4-FFF2-40B4-BE49-F238E27FC236}">
              <a16:creationId xmlns:a16="http://schemas.microsoft.com/office/drawing/2014/main" id="{00000000-0008-0000-1F00-0000B1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58" name="Flèche gauche 1">
          <a:hlinkClick xmlns:r="http://schemas.openxmlformats.org/officeDocument/2006/relationships" r:id="rId1"/>
          <a:extLst>
            <a:ext uri="{FF2B5EF4-FFF2-40B4-BE49-F238E27FC236}">
              <a16:creationId xmlns:a16="http://schemas.microsoft.com/office/drawing/2014/main" id="{00000000-0008-0000-1F00-0000B2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59" name="Flèche gauche 1">
          <a:hlinkClick xmlns:r="http://schemas.openxmlformats.org/officeDocument/2006/relationships" r:id="rId1"/>
          <a:extLst>
            <a:ext uri="{FF2B5EF4-FFF2-40B4-BE49-F238E27FC236}">
              <a16:creationId xmlns:a16="http://schemas.microsoft.com/office/drawing/2014/main" id="{00000000-0008-0000-1F00-0000B3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60" name="Flèche gauche 1">
          <a:hlinkClick xmlns:r="http://schemas.openxmlformats.org/officeDocument/2006/relationships" r:id="rId1"/>
          <a:extLst>
            <a:ext uri="{FF2B5EF4-FFF2-40B4-BE49-F238E27FC236}">
              <a16:creationId xmlns:a16="http://schemas.microsoft.com/office/drawing/2014/main" id="{00000000-0008-0000-1F00-0000B4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61" name="Flèche gauche 1">
          <a:hlinkClick xmlns:r="http://schemas.openxmlformats.org/officeDocument/2006/relationships" r:id="rId2"/>
          <a:extLst>
            <a:ext uri="{FF2B5EF4-FFF2-40B4-BE49-F238E27FC236}">
              <a16:creationId xmlns:a16="http://schemas.microsoft.com/office/drawing/2014/main" id="{00000000-0008-0000-1F00-0000B5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62" name="Flèche gauche 1">
          <a:hlinkClick xmlns:r="http://schemas.openxmlformats.org/officeDocument/2006/relationships" r:id="rId1"/>
          <a:extLst>
            <a:ext uri="{FF2B5EF4-FFF2-40B4-BE49-F238E27FC236}">
              <a16:creationId xmlns:a16="http://schemas.microsoft.com/office/drawing/2014/main" id="{00000000-0008-0000-1F00-0000B6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63" name="Flèche gauche 1">
          <a:hlinkClick xmlns:r="http://schemas.openxmlformats.org/officeDocument/2006/relationships" r:id="rId1"/>
          <a:extLst>
            <a:ext uri="{FF2B5EF4-FFF2-40B4-BE49-F238E27FC236}">
              <a16:creationId xmlns:a16="http://schemas.microsoft.com/office/drawing/2014/main" id="{00000000-0008-0000-1F00-0000B7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64" name="Flèche gauche 1">
          <a:hlinkClick xmlns:r="http://schemas.openxmlformats.org/officeDocument/2006/relationships" r:id="rId1"/>
          <a:extLst>
            <a:ext uri="{FF2B5EF4-FFF2-40B4-BE49-F238E27FC236}">
              <a16:creationId xmlns:a16="http://schemas.microsoft.com/office/drawing/2014/main" id="{00000000-0008-0000-1F00-0000B8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65" name="Flèche gauche 1">
          <a:hlinkClick xmlns:r="http://schemas.openxmlformats.org/officeDocument/2006/relationships" r:id="rId2"/>
          <a:extLst>
            <a:ext uri="{FF2B5EF4-FFF2-40B4-BE49-F238E27FC236}">
              <a16:creationId xmlns:a16="http://schemas.microsoft.com/office/drawing/2014/main" id="{00000000-0008-0000-1F00-0000B9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66" name="Flèche gauche 1">
          <a:hlinkClick xmlns:r="http://schemas.openxmlformats.org/officeDocument/2006/relationships" r:id="rId1"/>
          <a:extLst>
            <a:ext uri="{FF2B5EF4-FFF2-40B4-BE49-F238E27FC236}">
              <a16:creationId xmlns:a16="http://schemas.microsoft.com/office/drawing/2014/main" id="{00000000-0008-0000-1F00-0000BA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67" name="Flèche gauche 1">
          <a:hlinkClick xmlns:r="http://schemas.openxmlformats.org/officeDocument/2006/relationships" r:id="rId1"/>
          <a:extLst>
            <a:ext uri="{FF2B5EF4-FFF2-40B4-BE49-F238E27FC236}">
              <a16:creationId xmlns:a16="http://schemas.microsoft.com/office/drawing/2014/main" id="{00000000-0008-0000-1F00-0000BB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68" name="Flèche gauche 1">
          <a:hlinkClick xmlns:r="http://schemas.openxmlformats.org/officeDocument/2006/relationships" r:id="rId1"/>
          <a:extLst>
            <a:ext uri="{FF2B5EF4-FFF2-40B4-BE49-F238E27FC236}">
              <a16:creationId xmlns:a16="http://schemas.microsoft.com/office/drawing/2014/main" id="{00000000-0008-0000-1F00-0000BC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69" name="Flèche gauche 1">
          <a:hlinkClick xmlns:r="http://schemas.openxmlformats.org/officeDocument/2006/relationships" r:id="rId2"/>
          <a:extLst>
            <a:ext uri="{FF2B5EF4-FFF2-40B4-BE49-F238E27FC236}">
              <a16:creationId xmlns:a16="http://schemas.microsoft.com/office/drawing/2014/main" id="{00000000-0008-0000-1F00-0000BD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70" name="Flèche gauche 1">
          <a:hlinkClick xmlns:r="http://schemas.openxmlformats.org/officeDocument/2006/relationships" r:id="rId1"/>
          <a:extLst>
            <a:ext uri="{FF2B5EF4-FFF2-40B4-BE49-F238E27FC236}">
              <a16:creationId xmlns:a16="http://schemas.microsoft.com/office/drawing/2014/main" id="{00000000-0008-0000-1F00-0000BE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71" name="Flèche gauche 1">
          <a:hlinkClick xmlns:r="http://schemas.openxmlformats.org/officeDocument/2006/relationships" r:id="rId1"/>
          <a:extLst>
            <a:ext uri="{FF2B5EF4-FFF2-40B4-BE49-F238E27FC236}">
              <a16:creationId xmlns:a16="http://schemas.microsoft.com/office/drawing/2014/main" id="{00000000-0008-0000-1F00-0000BF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72" name="Flèche gauche 1">
          <a:hlinkClick xmlns:r="http://schemas.openxmlformats.org/officeDocument/2006/relationships" r:id="rId1"/>
          <a:extLst>
            <a:ext uri="{FF2B5EF4-FFF2-40B4-BE49-F238E27FC236}">
              <a16:creationId xmlns:a16="http://schemas.microsoft.com/office/drawing/2014/main" id="{00000000-0008-0000-1F00-0000C0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73" name="Flèche gauche 1">
          <a:hlinkClick xmlns:r="http://schemas.openxmlformats.org/officeDocument/2006/relationships" r:id="rId2"/>
          <a:extLst>
            <a:ext uri="{FF2B5EF4-FFF2-40B4-BE49-F238E27FC236}">
              <a16:creationId xmlns:a16="http://schemas.microsoft.com/office/drawing/2014/main" id="{00000000-0008-0000-1F00-0000C1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74" name="Flèche gauche 1">
          <a:hlinkClick xmlns:r="http://schemas.openxmlformats.org/officeDocument/2006/relationships" r:id="rId1"/>
          <a:extLst>
            <a:ext uri="{FF2B5EF4-FFF2-40B4-BE49-F238E27FC236}">
              <a16:creationId xmlns:a16="http://schemas.microsoft.com/office/drawing/2014/main" id="{00000000-0008-0000-1F00-0000C2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75" name="Flèche gauche 1">
          <a:hlinkClick xmlns:r="http://schemas.openxmlformats.org/officeDocument/2006/relationships" r:id="rId1"/>
          <a:extLst>
            <a:ext uri="{FF2B5EF4-FFF2-40B4-BE49-F238E27FC236}">
              <a16:creationId xmlns:a16="http://schemas.microsoft.com/office/drawing/2014/main" id="{00000000-0008-0000-1F00-0000C3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76" name="Flèche gauche 1">
          <a:hlinkClick xmlns:r="http://schemas.openxmlformats.org/officeDocument/2006/relationships" r:id="rId1"/>
          <a:extLst>
            <a:ext uri="{FF2B5EF4-FFF2-40B4-BE49-F238E27FC236}">
              <a16:creationId xmlns:a16="http://schemas.microsoft.com/office/drawing/2014/main" id="{00000000-0008-0000-1F00-0000C4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77" name="Flèche gauche 1">
          <a:hlinkClick xmlns:r="http://schemas.openxmlformats.org/officeDocument/2006/relationships" r:id="rId2"/>
          <a:extLst>
            <a:ext uri="{FF2B5EF4-FFF2-40B4-BE49-F238E27FC236}">
              <a16:creationId xmlns:a16="http://schemas.microsoft.com/office/drawing/2014/main" id="{00000000-0008-0000-1F00-0000C5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78" name="Flèche gauche 1">
          <a:hlinkClick xmlns:r="http://schemas.openxmlformats.org/officeDocument/2006/relationships" r:id="rId1"/>
          <a:extLst>
            <a:ext uri="{FF2B5EF4-FFF2-40B4-BE49-F238E27FC236}">
              <a16:creationId xmlns:a16="http://schemas.microsoft.com/office/drawing/2014/main" id="{00000000-0008-0000-1F00-0000C6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79" name="Flèche gauche 1">
          <a:hlinkClick xmlns:r="http://schemas.openxmlformats.org/officeDocument/2006/relationships" r:id="rId1"/>
          <a:extLst>
            <a:ext uri="{FF2B5EF4-FFF2-40B4-BE49-F238E27FC236}">
              <a16:creationId xmlns:a16="http://schemas.microsoft.com/office/drawing/2014/main" id="{00000000-0008-0000-1F00-0000C7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80" name="Flèche gauche 1">
          <a:hlinkClick xmlns:r="http://schemas.openxmlformats.org/officeDocument/2006/relationships" r:id="rId1"/>
          <a:extLst>
            <a:ext uri="{FF2B5EF4-FFF2-40B4-BE49-F238E27FC236}">
              <a16:creationId xmlns:a16="http://schemas.microsoft.com/office/drawing/2014/main" id="{00000000-0008-0000-1F00-0000C8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81" name="Flèche gauche 1">
          <a:hlinkClick xmlns:r="http://schemas.openxmlformats.org/officeDocument/2006/relationships" r:id="rId2"/>
          <a:extLst>
            <a:ext uri="{FF2B5EF4-FFF2-40B4-BE49-F238E27FC236}">
              <a16:creationId xmlns:a16="http://schemas.microsoft.com/office/drawing/2014/main" id="{00000000-0008-0000-1F00-0000C9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82" name="Flèche gauche 1">
          <a:hlinkClick xmlns:r="http://schemas.openxmlformats.org/officeDocument/2006/relationships" r:id="rId1"/>
          <a:extLst>
            <a:ext uri="{FF2B5EF4-FFF2-40B4-BE49-F238E27FC236}">
              <a16:creationId xmlns:a16="http://schemas.microsoft.com/office/drawing/2014/main" id="{00000000-0008-0000-1F00-0000CA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83" name="Flèche gauche 1">
          <a:hlinkClick xmlns:r="http://schemas.openxmlformats.org/officeDocument/2006/relationships" r:id="rId1"/>
          <a:extLst>
            <a:ext uri="{FF2B5EF4-FFF2-40B4-BE49-F238E27FC236}">
              <a16:creationId xmlns:a16="http://schemas.microsoft.com/office/drawing/2014/main" id="{00000000-0008-0000-1F00-0000CB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84" name="Flèche gauche 1">
          <a:hlinkClick xmlns:r="http://schemas.openxmlformats.org/officeDocument/2006/relationships" r:id="rId1"/>
          <a:extLst>
            <a:ext uri="{FF2B5EF4-FFF2-40B4-BE49-F238E27FC236}">
              <a16:creationId xmlns:a16="http://schemas.microsoft.com/office/drawing/2014/main" id="{00000000-0008-0000-1F00-0000CC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85" name="Flèche gauche 1">
          <a:hlinkClick xmlns:r="http://schemas.openxmlformats.org/officeDocument/2006/relationships" r:id="rId2"/>
          <a:extLst>
            <a:ext uri="{FF2B5EF4-FFF2-40B4-BE49-F238E27FC236}">
              <a16:creationId xmlns:a16="http://schemas.microsoft.com/office/drawing/2014/main" id="{00000000-0008-0000-1F00-0000CD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86" name="Flèche gauche 1">
          <a:hlinkClick xmlns:r="http://schemas.openxmlformats.org/officeDocument/2006/relationships" r:id="rId1"/>
          <a:extLst>
            <a:ext uri="{FF2B5EF4-FFF2-40B4-BE49-F238E27FC236}">
              <a16:creationId xmlns:a16="http://schemas.microsoft.com/office/drawing/2014/main" id="{00000000-0008-0000-1F00-0000CE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87" name="Flèche gauche 1">
          <a:hlinkClick xmlns:r="http://schemas.openxmlformats.org/officeDocument/2006/relationships" r:id="rId1"/>
          <a:extLst>
            <a:ext uri="{FF2B5EF4-FFF2-40B4-BE49-F238E27FC236}">
              <a16:creationId xmlns:a16="http://schemas.microsoft.com/office/drawing/2014/main" id="{00000000-0008-0000-1F00-0000CF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88" name="Flèche gauche 1">
          <a:hlinkClick xmlns:r="http://schemas.openxmlformats.org/officeDocument/2006/relationships" r:id="rId1"/>
          <a:extLst>
            <a:ext uri="{FF2B5EF4-FFF2-40B4-BE49-F238E27FC236}">
              <a16:creationId xmlns:a16="http://schemas.microsoft.com/office/drawing/2014/main" id="{00000000-0008-0000-1F00-0000D0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89" name="Flèche gauche 1">
          <a:hlinkClick xmlns:r="http://schemas.openxmlformats.org/officeDocument/2006/relationships" r:id="rId2"/>
          <a:extLst>
            <a:ext uri="{FF2B5EF4-FFF2-40B4-BE49-F238E27FC236}">
              <a16:creationId xmlns:a16="http://schemas.microsoft.com/office/drawing/2014/main" id="{00000000-0008-0000-1F00-0000D1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90" name="Flèche gauche 1">
          <a:hlinkClick xmlns:r="http://schemas.openxmlformats.org/officeDocument/2006/relationships" r:id="rId1"/>
          <a:extLst>
            <a:ext uri="{FF2B5EF4-FFF2-40B4-BE49-F238E27FC236}">
              <a16:creationId xmlns:a16="http://schemas.microsoft.com/office/drawing/2014/main" id="{00000000-0008-0000-1F00-0000D2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91" name="Flèche gauche 1">
          <a:hlinkClick xmlns:r="http://schemas.openxmlformats.org/officeDocument/2006/relationships" r:id="rId1"/>
          <a:extLst>
            <a:ext uri="{FF2B5EF4-FFF2-40B4-BE49-F238E27FC236}">
              <a16:creationId xmlns:a16="http://schemas.microsoft.com/office/drawing/2014/main" id="{00000000-0008-0000-1F00-0000D3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92" name="Flèche gauche 1">
          <a:hlinkClick xmlns:r="http://schemas.openxmlformats.org/officeDocument/2006/relationships" r:id="rId1"/>
          <a:extLst>
            <a:ext uri="{FF2B5EF4-FFF2-40B4-BE49-F238E27FC236}">
              <a16:creationId xmlns:a16="http://schemas.microsoft.com/office/drawing/2014/main" id="{00000000-0008-0000-1F00-0000D4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93" name="Flèche gauche 1">
          <a:hlinkClick xmlns:r="http://schemas.openxmlformats.org/officeDocument/2006/relationships" r:id="rId2"/>
          <a:extLst>
            <a:ext uri="{FF2B5EF4-FFF2-40B4-BE49-F238E27FC236}">
              <a16:creationId xmlns:a16="http://schemas.microsoft.com/office/drawing/2014/main" id="{00000000-0008-0000-1F00-0000D5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94" name="Flèche gauche 1">
          <a:hlinkClick xmlns:r="http://schemas.openxmlformats.org/officeDocument/2006/relationships" r:id="rId1"/>
          <a:extLst>
            <a:ext uri="{FF2B5EF4-FFF2-40B4-BE49-F238E27FC236}">
              <a16:creationId xmlns:a16="http://schemas.microsoft.com/office/drawing/2014/main" id="{00000000-0008-0000-1F00-0000D6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95" name="Flèche gauche 1">
          <a:hlinkClick xmlns:r="http://schemas.openxmlformats.org/officeDocument/2006/relationships" r:id="rId1"/>
          <a:extLst>
            <a:ext uri="{FF2B5EF4-FFF2-40B4-BE49-F238E27FC236}">
              <a16:creationId xmlns:a16="http://schemas.microsoft.com/office/drawing/2014/main" id="{00000000-0008-0000-1F00-0000D7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96" name="Flèche gauche 1">
          <a:hlinkClick xmlns:r="http://schemas.openxmlformats.org/officeDocument/2006/relationships" r:id="rId1"/>
          <a:extLst>
            <a:ext uri="{FF2B5EF4-FFF2-40B4-BE49-F238E27FC236}">
              <a16:creationId xmlns:a16="http://schemas.microsoft.com/office/drawing/2014/main" id="{00000000-0008-0000-1F00-0000D8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97" name="Flèche gauche 1">
          <a:hlinkClick xmlns:r="http://schemas.openxmlformats.org/officeDocument/2006/relationships" r:id="rId2"/>
          <a:extLst>
            <a:ext uri="{FF2B5EF4-FFF2-40B4-BE49-F238E27FC236}">
              <a16:creationId xmlns:a16="http://schemas.microsoft.com/office/drawing/2014/main" id="{00000000-0008-0000-1F00-0000D9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98" name="Flèche gauche 1">
          <a:hlinkClick xmlns:r="http://schemas.openxmlformats.org/officeDocument/2006/relationships" r:id="rId1"/>
          <a:extLst>
            <a:ext uri="{FF2B5EF4-FFF2-40B4-BE49-F238E27FC236}">
              <a16:creationId xmlns:a16="http://schemas.microsoft.com/office/drawing/2014/main" id="{00000000-0008-0000-1F00-0000DA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99" name="Flèche gauche 1">
          <a:hlinkClick xmlns:r="http://schemas.openxmlformats.org/officeDocument/2006/relationships" r:id="rId1"/>
          <a:extLst>
            <a:ext uri="{FF2B5EF4-FFF2-40B4-BE49-F238E27FC236}">
              <a16:creationId xmlns:a16="http://schemas.microsoft.com/office/drawing/2014/main" id="{00000000-0008-0000-1F00-0000DB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00" name="Flèche gauche 1">
          <a:hlinkClick xmlns:r="http://schemas.openxmlformats.org/officeDocument/2006/relationships" r:id="rId1"/>
          <a:extLst>
            <a:ext uri="{FF2B5EF4-FFF2-40B4-BE49-F238E27FC236}">
              <a16:creationId xmlns:a16="http://schemas.microsoft.com/office/drawing/2014/main" id="{00000000-0008-0000-1F00-0000DC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01" name="Flèche gauche 1">
          <a:hlinkClick xmlns:r="http://schemas.openxmlformats.org/officeDocument/2006/relationships" r:id="rId2"/>
          <a:extLst>
            <a:ext uri="{FF2B5EF4-FFF2-40B4-BE49-F238E27FC236}">
              <a16:creationId xmlns:a16="http://schemas.microsoft.com/office/drawing/2014/main" id="{00000000-0008-0000-1F00-0000DD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02" name="Flèche gauche 1">
          <a:hlinkClick xmlns:r="http://schemas.openxmlformats.org/officeDocument/2006/relationships" r:id="rId1"/>
          <a:extLst>
            <a:ext uri="{FF2B5EF4-FFF2-40B4-BE49-F238E27FC236}">
              <a16:creationId xmlns:a16="http://schemas.microsoft.com/office/drawing/2014/main" id="{00000000-0008-0000-1F00-0000DE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03" name="Flèche gauche 1">
          <a:hlinkClick xmlns:r="http://schemas.openxmlformats.org/officeDocument/2006/relationships" r:id="rId1"/>
          <a:extLst>
            <a:ext uri="{FF2B5EF4-FFF2-40B4-BE49-F238E27FC236}">
              <a16:creationId xmlns:a16="http://schemas.microsoft.com/office/drawing/2014/main" id="{00000000-0008-0000-1F00-0000DF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04" name="Flèche gauche 1">
          <a:hlinkClick xmlns:r="http://schemas.openxmlformats.org/officeDocument/2006/relationships" r:id="rId1"/>
          <a:extLst>
            <a:ext uri="{FF2B5EF4-FFF2-40B4-BE49-F238E27FC236}">
              <a16:creationId xmlns:a16="http://schemas.microsoft.com/office/drawing/2014/main" id="{00000000-0008-0000-1F00-0000E0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05" name="Flèche gauche 1">
          <a:hlinkClick xmlns:r="http://schemas.openxmlformats.org/officeDocument/2006/relationships" r:id="rId2"/>
          <a:extLst>
            <a:ext uri="{FF2B5EF4-FFF2-40B4-BE49-F238E27FC236}">
              <a16:creationId xmlns:a16="http://schemas.microsoft.com/office/drawing/2014/main" id="{00000000-0008-0000-1F00-0000E1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06" name="Flèche gauche 1">
          <a:hlinkClick xmlns:r="http://schemas.openxmlformats.org/officeDocument/2006/relationships" r:id="rId1"/>
          <a:extLst>
            <a:ext uri="{FF2B5EF4-FFF2-40B4-BE49-F238E27FC236}">
              <a16:creationId xmlns:a16="http://schemas.microsoft.com/office/drawing/2014/main" id="{00000000-0008-0000-1F00-0000E2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07" name="Flèche gauche 1">
          <a:hlinkClick xmlns:r="http://schemas.openxmlformats.org/officeDocument/2006/relationships" r:id="rId1"/>
          <a:extLst>
            <a:ext uri="{FF2B5EF4-FFF2-40B4-BE49-F238E27FC236}">
              <a16:creationId xmlns:a16="http://schemas.microsoft.com/office/drawing/2014/main" id="{00000000-0008-0000-1F00-0000E3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08" name="Flèche gauche 1">
          <a:hlinkClick xmlns:r="http://schemas.openxmlformats.org/officeDocument/2006/relationships" r:id="rId1"/>
          <a:extLst>
            <a:ext uri="{FF2B5EF4-FFF2-40B4-BE49-F238E27FC236}">
              <a16:creationId xmlns:a16="http://schemas.microsoft.com/office/drawing/2014/main" id="{00000000-0008-0000-1F00-0000E4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09" name="Flèche gauche 1">
          <a:hlinkClick xmlns:r="http://schemas.openxmlformats.org/officeDocument/2006/relationships" r:id="rId2"/>
          <a:extLst>
            <a:ext uri="{FF2B5EF4-FFF2-40B4-BE49-F238E27FC236}">
              <a16:creationId xmlns:a16="http://schemas.microsoft.com/office/drawing/2014/main" id="{00000000-0008-0000-1F00-0000E5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10" name="Flèche gauche 1">
          <a:hlinkClick xmlns:r="http://schemas.openxmlformats.org/officeDocument/2006/relationships" r:id="rId1"/>
          <a:extLst>
            <a:ext uri="{FF2B5EF4-FFF2-40B4-BE49-F238E27FC236}">
              <a16:creationId xmlns:a16="http://schemas.microsoft.com/office/drawing/2014/main" id="{00000000-0008-0000-1F00-0000E6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11" name="Flèche gauche 1">
          <a:hlinkClick xmlns:r="http://schemas.openxmlformats.org/officeDocument/2006/relationships" r:id="rId1"/>
          <a:extLst>
            <a:ext uri="{FF2B5EF4-FFF2-40B4-BE49-F238E27FC236}">
              <a16:creationId xmlns:a16="http://schemas.microsoft.com/office/drawing/2014/main" id="{00000000-0008-0000-1F00-0000E7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12" name="Flèche gauche 1">
          <a:hlinkClick xmlns:r="http://schemas.openxmlformats.org/officeDocument/2006/relationships" r:id="rId1"/>
          <a:extLst>
            <a:ext uri="{FF2B5EF4-FFF2-40B4-BE49-F238E27FC236}">
              <a16:creationId xmlns:a16="http://schemas.microsoft.com/office/drawing/2014/main" id="{00000000-0008-0000-1F00-0000E8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13" name="Flèche gauche 1">
          <a:hlinkClick xmlns:r="http://schemas.openxmlformats.org/officeDocument/2006/relationships" r:id="rId2"/>
          <a:extLst>
            <a:ext uri="{FF2B5EF4-FFF2-40B4-BE49-F238E27FC236}">
              <a16:creationId xmlns:a16="http://schemas.microsoft.com/office/drawing/2014/main" id="{00000000-0008-0000-1F00-0000E9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14" name="Flèche gauche 1">
          <a:hlinkClick xmlns:r="http://schemas.openxmlformats.org/officeDocument/2006/relationships" r:id="rId1"/>
          <a:extLst>
            <a:ext uri="{FF2B5EF4-FFF2-40B4-BE49-F238E27FC236}">
              <a16:creationId xmlns:a16="http://schemas.microsoft.com/office/drawing/2014/main" id="{00000000-0008-0000-1F00-0000EA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15" name="Flèche gauche 1">
          <a:hlinkClick xmlns:r="http://schemas.openxmlformats.org/officeDocument/2006/relationships" r:id="rId1"/>
          <a:extLst>
            <a:ext uri="{FF2B5EF4-FFF2-40B4-BE49-F238E27FC236}">
              <a16:creationId xmlns:a16="http://schemas.microsoft.com/office/drawing/2014/main" id="{00000000-0008-0000-1F00-0000EB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16" name="Flèche gauche 1">
          <a:hlinkClick xmlns:r="http://schemas.openxmlformats.org/officeDocument/2006/relationships" r:id="rId1"/>
          <a:extLst>
            <a:ext uri="{FF2B5EF4-FFF2-40B4-BE49-F238E27FC236}">
              <a16:creationId xmlns:a16="http://schemas.microsoft.com/office/drawing/2014/main" id="{00000000-0008-0000-1F00-0000EC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17" name="Flèche gauche 1">
          <a:hlinkClick xmlns:r="http://schemas.openxmlformats.org/officeDocument/2006/relationships" r:id="rId2"/>
          <a:extLst>
            <a:ext uri="{FF2B5EF4-FFF2-40B4-BE49-F238E27FC236}">
              <a16:creationId xmlns:a16="http://schemas.microsoft.com/office/drawing/2014/main" id="{00000000-0008-0000-1F00-0000ED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18" name="Flèche gauche 1">
          <a:hlinkClick xmlns:r="http://schemas.openxmlformats.org/officeDocument/2006/relationships" r:id="rId1"/>
          <a:extLst>
            <a:ext uri="{FF2B5EF4-FFF2-40B4-BE49-F238E27FC236}">
              <a16:creationId xmlns:a16="http://schemas.microsoft.com/office/drawing/2014/main" id="{00000000-0008-0000-1F00-0000EE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19" name="Flèche gauche 1">
          <a:hlinkClick xmlns:r="http://schemas.openxmlformats.org/officeDocument/2006/relationships" r:id="rId1"/>
          <a:extLst>
            <a:ext uri="{FF2B5EF4-FFF2-40B4-BE49-F238E27FC236}">
              <a16:creationId xmlns:a16="http://schemas.microsoft.com/office/drawing/2014/main" id="{00000000-0008-0000-1F00-0000EF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20" name="Flèche gauche 1">
          <a:hlinkClick xmlns:r="http://schemas.openxmlformats.org/officeDocument/2006/relationships" r:id="rId1"/>
          <a:extLst>
            <a:ext uri="{FF2B5EF4-FFF2-40B4-BE49-F238E27FC236}">
              <a16:creationId xmlns:a16="http://schemas.microsoft.com/office/drawing/2014/main" id="{00000000-0008-0000-1F00-0000F0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21" name="Flèche gauche 1">
          <a:hlinkClick xmlns:r="http://schemas.openxmlformats.org/officeDocument/2006/relationships" r:id="rId2"/>
          <a:extLst>
            <a:ext uri="{FF2B5EF4-FFF2-40B4-BE49-F238E27FC236}">
              <a16:creationId xmlns:a16="http://schemas.microsoft.com/office/drawing/2014/main" id="{00000000-0008-0000-1F00-0000F1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22" name="Flèche gauche 1">
          <a:hlinkClick xmlns:r="http://schemas.openxmlformats.org/officeDocument/2006/relationships" r:id="rId1"/>
          <a:extLst>
            <a:ext uri="{FF2B5EF4-FFF2-40B4-BE49-F238E27FC236}">
              <a16:creationId xmlns:a16="http://schemas.microsoft.com/office/drawing/2014/main" id="{00000000-0008-0000-1F00-0000F2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23" name="Flèche gauche 1">
          <a:hlinkClick xmlns:r="http://schemas.openxmlformats.org/officeDocument/2006/relationships" r:id="rId1"/>
          <a:extLst>
            <a:ext uri="{FF2B5EF4-FFF2-40B4-BE49-F238E27FC236}">
              <a16:creationId xmlns:a16="http://schemas.microsoft.com/office/drawing/2014/main" id="{00000000-0008-0000-1F00-0000F3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24" name="Flèche gauche 1">
          <a:hlinkClick xmlns:r="http://schemas.openxmlformats.org/officeDocument/2006/relationships" r:id="rId1"/>
          <a:extLst>
            <a:ext uri="{FF2B5EF4-FFF2-40B4-BE49-F238E27FC236}">
              <a16:creationId xmlns:a16="http://schemas.microsoft.com/office/drawing/2014/main" id="{00000000-0008-0000-1F00-0000F4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25" name="Flèche gauche 1">
          <a:hlinkClick xmlns:r="http://schemas.openxmlformats.org/officeDocument/2006/relationships" r:id="rId2"/>
          <a:extLst>
            <a:ext uri="{FF2B5EF4-FFF2-40B4-BE49-F238E27FC236}">
              <a16:creationId xmlns:a16="http://schemas.microsoft.com/office/drawing/2014/main" id="{00000000-0008-0000-1F00-0000F5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26" name="Flèche gauche 1">
          <a:hlinkClick xmlns:r="http://schemas.openxmlformats.org/officeDocument/2006/relationships" r:id="rId1"/>
          <a:extLst>
            <a:ext uri="{FF2B5EF4-FFF2-40B4-BE49-F238E27FC236}">
              <a16:creationId xmlns:a16="http://schemas.microsoft.com/office/drawing/2014/main" id="{00000000-0008-0000-1F00-0000F6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27" name="Flèche gauche 1">
          <a:hlinkClick xmlns:r="http://schemas.openxmlformats.org/officeDocument/2006/relationships" r:id="rId1"/>
          <a:extLst>
            <a:ext uri="{FF2B5EF4-FFF2-40B4-BE49-F238E27FC236}">
              <a16:creationId xmlns:a16="http://schemas.microsoft.com/office/drawing/2014/main" id="{00000000-0008-0000-1F00-0000F7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28" name="Flèche gauche 1">
          <a:hlinkClick xmlns:r="http://schemas.openxmlformats.org/officeDocument/2006/relationships" r:id="rId1"/>
          <a:extLst>
            <a:ext uri="{FF2B5EF4-FFF2-40B4-BE49-F238E27FC236}">
              <a16:creationId xmlns:a16="http://schemas.microsoft.com/office/drawing/2014/main" id="{00000000-0008-0000-1F00-0000F8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29" name="Flèche gauche 1">
          <a:hlinkClick xmlns:r="http://schemas.openxmlformats.org/officeDocument/2006/relationships" r:id="rId2"/>
          <a:extLst>
            <a:ext uri="{FF2B5EF4-FFF2-40B4-BE49-F238E27FC236}">
              <a16:creationId xmlns:a16="http://schemas.microsoft.com/office/drawing/2014/main" id="{00000000-0008-0000-1F00-0000F9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30" name="Flèche gauche 1">
          <a:hlinkClick xmlns:r="http://schemas.openxmlformats.org/officeDocument/2006/relationships" r:id="rId1"/>
          <a:extLst>
            <a:ext uri="{FF2B5EF4-FFF2-40B4-BE49-F238E27FC236}">
              <a16:creationId xmlns:a16="http://schemas.microsoft.com/office/drawing/2014/main" id="{00000000-0008-0000-1F00-0000FA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31" name="Flèche gauche 1">
          <a:hlinkClick xmlns:r="http://schemas.openxmlformats.org/officeDocument/2006/relationships" r:id="rId1"/>
          <a:extLst>
            <a:ext uri="{FF2B5EF4-FFF2-40B4-BE49-F238E27FC236}">
              <a16:creationId xmlns:a16="http://schemas.microsoft.com/office/drawing/2014/main" id="{00000000-0008-0000-1F00-0000FB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32" name="Flèche gauche 1">
          <a:hlinkClick xmlns:r="http://schemas.openxmlformats.org/officeDocument/2006/relationships" r:id="rId1"/>
          <a:extLst>
            <a:ext uri="{FF2B5EF4-FFF2-40B4-BE49-F238E27FC236}">
              <a16:creationId xmlns:a16="http://schemas.microsoft.com/office/drawing/2014/main" id="{00000000-0008-0000-1F00-0000FC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33" name="Flèche gauche 1">
          <a:hlinkClick xmlns:r="http://schemas.openxmlformats.org/officeDocument/2006/relationships" r:id="rId2"/>
          <a:extLst>
            <a:ext uri="{FF2B5EF4-FFF2-40B4-BE49-F238E27FC236}">
              <a16:creationId xmlns:a16="http://schemas.microsoft.com/office/drawing/2014/main" id="{00000000-0008-0000-1F00-0000FD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34" name="Flèche gauche 1">
          <a:hlinkClick xmlns:r="http://schemas.openxmlformats.org/officeDocument/2006/relationships" r:id="rId1"/>
          <a:extLst>
            <a:ext uri="{FF2B5EF4-FFF2-40B4-BE49-F238E27FC236}">
              <a16:creationId xmlns:a16="http://schemas.microsoft.com/office/drawing/2014/main" id="{00000000-0008-0000-1F00-0000FE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35" name="Flèche gauche 1">
          <a:hlinkClick xmlns:r="http://schemas.openxmlformats.org/officeDocument/2006/relationships" r:id="rId1"/>
          <a:extLst>
            <a:ext uri="{FF2B5EF4-FFF2-40B4-BE49-F238E27FC236}">
              <a16:creationId xmlns:a16="http://schemas.microsoft.com/office/drawing/2014/main" id="{00000000-0008-0000-1F00-0000FF05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36" name="Flèche gauche 1">
          <a:hlinkClick xmlns:r="http://schemas.openxmlformats.org/officeDocument/2006/relationships" r:id="rId1"/>
          <a:extLst>
            <a:ext uri="{FF2B5EF4-FFF2-40B4-BE49-F238E27FC236}">
              <a16:creationId xmlns:a16="http://schemas.microsoft.com/office/drawing/2014/main" id="{00000000-0008-0000-1F00-00000006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37" name="Flèche gauche 1">
          <a:hlinkClick xmlns:r="http://schemas.openxmlformats.org/officeDocument/2006/relationships" r:id="rId2"/>
          <a:extLst>
            <a:ext uri="{FF2B5EF4-FFF2-40B4-BE49-F238E27FC236}">
              <a16:creationId xmlns:a16="http://schemas.microsoft.com/office/drawing/2014/main" id="{00000000-0008-0000-1F00-00000106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 name="Flèche gauche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bwMode="auto">
        <a:xfrm>
          <a:off x="76200" y="60960"/>
          <a:ext cx="381000" cy="228600"/>
        </a:xfrm>
        <a:prstGeom prst="leftArrow">
          <a:avLst>
            <a:gd name="adj1" fmla="val 50000"/>
            <a:gd name="adj2" fmla="val 50000"/>
          </a:avLst>
        </a:prstGeom>
        <a:ln>
          <a:solidFill>
            <a:sysClr val="windowText" lastClr="000000"/>
          </a:solidFill>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472963</xdr:colOff>
      <xdr:row>37</xdr:row>
      <xdr:rowOff>38100</xdr:rowOff>
    </xdr:from>
    <xdr:to>
      <xdr:col>4</xdr:col>
      <xdr:colOff>1759856</xdr:colOff>
      <xdr:row>55</xdr:row>
      <xdr:rowOff>139700</xdr:rowOff>
    </xdr:to>
    <xdr:graphicFrame macro="">
      <xdr:nvGraphicFramePr>
        <xdr:cNvPr id="11" name="Graphique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38267</xdr:colOff>
      <xdr:row>37</xdr:row>
      <xdr:rowOff>8659</xdr:rowOff>
    </xdr:from>
    <xdr:to>
      <xdr:col>10</xdr:col>
      <xdr:colOff>378835</xdr:colOff>
      <xdr:row>55</xdr:row>
      <xdr:rowOff>179659</xdr:rowOff>
    </xdr:to>
    <xdr:graphicFrame macro="">
      <xdr:nvGraphicFramePr>
        <xdr:cNvPr id="12" name="Graphique 11">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58" name="Flèche gauche 1">
          <a:hlinkClick xmlns:r="http://schemas.openxmlformats.org/officeDocument/2006/relationships" r:id="rId1"/>
          <a:extLst>
            <a:ext uri="{FF2B5EF4-FFF2-40B4-BE49-F238E27FC236}">
              <a16:creationId xmlns:a16="http://schemas.microsoft.com/office/drawing/2014/main" id="{00000000-0008-0000-2000-00000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9" name="Flèche gauche 1">
          <a:hlinkClick xmlns:r="http://schemas.openxmlformats.org/officeDocument/2006/relationships" r:id="rId1"/>
          <a:extLst>
            <a:ext uri="{FF2B5EF4-FFF2-40B4-BE49-F238E27FC236}">
              <a16:creationId xmlns:a16="http://schemas.microsoft.com/office/drawing/2014/main" id="{00000000-0008-0000-2000-00000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0" name="Flèche gauche 1">
          <a:hlinkClick xmlns:r="http://schemas.openxmlformats.org/officeDocument/2006/relationships" r:id="rId1"/>
          <a:extLst>
            <a:ext uri="{FF2B5EF4-FFF2-40B4-BE49-F238E27FC236}">
              <a16:creationId xmlns:a16="http://schemas.microsoft.com/office/drawing/2014/main" id="{00000000-0008-0000-2000-00000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1" name="Flèche gauche 1">
          <a:hlinkClick xmlns:r="http://schemas.openxmlformats.org/officeDocument/2006/relationships" r:id="rId2"/>
          <a:extLst>
            <a:ext uri="{FF2B5EF4-FFF2-40B4-BE49-F238E27FC236}">
              <a16:creationId xmlns:a16="http://schemas.microsoft.com/office/drawing/2014/main" id="{00000000-0008-0000-2000-00000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2" name="Flèche gauche 1">
          <a:hlinkClick xmlns:r="http://schemas.openxmlformats.org/officeDocument/2006/relationships" r:id="rId1"/>
          <a:extLst>
            <a:ext uri="{FF2B5EF4-FFF2-40B4-BE49-F238E27FC236}">
              <a16:creationId xmlns:a16="http://schemas.microsoft.com/office/drawing/2014/main" id="{00000000-0008-0000-2000-00000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3" name="Flèche gauche 1">
          <a:hlinkClick xmlns:r="http://schemas.openxmlformats.org/officeDocument/2006/relationships" r:id="rId1"/>
          <a:extLst>
            <a:ext uri="{FF2B5EF4-FFF2-40B4-BE49-F238E27FC236}">
              <a16:creationId xmlns:a16="http://schemas.microsoft.com/office/drawing/2014/main" id="{00000000-0008-0000-2000-00000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4" name="Flèche gauche 1">
          <a:hlinkClick xmlns:r="http://schemas.openxmlformats.org/officeDocument/2006/relationships" r:id="rId1"/>
          <a:extLst>
            <a:ext uri="{FF2B5EF4-FFF2-40B4-BE49-F238E27FC236}">
              <a16:creationId xmlns:a16="http://schemas.microsoft.com/office/drawing/2014/main" id="{00000000-0008-0000-2000-00000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5" name="Flèche gauche 1">
          <a:hlinkClick xmlns:r="http://schemas.openxmlformats.org/officeDocument/2006/relationships" r:id="rId2"/>
          <a:extLst>
            <a:ext uri="{FF2B5EF4-FFF2-40B4-BE49-F238E27FC236}">
              <a16:creationId xmlns:a16="http://schemas.microsoft.com/office/drawing/2014/main" id="{00000000-0008-0000-2000-00000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6" name="Flèche gauche 1">
          <a:hlinkClick xmlns:r="http://schemas.openxmlformats.org/officeDocument/2006/relationships" r:id="rId1"/>
          <a:extLst>
            <a:ext uri="{FF2B5EF4-FFF2-40B4-BE49-F238E27FC236}">
              <a16:creationId xmlns:a16="http://schemas.microsoft.com/office/drawing/2014/main" id="{00000000-0008-0000-2000-00000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7" name="Flèche gauche 1">
          <a:hlinkClick xmlns:r="http://schemas.openxmlformats.org/officeDocument/2006/relationships" r:id="rId1"/>
          <a:extLst>
            <a:ext uri="{FF2B5EF4-FFF2-40B4-BE49-F238E27FC236}">
              <a16:creationId xmlns:a16="http://schemas.microsoft.com/office/drawing/2014/main" id="{00000000-0008-0000-2000-00000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8" name="Flèche gauche 1">
          <a:hlinkClick xmlns:r="http://schemas.openxmlformats.org/officeDocument/2006/relationships" r:id="rId1"/>
          <a:extLst>
            <a:ext uri="{FF2B5EF4-FFF2-40B4-BE49-F238E27FC236}">
              <a16:creationId xmlns:a16="http://schemas.microsoft.com/office/drawing/2014/main" id="{00000000-0008-0000-2000-00000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9" name="Flèche gauche 1">
          <a:hlinkClick xmlns:r="http://schemas.openxmlformats.org/officeDocument/2006/relationships" r:id="rId2"/>
          <a:extLst>
            <a:ext uri="{FF2B5EF4-FFF2-40B4-BE49-F238E27FC236}">
              <a16:creationId xmlns:a16="http://schemas.microsoft.com/office/drawing/2014/main" id="{00000000-0008-0000-2000-00000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0" name="Flèche gauche 1">
          <a:hlinkClick xmlns:r="http://schemas.openxmlformats.org/officeDocument/2006/relationships" r:id="rId1"/>
          <a:extLst>
            <a:ext uri="{FF2B5EF4-FFF2-40B4-BE49-F238E27FC236}">
              <a16:creationId xmlns:a16="http://schemas.microsoft.com/office/drawing/2014/main" id="{00000000-0008-0000-2000-00000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1" name="Flèche gauche 1">
          <a:hlinkClick xmlns:r="http://schemas.openxmlformats.org/officeDocument/2006/relationships" r:id="rId1"/>
          <a:extLst>
            <a:ext uri="{FF2B5EF4-FFF2-40B4-BE49-F238E27FC236}">
              <a16:creationId xmlns:a16="http://schemas.microsoft.com/office/drawing/2014/main" id="{00000000-0008-0000-2000-00000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2" name="Flèche gauche 1">
          <a:hlinkClick xmlns:r="http://schemas.openxmlformats.org/officeDocument/2006/relationships" r:id="rId1"/>
          <a:extLst>
            <a:ext uri="{FF2B5EF4-FFF2-40B4-BE49-F238E27FC236}">
              <a16:creationId xmlns:a16="http://schemas.microsoft.com/office/drawing/2014/main" id="{00000000-0008-0000-2000-00001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3" name="Flèche gauche 1">
          <a:hlinkClick xmlns:r="http://schemas.openxmlformats.org/officeDocument/2006/relationships" r:id="rId2"/>
          <a:extLst>
            <a:ext uri="{FF2B5EF4-FFF2-40B4-BE49-F238E27FC236}">
              <a16:creationId xmlns:a16="http://schemas.microsoft.com/office/drawing/2014/main" id="{00000000-0008-0000-2000-00001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4" name="Flèche gauche 1">
          <a:hlinkClick xmlns:r="http://schemas.openxmlformats.org/officeDocument/2006/relationships" r:id="rId1"/>
          <a:extLst>
            <a:ext uri="{FF2B5EF4-FFF2-40B4-BE49-F238E27FC236}">
              <a16:creationId xmlns:a16="http://schemas.microsoft.com/office/drawing/2014/main" id="{00000000-0008-0000-2000-00001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5" name="Flèche gauche 1">
          <a:hlinkClick xmlns:r="http://schemas.openxmlformats.org/officeDocument/2006/relationships" r:id="rId1"/>
          <a:extLst>
            <a:ext uri="{FF2B5EF4-FFF2-40B4-BE49-F238E27FC236}">
              <a16:creationId xmlns:a16="http://schemas.microsoft.com/office/drawing/2014/main" id="{00000000-0008-0000-2000-00001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6" name="Flèche gauche 1">
          <a:hlinkClick xmlns:r="http://schemas.openxmlformats.org/officeDocument/2006/relationships" r:id="rId1"/>
          <a:extLst>
            <a:ext uri="{FF2B5EF4-FFF2-40B4-BE49-F238E27FC236}">
              <a16:creationId xmlns:a16="http://schemas.microsoft.com/office/drawing/2014/main" id="{00000000-0008-0000-2000-00001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7" name="Flèche gauche 1">
          <a:hlinkClick xmlns:r="http://schemas.openxmlformats.org/officeDocument/2006/relationships" r:id="rId2"/>
          <a:extLst>
            <a:ext uri="{FF2B5EF4-FFF2-40B4-BE49-F238E27FC236}">
              <a16:creationId xmlns:a16="http://schemas.microsoft.com/office/drawing/2014/main" id="{00000000-0008-0000-2000-00001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8" name="Flèche gauche 1">
          <a:hlinkClick xmlns:r="http://schemas.openxmlformats.org/officeDocument/2006/relationships" r:id="rId1"/>
          <a:extLst>
            <a:ext uri="{FF2B5EF4-FFF2-40B4-BE49-F238E27FC236}">
              <a16:creationId xmlns:a16="http://schemas.microsoft.com/office/drawing/2014/main" id="{00000000-0008-0000-2000-00001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9" name="Flèche gauche 1">
          <a:hlinkClick xmlns:r="http://schemas.openxmlformats.org/officeDocument/2006/relationships" r:id="rId1"/>
          <a:extLst>
            <a:ext uri="{FF2B5EF4-FFF2-40B4-BE49-F238E27FC236}">
              <a16:creationId xmlns:a16="http://schemas.microsoft.com/office/drawing/2014/main" id="{00000000-0008-0000-2000-00001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0" name="Flèche gauche 1">
          <a:hlinkClick xmlns:r="http://schemas.openxmlformats.org/officeDocument/2006/relationships" r:id="rId1"/>
          <a:extLst>
            <a:ext uri="{FF2B5EF4-FFF2-40B4-BE49-F238E27FC236}">
              <a16:creationId xmlns:a16="http://schemas.microsoft.com/office/drawing/2014/main" id="{00000000-0008-0000-2000-00001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1" name="Flèche gauche 1">
          <a:hlinkClick xmlns:r="http://schemas.openxmlformats.org/officeDocument/2006/relationships" r:id="rId2"/>
          <a:extLst>
            <a:ext uri="{FF2B5EF4-FFF2-40B4-BE49-F238E27FC236}">
              <a16:creationId xmlns:a16="http://schemas.microsoft.com/office/drawing/2014/main" id="{00000000-0008-0000-2000-00001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2" name="Flèche gauche 1">
          <a:hlinkClick xmlns:r="http://schemas.openxmlformats.org/officeDocument/2006/relationships" r:id="rId1"/>
          <a:extLst>
            <a:ext uri="{FF2B5EF4-FFF2-40B4-BE49-F238E27FC236}">
              <a16:creationId xmlns:a16="http://schemas.microsoft.com/office/drawing/2014/main" id="{00000000-0008-0000-2000-00001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3" name="Flèche gauche 1">
          <a:hlinkClick xmlns:r="http://schemas.openxmlformats.org/officeDocument/2006/relationships" r:id="rId1"/>
          <a:extLst>
            <a:ext uri="{FF2B5EF4-FFF2-40B4-BE49-F238E27FC236}">
              <a16:creationId xmlns:a16="http://schemas.microsoft.com/office/drawing/2014/main" id="{00000000-0008-0000-2000-00001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4" name="Flèche gauche 1">
          <a:hlinkClick xmlns:r="http://schemas.openxmlformats.org/officeDocument/2006/relationships" r:id="rId1"/>
          <a:extLst>
            <a:ext uri="{FF2B5EF4-FFF2-40B4-BE49-F238E27FC236}">
              <a16:creationId xmlns:a16="http://schemas.microsoft.com/office/drawing/2014/main" id="{00000000-0008-0000-2000-00001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5" name="Flèche gauche 1">
          <a:hlinkClick xmlns:r="http://schemas.openxmlformats.org/officeDocument/2006/relationships" r:id="rId2"/>
          <a:extLst>
            <a:ext uri="{FF2B5EF4-FFF2-40B4-BE49-F238E27FC236}">
              <a16:creationId xmlns:a16="http://schemas.microsoft.com/office/drawing/2014/main" id="{00000000-0008-0000-2000-00001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6" name="Flèche gauche 1">
          <a:hlinkClick xmlns:r="http://schemas.openxmlformats.org/officeDocument/2006/relationships" r:id="rId1"/>
          <a:extLst>
            <a:ext uri="{FF2B5EF4-FFF2-40B4-BE49-F238E27FC236}">
              <a16:creationId xmlns:a16="http://schemas.microsoft.com/office/drawing/2014/main" id="{00000000-0008-0000-2000-00001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7" name="Flèche gauche 1">
          <a:hlinkClick xmlns:r="http://schemas.openxmlformats.org/officeDocument/2006/relationships" r:id="rId1"/>
          <a:extLst>
            <a:ext uri="{FF2B5EF4-FFF2-40B4-BE49-F238E27FC236}">
              <a16:creationId xmlns:a16="http://schemas.microsoft.com/office/drawing/2014/main" id="{00000000-0008-0000-2000-00001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8" name="Flèche gauche 1">
          <a:hlinkClick xmlns:r="http://schemas.openxmlformats.org/officeDocument/2006/relationships" r:id="rId1"/>
          <a:extLst>
            <a:ext uri="{FF2B5EF4-FFF2-40B4-BE49-F238E27FC236}">
              <a16:creationId xmlns:a16="http://schemas.microsoft.com/office/drawing/2014/main" id="{00000000-0008-0000-2000-00002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9" name="Flèche gauche 1">
          <a:hlinkClick xmlns:r="http://schemas.openxmlformats.org/officeDocument/2006/relationships" r:id="rId2"/>
          <a:extLst>
            <a:ext uri="{FF2B5EF4-FFF2-40B4-BE49-F238E27FC236}">
              <a16:creationId xmlns:a16="http://schemas.microsoft.com/office/drawing/2014/main" id="{00000000-0008-0000-2000-00002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0" name="Flèche gauche 1">
          <a:hlinkClick xmlns:r="http://schemas.openxmlformats.org/officeDocument/2006/relationships" r:id="rId1"/>
          <a:extLst>
            <a:ext uri="{FF2B5EF4-FFF2-40B4-BE49-F238E27FC236}">
              <a16:creationId xmlns:a16="http://schemas.microsoft.com/office/drawing/2014/main" id="{00000000-0008-0000-2000-00002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1" name="Flèche gauche 1">
          <a:hlinkClick xmlns:r="http://schemas.openxmlformats.org/officeDocument/2006/relationships" r:id="rId1"/>
          <a:extLst>
            <a:ext uri="{FF2B5EF4-FFF2-40B4-BE49-F238E27FC236}">
              <a16:creationId xmlns:a16="http://schemas.microsoft.com/office/drawing/2014/main" id="{00000000-0008-0000-2000-00002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2" name="Flèche gauche 1">
          <a:hlinkClick xmlns:r="http://schemas.openxmlformats.org/officeDocument/2006/relationships" r:id="rId1"/>
          <a:extLst>
            <a:ext uri="{FF2B5EF4-FFF2-40B4-BE49-F238E27FC236}">
              <a16:creationId xmlns:a16="http://schemas.microsoft.com/office/drawing/2014/main" id="{00000000-0008-0000-2000-00002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3" name="Flèche gauche 1">
          <a:hlinkClick xmlns:r="http://schemas.openxmlformats.org/officeDocument/2006/relationships" r:id="rId2"/>
          <a:extLst>
            <a:ext uri="{FF2B5EF4-FFF2-40B4-BE49-F238E27FC236}">
              <a16:creationId xmlns:a16="http://schemas.microsoft.com/office/drawing/2014/main" id="{00000000-0008-0000-2000-00002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4" name="Flèche gauche 1">
          <a:hlinkClick xmlns:r="http://schemas.openxmlformats.org/officeDocument/2006/relationships" r:id="rId1"/>
          <a:extLst>
            <a:ext uri="{FF2B5EF4-FFF2-40B4-BE49-F238E27FC236}">
              <a16:creationId xmlns:a16="http://schemas.microsoft.com/office/drawing/2014/main" id="{00000000-0008-0000-2000-00002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5" name="Flèche gauche 1">
          <a:hlinkClick xmlns:r="http://schemas.openxmlformats.org/officeDocument/2006/relationships" r:id="rId1"/>
          <a:extLst>
            <a:ext uri="{FF2B5EF4-FFF2-40B4-BE49-F238E27FC236}">
              <a16:creationId xmlns:a16="http://schemas.microsoft.com/office/drawing/2014/main" id="{00000000-0008-0000-2000-00002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6" name="Flèche gauche 1">
          <a:hlinkClick xmlns:r="http://schemas.openxmlformats.org/officeDocument/2006/relationships" r:id="rId1"/>
          <a:extLst>
            <a:ext uri="{FF2B5EF4-FFF2-40B4-BE49-F238E27FC236}">
              <a16:creationId xmlns:a16="http://schemas.microsoft.com/office/drawing/2014/main" id="{00000000-0008-0000-2000-00002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7" name="Flèche gauche 1">
          <a:hlinkClick xmlns:r="http://schemas.openxmlformats.org/officeDocument/2006/relationships" r:id="rId2"/>
          <a:extLst>
            <a:ext uri="{FF2B5EF4-FFF2-40B4-BE49-F238E27FC236}">
              <a16:creationId xmlns:a16="http://schemas.microsoft.com/office/drawing/2014/main" id="{00000000-0008-0000-2000-00002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8" name="Flèche gauche 1">
          <a:hlinkClick xmlns:r="http://schemas.openxmlformats.org/officeDocument/2006/relationships" r:id="rId1"/>
          <a:extLst>
            <a:ext uri="{FF2B5EF4-FFF2-40B4-BE49-F238E27FC236}">
              <a16:creationId xmlns:a16="http://schemas.microsoft.com/office/drawing/2014/main" id="{00000000-0008-0000-2000-00002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9" name="Flèche gauche 1">
          <a:hlinkClick xmlns:r="http://schemas.openxmlformats.org/officeDocument/2006/relationships" r:id="rId1"/>
          <a:extLst>
            <a:ext uri="{FF2B5EF4-FFF2-40B4-BE49-F238E27FC236}">
              <a16:creationId xmlns:a16="http://schemas.microsoft.com/office/drawing/2014/main" id="{00000000-0008-0000-2000-00002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0" name="Flèche gauche 1">
          <a:hlinkClick xmlns:r="http://schemas.openxmlformats.org/officeDocument/2006/relationships" r:id="rId1"/>
          <a:extLst>
            <a:ext uri="{FF2B5EF4-FFF2-40B4-BE49-F238E27FC236}">
              <a16:creationId xmlns:a16="http://schemas.microsoft.com/office/drawing/2014/main" id="{00000000-0008-0000-2000-00002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1" name="Flèche gauche 1">
          <a:hlinkClick xmlns:r="http://schemas.openxmlformats.org/officeDocument/2006/relationships" r:id="rId2"/>
          <a:extLst>
            <a:ext uri="{FF2B5EF4-FFF2-40B4-BE49-F238E27FC236}">
              <a16:creationId xmlns:a16="http://schemas.microsoft.com/office/drawing/2014/main" id="{00000000-0008-0000-2000-00002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2" name="Flèche gauche 1">
          <a:hlinkClick xmlns:r="http://schemas.openxmlformats.org/officeDocument/2006/relationships" r:id="rId1"/>
          <a:extLst>
            <a:ext uri="{FF2B5EF4-FFF2-40B4-BE49-F238E27FC236}">
              <a16:creationId xmlns:a16="http://schemas.microsoft.com/office/drawing/2014/main" id="{00000000-0008-0000-2000-00002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3" name="Flèche gauche 1">
          <a:hlinkClick xmlns:r="http://schemas.openxmlformats.org/officeDocument/2006/relationships" r:id="rId1"/>
          <a:extLst>
            <a:ext uri="{FF2B5EF4-FFF2-40B4-BE49-F238E27FC236}">
              <a16:creationId xmlns:a16="http://schemas.microsoft.com/office/drawing/2014/main" id="{00000000-0008-0000-2000-00002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4" name="Flèche gauche 1">
          <a:hlinkClick xmlns:r="http://schemas.openxmlformats.org/officeDocument/2006/relationships" r:id="rId1"/>
          <a:extLst>
            <a:ext uri="{FF2B5EF4-FFF2-40B4-BE49-F238E27FC236}">
              <a16:creationId xmlns:a16="http://schemas.microsoft.com/office/drawing/2014/main" id="{00000000-0008-0000-2000-00003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5" name="Flèche gauche 1">
          <a:hlinkClick xmlns:r="http://schemas.openxmlformats.org/officeDocument/2006/relationships" r:id="rId2"/>
          <a:extLst>
            <a:ext uri="{FF2B5EF4-FFF2-40B4-BE49-F238E27FC236}">
              <a16:creationId xmlns:a16="http://schemas.microsoft.com/office/drawing/2014/main" id="{00000000-0008-0000-2000-00003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6" name="Flèche gauche 1">
          <a:hlinkClick xmlns:r="http://schemas.openxmlformats.org/officeDocument/2006/relationships" r:id="rId1"/>
          <a:extLst>
            <a:ext uri="{FF2B5EF4-FFF2-40B4-BE49-F238E27FC236}">
              <a16:creationId xmlns:a16="http://schemas.microsoft.com/office/drawing/2014/main" id="{00000000-0008-0000-2000-00003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7" name="Flèche gauche 1">
          <a:hlinkClick xmlns:r="http://schemas.openxmlformats.org/officeDocument/2006/relationships" r:id="rId1"/>
          <a:extLst>
            <a:ext uri="{FF2B5EF4-FFF2-40B4-BE49-F238E27FC236}">
              <a16:creationId xmlns:a16="http://schemas.microsoft.com/office/drawing/2014/main" id="{00000000-0008-0000-2000-00003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8" name="Flèche gauche 1">
          <a:hlinkClick xmlns:r="http://schemas.openxmlformats.org/officeDocument/2006/relationships" r:id="rId1"/>
          <a:extLst>
            <a:ext uri="{FF2B5EF4-FFF2-40B4-BE49-F238E27FC236}">
              <a16:creationId xmlns:a16="http://schemas.microsoft.com/office/drawing/2014/main" id="{00000000-0008-0000-2000-00003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9" name="Flèche gauche 1">
          <a:hlinkClick xmlns:r="http://schemas.openxmlformats.org/officeDocument/2006/relationships" r:id="rId2"/>
          <a:extLst>
            <a:ext uri="{FF2B5EF4-FFF2-40B4-BE49-F238E27FC236}">
              <a16:creationId xmlns:a16="http://schemas.microsoft.com/office/drawing/2014/main" id="{00000000-0008-0000-2000-00003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0" name="Flèche gauche 1">
          <a:hlinkClick xmlns:r="http://schemas.openxmlformats.org/officeDocument/2006/relationships" r:id="rId1"/>
          <a:extLst>
            <a:ext uri="{FF2B5EF4-FFF2-40B4-BE49-F238E27FC236}">
              <a16:creationId xmlns:a16="http://schemas.microsoft.com/office/drawing/2014/main" id="{00000000-0008-0000-2000-00003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1" name="Flèche gauche 1">
          <a:hlinkClick xmlns:r="http://schemas.openxmlformats.org/officeDocument/2006/relationships" r:id="rId1"/>
          <a:extLst>
            <a:ext uri="{FF2B5EF4-FFF2-40B4-BE49-F238E27FC236}">
              <a16:creationId xmlns:a16="http://schemas.microsoft.com/office/drawing/2014/main" id="{00000000-0008-0000-2000-00003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2" name="Flèche gauche 1">
          <a:hlinkClick xmlns:r="http://schemas.openxmlformats.org/officeDocument/2006/relationships" r:id="rId1"/>
          <a:extLst>
            <a:ext uri="{FF2B5EF4-FFF2-40B4-BE49-F238E27FC236}">
              <a16:creationId xmlns:a16="http://schemas.microsoft.com/office/drawing/2014/main" id="{00000000-0008-0000-2000-00003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3" name="Flèche gauche 1">
          <a:hlinkClick xmlns:r="http://schemas.openxmlformats.org/officeDocument/2006/relationships" r:id="rId2"/>
          <a:extLst>
            <a:ext uri="{FF2B5EF4-FFF2-40B4-BE49-F238E27FC236}">
              <a16:creationId xmlns:a16="http://schemas.microsoft.com/office/drawing/2014/main" id="{00000000-0008-0000-2000-00003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4" name="Flèche gauche 1">
          <a:hlinkClick xmlns:r="http://schemas.openxmlformats.org/officeDocument/2006/relationships" r:id="rId1"/>
          <a:extLst>
            <a:ext uri="{FF2B5EF4-FFF2-40B4-BE49-F238E27FC236}">
              <a16:creationId xmlns:a16="http://schemas.microsoft.com/office/drawing/2014/main" id="{00000000-0008-0000-2000-00003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5" name="Flèche gauche 1">
          <a:hlinkClick xmlns:r="http://schemas.openxmlformats.org/officeDocument/2006/relationships" r:id="rId1"/>
          <a:extLst>
            <a:ext uri="{FF2B5EF4-FFF2-40B4-BE49-F238E27FC236}">
              <a16:creationId xmlns:a16="http://schemas.microsoft.com/office/drawing/2014/main" id="{00000000-0008-0000-2000-00003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6" name="Flèche gauche 1">
          <a:hlinkClick xmlns:r="http://schemas.openxmlformats.org/officeDocument/2006/relationships" r:id="rId1"/>
          <a:extLst>
            <a:ext uri="{FF2B5EF4-FFF2-40B4-BE49-F238E27FC236}">
              <a16:creationId xmlns:a16="http://schemas.microsoft.com/office/drawing/2014/main" id="{00000000-0008-0000-2000-00003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7" name="Flèche gauche 1">
          <a:hlinkClick xmlns:r="http://schemas.openxmlformats.org/officeDocument/2006/relationships" r:id="rId2"/>
          <a:extLst>
            <a:ext uri="{FF2B5EF4-FFF2-40B4-BE49-F238E27FC236}">
              <a16:creationId xmlns:a16="http://schemas.microsoft.com/office/drawing/2014/main" id="{00000000-0008-0000-2000-00003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8" name="Flèche gauche 1">
          <a:hlinkClick xmlns:r="http://schemas.openxmlformats.org/officeDocument/2006/relationships" r:id="rId1"/>
          <a:extLst>
            <a:ext uri="{FF2B5EF4-FFF2-40B4-BE49-F238E27FC236}">
              <a16:creationId xmlns:a16="http://schemas.microsoft.com/office/drawing/2014/main" id="{00000000-0008-0000-2000-00003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9" name="Flèche gauche 1">
          <a:hlinkClick xmlns:r="http://schemas.openxmlformats.org/officeDocument/2006/relationships" r:id="rId1"/>
          <a:extLst>
            <a:ext uri="{FF2B5EF4-FFF2-40B4-BE49-F238E27FC236}">
              <a16:creationId xmlns:a16="http://schemas.microsoft.com/office/drawing/2014/main" id="{00000000-0008-0000-2000-00003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0" name="Flèche gauche 1">
          <a:hlinkClick xmlns:r="http://schemas.openxmlformats.org/officeDocument/2006/relationships" r:id="rId1"/>
          <a:extLst>
            <a:ext uri="{FF2B5EF4-FFF2-40B4-BE49-F238E27FC236}">
              <a16:creationId xmlns:a16="http://schemas.microsoft.com/office/drawing/2014/main" id="{00000000-0008-0000-2000-00004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1" name="Flèche gauche 1">
          <a:hlinkClick xmlns:r="http://schemas.openxmlformats.org/officeDocument/2006/relationships" r:id="rId2"/>
          <a:extLst>
            <a:ext uri="{FF2B5EF4-FFF2-40B4-BE49-F238E27FC236}">
              <a16:creationId xmlns:a16="http://schemas.microsoft.com/office/drawing/2014/main" id="{00000000-0008-0000-2000-00004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2" name="Flèche gauche 1">
          <a:hlinkClick xmlns:r="http://schemas.openxmlformats.org/officeDocument/2006/relationships" r:id="rId1"/>
          <a:extLst>
            <a:ext uri="{FF2B5EF4-FFF2-40B4-BE49-F238E27FC236}">
              <a16:creationId xmlns:a16="http://schemas.microsoft.com/office/drawing/2014/main" id="{00000000-0008-0000-2000-00004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3" name="Flèche gauche 1">
          <a:hlinkClick xmlns:r="http://schemas.openxmlformats.org/officeDocument/2006/relationships" r:id="rId1"/>
          <a:extLst>
            <a:ext uri="{FF2B5EF4-FFF2-40B4-BE49-F238E27FC236}">
              <a16:creationId xmlns:a16="http://schemas.microsoft.com/office/drawing/2014/main" id="{00000000-0008-0000-2000-00004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4" name="Flèche gauche 1">
          <a:hlinkClick xmlns:r="http://schemas.openxmlformats.org/officeDocument/2006/relationships" r:id="rId1"/>
          <a:extLst>
            <a:ext uri="{FF2B5EF4-FFF2-40B4-BE49-F238E27FC236}">
              <a16:creationId xmlns:a16="http://schemas.microsoft.com/office/drawing/2014/main" id="{00000000-0008-0000-2000-00004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5" name="Flèche gauche 1">
          <a:hlinkClick xmlns:r="http://schemas.openxmlformats.org/officeDocument/2006/relationships" r:id="rId2"/>
          <a:extLst>
            <a:ext uri="{FF2B5EF4-FFF2-40B4-BE49-F238E27FC236}">
              <a16:creationId xmlns:a16="http://schemas.microsoft.com/office/drawing/2014/main" id="{00000000-0008-0000-2000-00004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6" name="Flèche gauche 1">
          <a:hlinkClick xmlns:r="http://schemas.openxmlformats.org/officeDocument/2006/relationships" r:id="rId1"/>
          <a:extLst>
            <a:ext uri="{FF2B5EF4-FFF2-40B4-BE49-F238E27FC236}">
              <a16:creationId xmlns:a16="http://schemas.microsoft.com/office/drawing/2014/main" id="{00000000-0008-0000-2000-00004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7" name="Flèche gauche 1">
          <a:hlinkClick xmlns:r="http://schemas.openxmlformats.org/officeDocument/2006/relationships" r:id="rId1"/>
          <a:extLst>
            <a:ext uri="{FF2B5EF4-FFF2-40B4-BE49-F238E27FC236}">
              <a16:creationId xmlns:a16="http://schemas.microsoft.com/office/drawing/2014/main" id="{00000000-0008-0000-2000-00004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8" name="Flèche gauche 1">
          <a:hlinkClick xmlns:r="http://schemas.openxmlformats.org/officeDocument/2006/relationships" r:id="rId1"/>
          <a:extLst>
            <a:ext uri="{FF2B5EF4-FFF2-40B4-BE49-F238E27FC236}">
              <a16:creationId xmlns:a16="http://schemas.microsoft.com/office/drawing/2014/main" id="{00000000-0008-0000-2000-00004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9" name="Flèche gauche 1">
          <a:hlinkClick xmlns:r="http://schemas.openxmlformats.org/officeDocument/2006/relationships" r:id="rId2"/>
          <a:extLst>
            <a:ext uri="{FF2B5EF4-FFF2-40B4-BE49-F238E27FC236}">
              <a16:creationId xmlns:a16="http://schemas.microsoft.com/office/drawing/2014/main" id="{00000000-0008-0000-2000-00004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0" name="Flèche gauche 1">
          <a:hlinkClick xmlns:r="http://schemas.openxmlformats.org/officeDocument/2006/relationships" r:id="rId1"/>
          <a:extLst>
            <a:ext uri="{FF2B5EF4-FFF2-40B4-BE49-F238E27FC236}">
              <a16:creationId xmlns:a16="http://schemas.microsoft.com/office/drawing/2014/main" id="{00000000-0008-0000-2000-00004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1" name="Flèche gauche 1">
          <a:hlinkClick xmlns:r="http://schemas.openxmlformats.org/officeDocument/2006/relationships" r:id="rId1"/>
          <a:extLst>
            <a:ext uri="{FF2B5EF4-FFF2-40B4-BE49-F238E27FC236}">
              <a16:creationId xmlns:a16="http://schemas.microsoft.com/office/drawing/2014/main" id="{00000000-0008-0000-2000-00004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2" name="Flèche gauche 1">
          <a:hlinkClick xmlns:r="http://schemas.openxmlformats.org/officeDocument/2006/relationships" r:id="rId1"/>
          <a:extLst>
            <a:ext uri="{FF2B5EF4-FFF2-40B4-BE49-F238E27FC236}">
              <a16:creationId xmlns:a16="http://schemas.microsoft.com/office/drawing/2014/main" id="{00000000-0008-0000-2000-00004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3" name="Flèche gauche 1">
          <a:hlinkClick xmlns:r="http://schemas.openxmlformats.org/officeDocument/2006/relationships" r:id="rId2"/>
          <a:extLst>
            <a:ext uri="{FF2B5EF4-FFF2-40B4-BE49-F238E27FC236}">
              <a16:creationId xmlns:a16="http://schemas.microsoft.com/office/drawing/2014/main" id="{00000000-0008-0000-2000-00004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4" name="Flèche gauche 1">
          <a:hlinkClick xmlns:r="http://schemas.openxmlformats.org/officeDocument/2006/relationships" r:id="rId1"/>
          <a:extLst>
            <a:ext uri="{FF2B5EF4-FFF2-40B4-BE49-F238E27FC236}">
              <a16:creationId xmlns:a16="http://schemas.microsoft.com/office/drawing/2014/main" id="{00000000-0008-0000-2000-00004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5" name="Flèche gauche 1">
          <a:hlinkClick xmlns:r="http://schemas.openxmlformats.org/officeDocument/2006/relationships" r:id="rId1"/>
          <a:extLst>
            <a:ext uri="{FF2B5EF4-FFF2-40B4-BE49-F238E27FC236}">
              <a16:creationId xmlns:a16="http://schemas.microsoft.com/office/drawing/2014/main" id="{00000000-0008-0000-2000-00004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6" name="Flèche gauche 1">
          <a:hlinkClick xmlns:r="http://schemas.openxmlformats.org/officeDocument/2006/relationships" r:id="rId1"/>
          <a:extLst>
            <a:ext uri="{FF2B5EF4-FFF2-40B4-BE49-F238E27FC236}">
              <a16:creationId xmlns:a16="http://schemas.microsoft.com/office/drawing/2014/main" id="{00000000-0008-0000-2000-00005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7" name="Flèche gauche 1">
          <a:hlinkClick xmlns:r="http://schemas.openxmlformats.org/officeDocument/2006/relationships" r:id="rId2"/>
          <a:extLst>
            <a:ext uri="{FF2B5EF4-FFF2-40B4-BE49-F238E27FC236}">
              <a16:creationId xmlns:a16="http://schemas.microsoft.com/office/drawing/2014/main" id="{00000000-0008-0000-2000-00005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8" name="Flèche gauche 1">
          <a:hlinkClick xmlns:r="http://schemas.openxmlformats.org/officeDocument/2006/relationships" r:id="rId1"/>
          <a:extLst>
            <a:ext uri="{FF2B5EF4-FFF2-40B4-BE49-F238E27FC236}">
              <a16:creationId xmlns:a16="http://schemas.microsoft.com/office/drawing/2014/main" id="{00000000-0008-0000-2000-00005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9" name="Flèche gauche 1">
          <a:hlinkClick xmlns:r="http://schemas.openxmlformats.org/officeDocument/2006/relationships" r:id="rId1"/>
          <a:extLst>
            <a:ext uri="{FF2B5EF4-FFF2-40B4-BE49-F238E27FC236}">
              <a16:creationId xmlns:a16="http://schemas.microsoft.com/office/drawing/2014/main" id="{00000000-0008-0000-2000-00005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0" name="Flèche gauche 1">
          <a:hlinkClick xmlns:r="http://schemas.openxmlformats.org/officeDocument/2006/relationships" r:id="rId1"/>
          <a:extLst>
            <a:ext uri="{FF2B5EF4-FFF2-40B4-BE49-F238E27FC236}">
              <a16:creationId xmlns:a16="http://schemas.microsoft.com/office/drawing/2014/main" id="{00000000-0008-0000-2000-00005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1" name="Flèche gauche 1">
          <a:hlinkClick xmlns:r="http://schemas.openxmlformats.org/officeDocument/2006/relationships" r:id="rId2"/>
          <a:extLst>
            <a:ext uri="{FF2B5EF4-FFF2-40B4-BE49-F238E27FC236}">
              <a16:creationId xmlns:a16="http://schemas.microsoft.com/office/drawing/2014/main" id="{00000000-0008-0000-2000-00005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2" name="Flèche gauche 1">
          <a:hlinkClick xmlns:r="http://schemas.openxmlformats.org/officeDocument/2006/relationships" r:id="rId1"/>
          <a:extLst>
            <a:ext uri="{FF2B5EF4-FFF2-40B4-BE49-F238E27FC236}">
              <a16:creationId xmlns:a16="http://schemas.microsoft.com/office/drawing/2014/main" id="{00000000-0008-0000-2000-00005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3" name="Flèche gauche 1">
          <a:hlinkClick xmlns:r="http://schemas.openxmlformats.org/officeDocument/2006/relationships" r:id="rId1"/>
          <a:extLst>
            <a:ext uri="{FF2B5EF4-FFF2-40B4-BE49-F238E27FC236}">
              <a16:creationId xmlns:a16="http://schemas.microsoft.com/office/drawing/2014/main" id="{00000000-0008-0000-2000-00005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4" name="Flèche gauche 1">
          <a:hlinkClick xmlns:r="http://schemas.openxmlformats.org/officeDocument/2006/relationships" r:id="rId1"/>
          <a:extLst>
            <a:ext uri="{FF2B5EF4-FFF2-40B4-BE49-F238E27FC236}">
              <a16:creationId xmlns:a16="http://schemas.microsoft.com/office/drawing/2014/main" id="{00000000-0008-0000-2000-00005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5" name="Flèche gauche 1">
          <a:hlinkClick xmlns:r="http://schemas.openxmlformats.org/officeDocument/2006/relationships" r:id="rId2"/>
          <a:extLst>
            <a:ext uri="{FF2B5EF4-FFF2-40B4-BE49-F238E27FC236}">
              <a16:creationId xmlns:a16="http://schemas.microsoft.com/office/drawing/2014/main" id="{00000000-0008-0000-2000-00005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6" name="Flèche gauche 1">
          <a:hlinkClick xmlns:r="http://schemas.openxmlformats.org/officeDocument/2006/relationships" r:id="rId1"/>
          <a:extLst>
            <a:ext uri="{FF2B5EF4-FFF2-40B4-BE49-F238E27FC236}">
              <a16:creationId xmlns:a16="http://schemas.microsoft.com/office/drawing/2014/main" id="{00000000-0008-0000-2000-00005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7" name="Flèche gauche 1">
          <a:hlinkClick xmlns:r="http://schemas.openxmlformats.org/officeDocument/2006/relationships" r:id="rId1"/>
          <a:extLst>
            <a:ext uri="{FF2B5EF4-FFF2-40B4-BE49-F238E27FC236}">
              <a16:creationId xmlns:a16="http://schemas.microsoft.com/office/drawing/2014/main" id="{00000000-0008-0000-2000-00005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8" name="Flèche gauche 1">
          <a:hlinkClick xmlns:r="http://schemas.openxmlformats.org/officeDocument/2006/relationships" r:id="rId1"/>
          <a:extLst>
            <a:ext uri="{FF2B5EF4-FFF2-40B4-BE49-F238E27FC236}">
              <a16:creationId xmlns:a16="http://schemas.microsoft.com/office/drawing/2014/main" id="{00000000-0008-0000-2000-00005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9" name="Flèche gauche 1">
          <a:hlinkClick xmlns:r="http://schemas.openxmlformats.org/officeDocument/2006/relationships" r:id="rId2"/>
          <a:extLst>
            <a:ext uri="{FF2B5EF4-FFF2-40B4-BE49-F238E27FC236}">
              <a16:creationId xmlns:a16="http://schemas.microsoft.com/office/drawing/2014/main" id="{00000000-0008-0000-2000-00005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0" name="Flèche gauche 1">
          <a:hlinkClick xmlns:r="http://schemas.openxmlformats.org/officeDocument/2006/relationships" r:id="rId1"/>
          <a:extLst>
            <a:ext uri="{FF2B5EF4-FFF2-40B4-BE49-F238E27FC236}">
              <a16:creationId xmlns:a16="http://schemas.microsoft.com/office/drawing/2014/main" id="{00000000-0008-0000-2000-00005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1" name="Flèche gauche 1">
          <a:hlinkClick xmlns:r="http://schemas.openxmlformats.org/officeDocument/2006/relationships" r:id="rId1"/>
          <a:extLst>
            <a:ext uri="{FF2B5EF4-FFF2-40B4-BE49-F238E27FC236}">
              <a16:creationId xmlns:a16="http://schemas.microsoft.com/office/drawing/2014/main" id="{00000000-0008-0000-2000-00005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2" name="Flèche gauche 1">
          <a:hlinkClick xmlns:r="http://schemas.openxmlformats.org/officeDocument/2006/relationships" r:id="rId1"/>
          <a:extLst>
            <a:ext uri="{FF2B5EF4-FFF2-40B4-BE49-F238E27FC236}">
              <a16:creationId xmlns:a16="http://schemas.microsoft.com/office/drawing/2014/main" id="{00000000-0008-0000-2000-00006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3" name="Flèche gauche 1">
          <a:hlinkClick xmlns:r="http://schemas.openxmlformats.org/officeDocument/2006/relationships" r:id="rId2"/>
          <a:extLst>
            <a:ext uri="{FF2B5EF4-FFF2-40B4-BE49-F238E27FC236}">
              <a16:creationId xmlns:a16="http://schemas.microsoft.com/office/drawing/2014/main" id="{00000000-0008-0000-2000-00006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4" name="Flèche gauche 1">
          <a:hlinkClick xmlns:r="http://schemas.openxmlformats.org/officeDocument/2006/relationships" r:id="rId1"/>
          <a:extLst>
            <a:ext uri="{FF2B5EF4-FFF2-40B4-BE49-F238E27FC236}">
              <a16:creationId xmlns:a16="http://schemas.microsoft.com/office/drawing/2014/main" id="{00000000-0008-0000-2000-00006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5" name="Flèche gauche 1">
          <a:hlinkClick xmlns:r="http://schemas.openxmlformats.org/officeDocument/2006/relationships" r:id="rId1"/>
          <a:extLst>
            <a:ext uri="{FF2B5EF4-FFF2-40B4-BE49-F238E27FC236}">
              <a16:creationId xmlns:a16="http://schemas.microsoft.com/office/drawing/2014/main" id="{00000000-0008-0000-2000-00006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6" name="Flèche gauche 1">
          <a:hlinkClick xmlns:r="http://schemas.openxmlformats.org/officeDocument/2006/relationships" r:id="rId1"/>
          <a:extLst>
            <a:ext uri="{FF2B5EF4-FFF2-40B4-BE49-F238E27FC236}">
              <a16:creationId xmlns:a16="http://schemas.microsoft.com/office/drawing/2014/main" id="{00000000-0008-0000-2000-00006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7" name="Flèche gauche 1">
          <a:hlinkClick xmlns:r="http://schemas.openxmlformats.org/officeDocument/2006/relationships" r:id="rId2"/>
          <a:extLst>
            <a:ext uri="{FF2B5EF4-FFF2-40B4-BE49-F238E27FC236}">
              <a16:creationId xmlns:a16="http://schemas.microsoft.com/office/drawing/2014/main" id="{00000000-0008-0000-2000-00006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8" name="Flèche gauche 1">
          <a:hlinkClick xmlns:r="http://schemas.openxmlformats.org/officeDocument/2006/relationships" r:id="rId1"/>
          <a:extLst>
            <a:ext uri="{FF2B5EF4-FFF2-40B4-BE49-F238E27FC236}">
              <a16:creationId xmlns:a16="http://schemas.microsoft.com/office/drawing/2014/main" id="{00000000-0008-0000-2000-00006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9" name="Flèche gauche 1">
          <a:hlinkClick xmlns:r="http://schemas.openxmlformats.org/officeDocument/2006/relationships" r:id="rId1"/>
          <a:extLst>
            <a:ext uri="{FF2B5EF4-FFF2-40B4-BE49-F238E27FC236}">
              <a16:creationId xmlns:a16="http://schemas.microsoft.com/office/drawing/2014/main" id="{00000000-0008-0000-2000-00006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0" name="Flèche gauche 1">
          <a:hlinkClick xmlns:r="http://schemas.openxmlformats.org/officeDocument/2006/relationships" r:id="rId1"/>
          <a:extLst>
            <a:ext uri="{FF2B5EF4-FFF2-40B4-BE49-F238E27FC236}">
              <a16:creationId xmlns:a16="http://schemas.microsoft.com/office/drawing/2014/main" id="{00000000-0008-0000-2000-00006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1" name="Flèche gauche 1">
          <a:hlinkClick xmlns:r="http://schemas.openxmlformats.org/officeDocument/2006/relationships" r:id="rId2"/>
          <a:extLst>
            <a:ext uri="{FF2B5EF4-FFF2-40B4-BE49-F238E27FC236}">
              <a16:creationId xmlns:a16="http://schemas.microsoft.com/office/drawing/2014/main" id="{00000000-0008-0000-2000-00006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2" name="Flèche gauche 1">
          <a:hlinkClick xmlns:r="http://schemas.openxmlformats.org/officeDocument/2006/relationships" r:id="rId1"/>
          <a:extLst>
            <a:ext uri="{FF2B5EF4-FFF2-40B4-BE49-F238E27FC236}">
              <a16:creationId xmlns:a16="http://schemas.microsoft.com/office/drawing/2014/main" id="{00000000-0008-0000-2000-00006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3" name="Flèche gauche 1">
          <a:hlinkClick xmlns:r="http://schemas.openxmlformats.org/officeDocument/2006/relationships" r:id="rId1"/>
          <a:extLst>
            <a:ext uri="{FF2B5EF4-FFF2-40B4-BE49-F238E27FC236}">
              <a16:creationId xmlns:a16="http://schemas.microsoft.com/office/drawing/2014/main" id="{00000000-0008-0000-2000-00006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4" name="Flèche gauche 1">
          <a:hlinkClick xmlns:r="http://schemas.openxmlformats.org/officeDocument/2006/relationships" r:id="rId1"/>
          <a:extLst>
            <a:ext uri="{FF2B5EF4-FFF2-40B4-BE49-F238E27FC236}">
              <a16:creationId xmlns:a16="http://schemas.microsoft.com/office/drawing/2014/main" id="{00000000-0008-0000-2000-00006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5" name="Flèche gauche 1">
          <a:hlinkClick xmlns:r="http://schemas.openxmlformats.org/officeDocument/2006/relationships" r:id="rId2"/>
          <a:extLst>
            <a:ext uri="{FF2B5EF4-FFF2-40B4-BE49-F238E27FC236}">
              <a16:creationId xmlns:a16="http://schemas.microsoft.com/office/drawing/2014/main" id="{00000000-0008-0000-2000-00006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6" name="Flèche gauche 1">
          <a:hlinkClick xmlns:r="http://schemas.openxmlformats.org/officeDocument/2006/relationships" r:id="rId1"/>
          <a:extLst>
            <a:ext uri="{FF2B5EF4-FFF2-40B4-BE49-F238E27FC236}">
              <a16:creationId xmlns:a16="http://schemas.microsoft.com/office/drawing/2014/main" id="{00000000-0008-0000-2000-00006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7" name="Flèche gauche 1">
          <a:hlinkClick xmlns:r="http://schemas.openxmlformats.org/officeDocument/2006/relationships" r:id="rId1"/>
          <a:extLst>
            <a:ext uri="{FF2B5EF4-FFF2-40B4-BE49-F238E27FC236}">
              <a16:creationId xmlns:a16="http://schemas.microsoft.com/office/drawing/2014/main" id="{00000000-0008-0000-2000-00006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8" name="Flèche gauche 1">
          <a:hlinkClick xmlns:r="http://schemas.openxmlformats.org/officeDocument/2006/relationships" r:id="rId1"/>
          <a:extLst>
            <a:ext uri="{FF2B5EF4-FFF2-40B4-BE49-F238E27FC236}">
              <a16:creationId xmlns:a16="http://schemas.microsoft.com/office/drawing/2014/main" id="{00000000-0008-0000-2000-00007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9" name="Flèche gauche 1">
          <a:hlinkClick xmlns:r="http://schemas.openxmlformats.org/officeDocument/2006/relationships" r:id="rId2"/>
          <a:extLst>
            <a:ext uri="{FF2B5EF4-FFF2-40B4-BE49-F238E27FC236}">
              <a16:creationId xmlns:a16="http://schemas.microsoft.com/office/drawing/2014/main" id="{00000000-0008-0000-2000-00007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0" name="Flèche gauche 1">
          <a:hlinkClick xmlns:r="http://schemas.openxmlformats.org/officeDocument/2006/relationships" r:id="rId1"/>
          <a:extLst>
            <a:ext uri="{FF2B5EF4-FFF2-40B4-BE49-F238E27FC236}">
              <a16:creationId xmlns:a16="http://schemas.microsoft.com/office/drawing/2014/main" id="{00000000-0008-0000-2000-00007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1" name="Flèche gauche 1">
          <a:hlinkClick xmlns:r="http://schemas.openxmlformats.org/officeDocument/2006/relationships" r:id="rId1"/>
          <a:extLst>
            <a:ext uri="{FF2B5EF4-FFF2-40B4-BE49-F238E27FC236}">
              <a16:creationId xmlns:a16="http://schemas.microsoft.com/office/drawing/2014/main" id="{00000000-0008-0000-2000-00007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2" name="Flèche gauche 1">
          <a:hlinkClick xmlns:r="http://schemas.openxmlformats.org/officeDocument/2006/relationships" r:id="rId1"/>
          <a:extLst>
            <a:ext uri="{FF2B5EF4-FFF2-40B4-BE49-F238E27FC236}">
              <a16:creationId xmlns:a16="http://schemas.microsoft.com/office/drawing/2014/main" id="{00000000-0008-0000-2000-00007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3" name="Flèche gauche 1">
          <a:hlinkClick xmlns:r="http://schemas.openxmlformats.org/officeDocument/2006/relationships" r:id="rId2"/>
          <a:extLst>
            <a:ext uri="{FF2B5EF4-FFF2-40B4-BE49-F238E27FC236}">
              <a16:creationId xmlns:a16="http://schemas.microsoft.com/office/drawing/2014/main" id="{00000000-0008-0000-2000-00007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4" name="Flèche gauche 1">
          <a:hlinkClick xmlns:r="http://schemas.openxmlformats.org/officeDocument/2006/relationships" r:id="rId1"/>
          <a:extLst>
            <a:ext uri="{FF2B5EF4-FFF2-40B4-BE49-F238E27FC236}">
              <a16:creationId xmlns:a16="http://schemas.microsoft.com/office/drawing/2014/main" id="{00000000-0008-0000-2000-00007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5" name="Flèche gauche 1">
          <a:hlinkClick xmlns:r="http://schemas.openxmlformats.org/officeDocument/2006/relationships" r:id="rId1"/>
          <a:extLst>
            <a:ext uri="{FF2B5EF4-FFF2-40B4-BE49-F238E27FC236}">
              <a16:creationId xmlns:a16="http://schemas.microsoft.com/office/drawing/2014/main" id="{00000000-0008-0000-2000-00007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6" name="Flèche gauche 1">
          <a:hlinkClick xmlns:r="http://schemas.openxmlformats.org/officeDocument/2006/relationships" r:id="rId1"/>
          <a:extLst>
            <a:ext uri="{FF2B5EF4-FFF2-40B4-BE49-F238E27FC236}">
              <a16:creationId xmlns:a16="http://schemas.microsoft.com/office/drawing/2014/main" id="{00000000-0008-0000-2000-00007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7" name="Flèche gauche 1">
          <a:hlinkClick xmlns:r="http://schemas.openxmlformats.org/officeDocument/2006/relationships" r:id="rId2"/>
          <a:extLst>
            <a:ext uri="{FF2B5EF4-FFF2-40B4-BE49-F238E27FC236}">
              <a16:creationId xmlns:a16="http://schemas.microsoft.com/office/drawing/2014/main" id="{00000000-0008-0000-2000-00007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8" name="Flèche gauche 1">
          <a:hlinkClick xmlns:r="http://schemas.openxmlformats.org/officeDocument/2006/relationships" r:id="rId1"/>
          <a:extLst>
            <a:ext uri="{FF2B5EF4-FFF2-40B4-BE49-F238E27FC236}">
              <a16:creationId xmlns:a16="http://schemas.microsoft.com/office/drawing/2014/main" id="{00000000-0008-0000-2000-00007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9" name="Flèche gauche 1">
          <a:hlinkClick xmlns:r="http://schemas.openxmlformats.org/officeDocument/2006/relationships" r:id="rId1"/>
          <a:extLst>
            <a:ext uri="{FF2B5EF4-FFF2-40B4-BE49-F238E27FC236}">
              <a16:creationId xmlns:a16="http://schemas.microsoft.com/office/drawing/2014/main" id="{00000000-0008-0000-2000-00007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80" name="Flèche gauche 1">
          <a:hlinkClick xmlns:r="http://schemas.openxmlformats.org/officeDocument/2006/relationships" r:id="rId1"/>
          <a:extLst>
            <a:ext uri="{FF2B5EF4-FFF2-40B4-BE49-F238E27FC236}">
              <a16:creationId xmlns:a16="http://schemas.microsoft.com/office/drawing/2014/main" id="{00000000-0008-0000-2000-00007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81" name="Flèche gauche 1">
          <a:hlinkClick xmlns:r="http://schemas.openxmlformats.org/officeDocument/2006/relationships" r:id="rId2"/>
          <a:extLst>
            <a:ext uri="{FF2B5EF4-FFF2-40B4-BE49-F238E27FC236}">
              <a16:creationId xmlns:a16="http://schemas.microsoft.com/office/drawing/2014/main" id="{00000000-0008-0000-2000-00007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82" name="Flèche gauche 1">
          <a:hlinkClick xmlns:r="http://schemas.openxmlformats.org/officeDocument/2006/relationships" r:id="rId1"/>
          <a:extLst>
            <a:ext uri="{FF2B5EF4-FFF2-40B4-BE49-F238E27FC236}">
              <a16:creationId xmlns:a16="http://schemas.microsoft.com/office/drawing/2014/main" id="{00000000-0008-0000-2000-00007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83" name="Flèche gauche 1">
          <a:hlinkClick xmlns:r="http://schemas.openxmlformats.org/officeDocument/2006/relationships" r:id="rId1"/>
          <a:extLst>
            <a:ext uri="{FF2B5EF4-FFF2-40B4-BE49-F238E27FC236}">
              <a16:creationId xmlns:a16="http://schemas.microsoft.com/office/drawing/2014/main" id="{00000000-0008-0000-2000-00007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84" name="Flèche gauche 1">
          <a:hlinkClick xmlns:r="http://schemas.openxmlformats.org/officeDocument/2006/relationships" r:id="rId1"/>
          <a:extLst>
            <a:ext uri="{FF2B5EF4-FFF2-40B4-BE49-F238E27FC236}">
              <a16:creationId xmlns:a16="http://schemas.microsoft.com/office/drawing/2014/main" id="{00000000-0008-0000-2000-00008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85" name="Flèche gauche 1">
          <a:hlinkClick xmlns:r="http://schemas.openxmlformats.org/officeDocument/2006/relationships" r:id="rId2"/>
          <a:extLst>
            <a:ext uri="{FF2B5EF4-FFF2-40B4-BE49-F238E27FC236}">
              <a16:creationId xmlns:a16="http://schemas.microsoft.com/office/drawing/2014/main" id="{00000000-0008-0000-2000-00008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86" name="Flèche gauche 1">
          <a:hlinkClick xmlns:r="http://schemas.openxmlformats.org/officeDocument/2006/relationships" r:id="rId1"/>
          <a:extLst>
            <a:ext uri="{FF2B5EF4-FFF2-40B4-BE49-F238E27FC236}">
              <a16:creationId xmlns:a16="http://schemas.microsoft.com/office/drawing/2014/main" id="{00000000-0008-0000-2000-00008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87" name="Flèche gauche 1">
          <a:hlinkClick xmlns:r="http://schemas.openxmlformats.org/officeDocument/2006/relationships" r:id="rId1"/>
          <a:extLst>
            <a:ext uri="{FF2B5EF4-FFF2-40B4-BE49-F238E27FC236}">
              <a16:creationId xmlns:a16="http://schemas.microsoft.com/office/drawing/2014/main" id="{00000000-0008-0000-2000-00008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88" name="Flèche gauche 1">
          <a:hlinkClick xmlns:r="http://schemas.openxmlformats.org/officeDocument/2006/relationships" r:id="rId1"/>
          <a:extLst>
            <a:ext uri="{FF2B5EF4-FFF2-40B4-BE49-F238E27FC236}">
              <a16:creationId xmlns:a16="http://schemas.microsoft.com/office/drawing/2014/main" id="{00000000-0008-0000-2000-00008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89" name="Flèche gauche 1">
          <a:hlinkClick xmlns:r="http://schemas.openxmlformats.org/officeDocument/2006/relationships" r:id="rId2"/>
          <a:extLst>
            <a:ext uri="{FF2B5EF4-FFF2-40B4-BE49-F238E27FC236}">
              <a16:creationId xmlns:a16="http://schemas.microsoft.com/office/drawing/2014/main" id="{00000000-0008-0000-2000-00008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90" name="Flèche gauche 1">
          <a:hlinkClick xmlns:r="http://schemas.openxmlformats.org/officeDocument/2006/relationships" r:id="rId1"/>
          <a:extLst>
            <a:ext uri="{FF2B5EF4-FFF2-40B4-BE49-F238E27FC236}">
              <a16:creationId xmlns:a16="http://schemas.microsoft.com/office/drawing/2014/main" id="{00000000-0008-0000-2000-00008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91" name="Flèche gauche 1">
          <a:hlinkClick xmlns:r="http://schemas.openxmlformats.org/officeDocument/2006/relationships" r:id="rId1"/>
          <a:extLst>
            <a:ext uri="{FF2B5EF4-FFF2-40B4-BE49-F238E27FC236}">
              <a16:creationId xmlns:a16="http://schemas.microsoft.com/office/drawing/2014/main" id="{00000000-0008-0000-2000-00008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92" name="Flèche gauche 1">
          <a:hlinkClick xmlns:r="http://schemas.openxmlformats.org/officeDocument/2006/relationships" r:id="rId1"/>
          <a:extLst>
            <a:ext uri="{FF2B5EF4-FFF2-40B4-BE49-F238E27FC236}">
              <a16:creationId xmlns:a16="http://schemas.microsoft.com/office/drawing/2014/main" id="{00000000-0008-0000-2000-00008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93" name="Flèche gauche 1">
          <a:hlinkClick xmlns:r="http://schemas.openxmlformats.org/officeDocument/2006/relationships" r:id="rId2"/>
          <a:extLst>
            <a:ext uri="{FF2B5EF4-FFF2-40B4-BE49-F238E27FC236}">
              <a16:creationId xmlns:a16="http://schemas.microsoft.com/office/drawing/2014/main" id="{00000000-0008-0000-2000-00008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94" name="Flèche gauche 1">
          <a:hlinkClick xmlns:r="http://schemas.openxmlformats.org/officeDocument/2006/relationships" r:id="rId1"/>
          <a:extLst>
            <a:ext uri="{FF2B5EF4-FFF2-40B4-BE49-F238E27FC236}">
              <a16:creationId xmlns:a16="http://schemas.microsoft.com/office/drawing/2014/main" id="{00000000-0008-0000-2000-00008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95" name="Flèche gauche 1">
          <a:hlinkClick xmlns:r="http://schemas.openxmlformats.org/officeDocument/2006/relationships" r:id="rId1"/>
          <a:extLst>
            <a:ext uri="{FF2B5EF4-FFF2-40B4-BE49-F238E27FC236}">
              <a16:creationId xmlns:a16="http://schemas.microsoft.com/office/drawing/2014/main" id="{00000000-0008-0000-2000-00008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96" name="Flèche gauche 1">
          <a:hlinkClick xmlns:r="http://schemas.openxmlformats.org/officeDocument/2006/relationships" r:id="rId1"/>
          <a:extLst>
            <a:ext uri="{FF2B5EF4-FFF2-40B4-BE49-F238E27FC236}">
              <a16:creationId xmlns:a16="http://schemas.microsoft.com/office/drawing/2014/main" id="{00000000-0008-0000-2000-00008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97" name="Flèche gauche 1">
          <a:hlinkClick xmlns:r="http://schemas.openxmlformats.org/officeDocument/2006/relationships" r:id="rId2"/>
          <a:extLst>
            <a:ext uri="{FF2B5EF4-FFF2-40B4-BE49-F238E27FC236}">
              <a16:creationId xmlns:a16="http://schemas.microsoft.com/office/drawing/2014/main" id="{00000000-0008-0000-2000-00008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98" name="Flèche gauche 1">
          <a:hlinkClick xmlns:r="http://schemas.openxmlformats.org/officeDocument/2006/relationships" r:id="rId1"/>
          <a:extLst>
            <a:ext uri="{FF2B5EF4-FFF2-40B4-BE49-F238E27FC236}">
              <a16:creationId xmlns:a16="http://schemas.microsoft.com/office/drawing/2014/main" id="{00000000-0008-0000-2000-00008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99" name="Flèche gauche 1">
          <a:hlinkClick xmlns:r="http://schemas.openxmlformats.org/officeDocument/2006/relationships" r:id="rId1"/>
          <a:extLst>
            <a:ext uri="{FF2B5EF4-FFF2-40B4-BE49-F238E27FC236}">
              <a16:creationId xmlns:a16="http://schemas.microsoft.com/office/drawing/2014/main" id="{00000000-0008-0000-2000-00008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00" name="Flèche gauche 1">
          <a:hlinkClick xmlns:r="http://schemas.openxmlformats.org/officeDocument/2006/relationships" r:id="rId1"/>
          <a:extLst>
            <a:ext uri="{FF2B5EF4-FFF2-40B4-BE49-F238E27FC236}">
              <a16:creationId xmlns:a16="http://schemas.microsoft.com/office/drawing/2014/main" id="{00000000-0008-0000-2000-00009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01" name="Flèche gauche 1">
          <a:hlinkClick xmlns:r="http://schemas.openxmlformats.org/officeDocument/2006/relationships" r:id="rId2"/>
          <a:extLst>
            <a:ext uri="{FF2B5EF4-FFF2-40B4-BE49-F238E27FC236}">
              <a16:creationId xmlns:a16="http://schemas.microsoft.com/office/drawing/2014/main" id="{00000000-0008-0000-2000-00009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02" name="Flèche gauche 1">
          <a:hlinkClick xmlns:r="http://schemas.openxmlformats.org/officeDocument/2006/relationships" r:id="rId1"/>
          <a:extLst>
            <a:ext uri="{FF2B5EF4-FFF2-40B4-BE49-F238E27FC236}">
              <a16:creationId xmlns:a16="http://schemas.microsoft.com/office/drawing/2014/main" id="{00000000-0008-0000-2000-00009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03" name="Flèche gauche 1">
          <a:hlinkClick xmlns:r="http://schemas.openxmlformats.org/officeDocument/2006/relationships" r:id="rId1"/>
          <a:extLst>
            <a:ext uri="{FF2B5EF4-FFF2-40B4-BE49-F238E27FC236}">
              <a16:creationId xmlns:a16="http://schemas.microsoft.com/office/drawing/2014/main" id="{00000000-0008-0000-2000-00009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04" name="Flèche gauche 1">
          <a:hlinkClick xmlns:r="http://schemas.openxmlformats.org/officeDocument/2006/relationships" r:id="rId1"/>
          <a:extLst>
            <a:ext uri="{FF2B5EF4-FFF2-40B4-BE49-F238E27FC236}">
              <a16:creationId xmlns:a16="http://schemas.microsoft.com/office/drawing/2014/main" id="{00000000-0008-0000-2000-00009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05" name="Flèche gauche 1">
          <a:hlinkClick xmlns:r="http://schemas.openxmlformats.org/officeDocument/2006/relationships" r:id="rId2"/>
          <a:extLst>
            <a:ext uri="{FF2B5EF4-FFF2-40B4-BE49-F238E27FC236}">
              <a16:creationId xmlns:a16="http://schemas.microsoft.com/office/drawing/2014/main" id="{00000000-0008-0000-2000-00009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06" name="Flèche gauche 1">
          <a:hlinkClick xmlns:r="http://schemas.openxmlformats.org/officeDocument/2006/relationships" r:id="rId1"/>
          <a:extLst>
            <a:ext uri="{FF2B5EF4-FFF2-40B4-BE49-F238E27FC236}">
              <a16:creationId xmlns:a16="http://schemas.microsoft.com/office/drawing/2014/main" id="{00000000-0008-0000-2000-00009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07" name="Flèche gauche 1">
          <a:hlinkClick xmlns:r="http://schemas.openxmlformats.org/officeDocument/2006/relationships" r:id="rId1"/>
          <a:extLst>
            <a:ext uri="{FF2B5EF4-FFF2-40B4-BE49-F238E27FC236}">
              <a16:creationId xmlns:a16="http://schemas.microsoft.com/office/drawing/2014/main" id="{00000000-0008-0000-2000-00009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08" name="Flèche gauche 1">
          <a:hlinkClick xmlns:r="http://schemas.openxmlformats.org/officeDocument/2006/relationships" r:id="rId1"/>
          <a:extLst>
            <a:ext uri="{FF2B5EF4-FFF2-40B4-BE49-F238E27FC236}">
              <a16:creationId xmlns:a16="http://schemas.microsoft.com/office/drawing/2014/main" id="{00000000-0008-0000-2000-00009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09" name="Flèche gauche 1">
          <a:hlinkClick xmlns:r="http://schemas.openxmlformats.org/officeDocument/2006/relationships" r:id="rId2"/>
          <a:extLst>
            <a:ext uri="{FF2B5EF4-FFF2-40B4-BE49-F238E27FC236}">
              <a16:creationId xmlns:a16="http://schemas.microsoft.com/office/drawing/2014/main" id="{00000000-0008-0000-2000-00009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10" name="Flèche gauche 1">
          <a:hlinkClick xmlns:r="http://schemas.openxmlformats.org/officeDocument/2006/relationships" r:id="rId1"/>
          <a:extLst>
            <a:ext uri="{FF2B5EF4-FFF2-40B4-BE49-F238E27FC236}">
              <a16:creationId xmlns:a16="http://schemas.microsoft.com/office/drawing/2014/main" id="{00000000-0008-0000-2000-00009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11" name="Flèche gauche 1">
          <a:hlinkClick xmlns:r="http://schemas.openxmlformats.org/officeDocument/2006/relationships" r:id="rId1"/>
          <a:extLst>
            <a:ext uri="{FF2B5EF4-FFF2-40B4-BE49-F238E27FC236}">
              <a16:creationId xmlns:a16="http://schemas.microsoft.com/office/drawing/2014/main" id="{00000000-0008-0000-2000-00009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12" name="Flèche gauche 1">
          <a:hlinkClick xmlns:r="http://schemas.openxmlformats.org/officeDocument/2006/relationships" r:id="rId1"/>
          <a:extLst>
            <a:ext uri="{FF2B5EF4-FFF2-40B4-BE49-F238E27FC236}">
              <a16:creationId xmlns:a16="http://schemas.microsoft.com/office/drawing/2014/main" id="{00000000-0008-0000-2000-00009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13" name="Flèche gauche 1">
          <a:hlinkClick xmlns:r="http://schemas.openxmlformats.org/officeDocument/2006/relationships" r:id="rId2"/>
          <a:extLst>
            <a:ext uri="{FF2B5EF4-FFF2-40B4-BE49-F238E27FC236}">
              <a16:creationId xmlns:a16="http://schemas.microsoft.com/office/drawing/2014/main" id="{00000000-0008-0000-2000-00009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14" name="Flèche gauche 1">
          <a:hlinkClick xmlns:r="http://schemas.openxmlformats.org/officeDocument/2006/relationships" r:id="rId1"/>
          <a:extLst>
            <a:ext uri="{FF2B5EF4-FFF2-40B4-BE49-F238E27FC236}">
              <a16:creationId xmlns:a16="http://schemas.microsoft.com/office/drawing/2014/main" id="{00000000-0008-0000-2000-00009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15" name="Flèche gauche 1">
          <a:hlinkClick xmlns:r="http://schemas.openxmlformats.org/officeDocument/2006/relationships" r:id="rId1"/>
          <a:extLst>
            <a:ext uri="{FF2B5EF4-FFF2-40B4-BE49-F238E27FC236}">
              <a16:creationId xmlns:a16="http://schemas.microsoft.com/office/drawing/2014/main" id="{00000000-0008-0000-2000-00009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16" name="Flèche gauche 1">
          <a:hlinkClick xmlns:r="http://schemas.openxmlformats.org/officeDocument/2006/relationships" r:id="rId1"/>
          <a:extLst>
            <a:ext uri="{FF2B5EF4-FFF2-40B4-BE49-F238E27FC236}">
              <a16:creationId xmlns:a16="http://schemas.microsoft.com/office/drawing/2014/main" id="{00000000-0008-0000-2000-0000A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17" name="Flèche gauche 1">
          <a:hlinkClick xmlns:r="http://schemas.openxmlformats.org/officeDocument/2006/relationships" r:id="rId2"/>
          <a:extLst>
            <a:ext uri="{FF2B5EF4-FFF2-40B4-BE49-F238E27FC236}">
              <a16:creationId xmlns:a16="http://schemas.microsoft.com/office/drawing/2014/main" id="{00000000-0008-0000-2000-0000A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18" name="Flèche gauche 1">
          <a:hlinkClick xmlns:r="http://schemas.openxmlformats.org/officeDocument/2006/relationships" r:id="rId1"/>
          <a:extLst>
            <a:ext uri="{FF2B5EF4-FFF2-40B4-BE49-F238E27FC236}">
              <a16:creationId xmlns:a16="http://schemas.microsoft.com/office/drawing/2014/main" id="{00000000-0008-0000-2000-0000A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19" name="Flèche gauche 1">
          <a:hlinkClick xmlns:r="http://schemas.openxmlformats.org/officeDocument/2006/relationships" r:id="rId1"/>
          <a:extLst>
            <a:ext uri="{FF2B5EF4-FFF2-40B4-BE49-F238E27FC236}">
              <a16:creationId xmlns:a16="http://schemas.microsoft.com/office/drawing/2014/main" id="{00000000-0008-0000-2000-0000A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20" name="Flèche gauche 1">
          <a:hlinkClick xmlns:r="http://schemas.openxmlformats.org/officeDocument/2006/relationships" r:id="rId1"/>
          <a:extLst>
            <a:ext uri="{FF2B5EF4-FFF2-40B4-BE49-F238E27FC236}">
              <a16:creationId xmlns:a16="http://schemas.microsoft.com/office/drawing/2014/main" id="{00000000-0008-0000-2000-0000A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21" name="Flèche gauche 1">
          <a:hlinkClick xmlns:r="http://schemas.openxmlformats.org/officeDocument/2006/relationships" r:id="rId2"/>
          <a:extLst>
            <a:ext uri="{FF2B5EF4-FFF2-40B4-BE49-F238E27FC236}">
              <a16:creationId xmlns:a16="http://schemas.microsoft.com/office/drawing/2014/main" id="{00000000-0008-0000-2000-0000A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22" name="Flèche gauche 1">
          <a:hlinkClick xmlns:r="http://schemas.openxmlformats.org/officeDocument/2006/relationships" r:id="rId1"/>
          <a:extLst>
            <a:ext uri="{FF2B5EF4-FFF2-40B4-BE49-F238E27FC236}">
              <a16:creationId xmlns:a16="http://schemas.microsoft.com/office/drawing/2014/main" id="{00000000-0008-0000-2000-0000A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23" name="Flèche gauche 1">
          <a:hlinkClick xmlns:r="http://schemas.openxmlformats.org/officeDocument/2006/relationships" r:id="rId1"/>
          <a:extLst>
            <a:ext uri="{FF2B5EF4-FFF2-40B4-BE49-F238E27FC236}">
              <a16:creationId xmlns:a16="http://schemas.microsoft.com/office/drawing/2014/main" id="{00000000-0008-0000-2000-0000A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24" name="Flèche gauche 1">
          <a:hlinkClick xmlns:r="http://schemas.openxmlformats.org/officeDocument/2006/relationships" r:id="rId1"/>
          <a:extLst>
            <a:ext uri="{FF2B5EF4-FFF2-40B4-BE49-F238E27FC236}">
              <a16:creationId xmlns:a16="http://schemas.microsoft.com/office/drawing/2014/main" id="{00000000-0008-0000-2000-0000A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25" name="Flèche gauche 1">
          <a:hlinkClick xmlns:r="http://schemas.openxmlformats.org/officeDocument/2006/relationships" r:id="rId2"/>
          <a:extLst>
            <a:ext uri="{FF2B5EF4-FFF2-40B4-BE49-F238E27FC236}">
              <a16:creationId xmlns:a16="http://schemas.microsoft.com/office/drawing/2014/main" id="{00000000-0008-0000-2000-0000A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26" name="Flèche gauche 1">
          <a:hlinkClick xmlns:r="http://schemas.openxmlformats.org/officeDocument/2006/relationships" r:id="rId1"/>
          <a:extLst>
            <a:ext uri="{FF2B5EF4-FFF2-40B4-BE49-F238E27FC236}">
              <a16:creationId xmlns:a16="http://schemas.microsoft.com/office/drawing/2014/main" id="{00000000-0008-0000-2000-0000A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27" name="Flèche gauche 1">
          <a:hlinkClick xmlns:r="http://schemas.openxmlformats.org/officeDocument/2006/relationships" r:id="rId1"/>
          <a:extLst>
            <a:ext uri="{FF2B5EF4-FFF2-40B4-BE49-F238E27FC236}">
              <a16:creationId xmlns:a16="http://schemas.microsoft.com/office/drawing/2014/main" id="{00000000-0008-0000-2000-0000A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28" name="Flèche gauche 1">
          <a:hlinkClick xmlns:r="http://schemas.openxmlformats.org/officeDocument/2006/relationships" r:id="rId1"/>
          <a:extLst>
            <a:ext uri="{FF2B5EF4-FFF2-40B4-BE49-F238E27FC236}">
              <a16:creationId xmlns:a16="http://schemas.microsoft.com/office/drawing/2014/main" id="{00000000-0008-0000-2000-0000A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29" name="Flèche gauche 1">
          <a:hlinkClick xmlns:r="http://schemas.openxmlformats.org/officeDocument/2006/relationships" r:id="rId2"/>
          <a:extLst>
            <a:ext uri="{FF2B5EF4-FFF2-40B4-BE49-F238E27FC236}">
              <a16:creationId xmlns:a16="http://schemas.microsoft.com/office/drawing/2014/main" id="{00000000-0008-0000-2000-0000A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30" name="Flèche gauche 1">
          <a:hlinkClick xmlns:r="http://schemas.openxmlformats.org/officeDocument/2006/relationships" r:id="rId1"/>
          <a:extLst>
            <a:ext uri="{FF2B5EF4-FFF2-40B4-BE49-F238E27FC236}">
              <a16:creationId xmlns:a16="http://schemas.microsoft.com/office/drawing/2014/main" id="{00000000-0008-0000-2000-0000A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31" name="Flèche gauche 1">
          <a:hlinkClick xmlns:r="http://schemas.openxmlformats.org/officeDocument/2006/relationships" r:id="rId1"/>
          <a:extLst>
            <a:ext uri="{FF2B5EF4-FFF2-40B4-BE49-F238E27FC236}">
              <a16:creationId xmlns:a16="http://schemas.microsoft.com/office/drawing/2014/main" id="{00000000-0008-0000-2000-0000A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32" name="Flèche gauche 1">
          <a:hlinkClick xmlns:r="http://schemas.openxmlformats.org/officeDocument/2006/relationships" r:id="rId1"/>
          <a:extLst>
            <a:ext uri="{FF2B5EF4-FFF2-40B4-BE49-F238E27FC236}">
              <a16:creationId xmlns:a16="http://schemas.microsoft.com/office/drawing/2014/main" id="{00000000-0008-0000-2000-0000B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33" name="Flèche gauche 1">
          <a:hlinkClick xmlns:r="http://schemas.openxmlformats.org/officeDocument/2006/relationships" r:id="rId2"/>
          <a:extLst>
            <a:ext uri="{FF2B5EF4-FFF2-40B4-BE49-F238E27FC236}">
              <a16:creationId xmlns:a16="http://schemas.microsoft.com/office/drawing/2014/main" id="{00000000-0008-0000-2000-0000B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34" name="Flèche gauche 1">
          <a:hlinkClick xmlns:r="http://schemas.openxmlformats.org/officeDocument/2006/relationships" r:id="rId1"/>
          <a:extLst>
            <a:ext uri="{FF2B5EF4-FFF2-40B4-BE49-F238E27FC236}">
              <a16:creationId xmlns:a16="http://schemas.microsoft.com/office/drawing/2014/main" id="{00000000-0008-0000-2000-0000B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35" name="Flèche gauche 1">
          <a:hlinkClick xmlns:r="http://schemas.openxmlformats.org/officeDocument/2006/relationships" r:id="rId1"/>
          <a:extLst>
            <a:ext uri="{FF2B5EF4-FFF2-40B4-BE49-F238E27FC236}">
              <a16:creationId xmlns:a16="http://schemas.microsoft.com/office/drawing/2014/main" id="{00000000-0008-0000-2000-0000B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36" name="Flèche gauche 1">
          <a:hlinkClick xmlns:r="http://schemas.openxmlformats.org/officeDocument/2006/relationships" r:id="rId1"/>
          <a:extLst>
            <a:ext uri="{FF2B5EF4-FFF2-40B4-BE49-F238E27FC236}">
              <a16:creationId xmlns:a16="http://schemas.microsoft.com/office/drawing/2014/main" id="{00000000-0008-0000-2000-0000B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37" name="Flèche gauche 1">
          <a:hlinkClick xmlns:r="http://schemas.openxmlformats.org/officeDocument/2006/relationships" r:id="rId2"/>
          <a:extLst>
            <a:ext uri="{FF2B5EF4-FFF2-40B4-BE49-F238E27FC236}">
              <a16:creationId xmlns:a16="http://schemas.microsoft.com/office/drawing/2014/main" id="{00000000-0008-0000-2000-0000B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38" name="Flèche gauche 1">
          <a:hlinkClick xmlns:r="http://schemas.openxmlformats.org/officeDocument/2006/relationships" r:id="rId1"/>
          <a:extLst>
            <a:ext uri="{FF2B5EF4-FFF2-40B4-BE49-F238E27FC236}">
              <a16:creationId xmlns:a16="http://schemas.microsoft.com/office/drawing/2014/main" id="{00000000-0008-0000-2000-0000B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39" name="Flèche gauche 1">
          <a:hlinkClick xmlns:r="http://schemas.openxmlformats.org/officeDocument/2006/relationships" r:id="rId1"/>
          <a:extLst>
            <a:ext uri="{FF2B5EF4-FFF2-40B4-BE49-F238E27FC236}">
              <a16:creationId xmlns:a16="http://schemas.microsoft.com/office/drawing/2014/main" id="{00000000-0008-0000-2000-0000B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40" name="Flèche gauche 1">
          <a:hlinkClick xmlns:r="http://schemas.openxmlformats.org/officeDocument/2006/relationships" r:id="rId1"/>
          <a:extLst>
            <a:ext uri="{FF2B5EF4-FFF2-40B4-BE49-F238E27FC236}">
              <a16:creationId xmlns:a16="http://schemas.microsoft.com/office/drawing/2014/main" id="{00000000-0008-0000-2000-0000B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41" name="Flèche gauche 1">
          <a:hlinkClick xmlns:r="http://schemas.openxmlformats.org/officeDocument/2006/relationships" r:id="rId2"/>
          <a:extLst>
            <a:ext uri="{FF2B5EF4-FFF2-40B4-BE49-F238E27FC236}">
              <a16:creationId xmlns:a16="http://schemas.microsoft.com/office/drawing/2014/main" id="{00000000-0008-0000-2000-0000B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42" name="Flèche gauche 1">
          <a:hlinkClick xmlns:r="http://schemas.openxmlformats.org/officeDocument/2006/relationships" r:id="rId1"/>
          <a:extLst>
            <a:ext uri="{FF2B5EF4-FFF2-40B4-BE49-F238E27FC236}">
              <a16:creationId xmlns:a16="http://schemas.microsoft.com/office/drawing/2014/main" id="{00000000-0008-0000-2000-0000B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43" name="Flèche gauche 1">
          <a:hlinkClick xmlns:r="http://schemas.openxmlformats.org/officeDocument/2006/relationships" r:id="rId1"/>
          <a:extLst>
            <a:ext uri="{FF2B5EF4-FFF2-40B4-BE49-F238E27FC236}">
              <a16:creationId xmlns:a16="http://schemas.microsoft.com/office/drawing/2014/main" id="{00000000-0008-0000-2000-0000B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44" name="Flèche gauche 1">
          <a:hlinkClick xmlns:r="http://schemas.openxmlformats.org/officeDocument/2006/relationships" r:id="rId1"/>
          <a:extLst>
            <a:ext uri="{FF2B5EF4-FFF2-40B4-BE49-F238E27FC236}">
              <a16:creationId xmlns:a16="http://schemas.microsoft.com/office/drawing/2014/main" id="{00000000-0008-0000-2000-0000B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45" name="Flèche gauche 1">
          <a:hlinkClick xmlns:r="http://schemas.openxmlformats.org/officeDocument/2006/relationships" r:id="rId2"/>
          <a:extLst>
            <a:ext uri="{FF2B5EF4-FFF2-40B4-BE49-F238E27FC236}">
              <a16:creationId xmlns:a16="http://schemas.microsoft.com/office/drawing/2014/main" id="{00000000-0008-0000-2000-0000B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46" name="Flèche gauche 1">
          <a:hlinkClick xmlns:r="http://schemas.openxmlformats.org/officeDocument/2006/relationships" r:id="rId1"/>
          <a:extLst>
            <a:ext uri="{FF2B5EF4-FFF2-40B4-BE49-F238E27FC236}">
              <a16:creationId xmlns:a16="http://schemas.microsoft.com/office/drawing/2014/main" id="{00000000-0008-0000-2000-0000B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47" name="Flèche gauche 1">
          <a:hlinkClick xmlns:r="http://schemas.openxmlformats.org/officeDocument/2006/relationships" r:id="rId1"/>
          <a:extLst>
            <a:ext uri="{FF2B5EF4-FFF2-40B4-BE49-F238E27FC236}">
              <a16:creationId xmlns:a16="http://schemas.microsoft.com/office/drawing/2014/main" id="{00000000-0008-0000-2000-0000B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48" name="Flèche gauche 1">
          <a:hlinkClick xmlns:r="http://schemas.openxmlformats.org/officeDocument/2006/relationships" r:id="rId1"/>
          <a:extLst>
            <a:ext uri="{FF2B5EF4-FFF2-40B4-BE49-F238E27FC236}">
              <a16:creationId xmlns:a16="http://schemas.microsoft.com/office/drawing/2014/main" id="{00000000-0008-0000-2000-0000C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49" name="Flèche gauche 1">
          <a:hlinkClick xmlns:r="http://schemas.openxmlformats.org/officeDocument/2006/relationships" r:id="rId2"/>
          <a:extLst>
            <a:ext uri="{FF2B5EF4-FFF2-40B4-BE49-F238E27FC236}">
              <a16:creationId xmlns:a16="http://schemas.microsoft.com/office/drawing/2014/main" id="{00000000-0008-0000-2000-0000C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50" name="Flèche gauche 1">
          <a:hlinkClick xmlns:r="http://schemas.openxmlformats.org/officeDocument/2006/relationships" r:id="rId1"/>
          <a:extLst>
            <a:ext uri="{FF2B5EF4-FFF2-40B4-BE49-F238E27FC236}">
              <a16:creationId xmlns:a16="http://schemas.microsoft.com/office/drawing/2014/main" id="{00000000-0008-0000-2000-0000C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51" name="Flèche gauche 1">
          <a:hlinkClick xmlns:r="http://schemas.openxmlformats.org/officeDocument/2006/relationships" r:id="rId1"/>
          <a:extLst>
            <a:ext uri="{FF2B5EF4-FFF2-40B4-BE49-F238E27FC236}">
              <a16:creationId xmlns:a16="http://schemas.microsoft.com/office/drawing/2014/main" id="{00000000-0008-0000-2000-0000C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52" name="Flèche gauche 1">
          <a:hlinkClick xmlns:r="http://schemas.openxmlformats.org/officeDocument/2006/relationships" r:id="rId1"/>
          <a:extLst>
            <a:ext uri="{FF2B5EF4-FFF2-40B4-BE49-F238E27FC236}">
              <a16:creationId xmlns:a16="http://schemas.microsoft.com/office/drawing/2014/main" id="{00000000-0008-0000-2000-0000C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53" name="Flèche gauche 1">
          <a:hlinkClick xmlns:r="http://schemas.openxmlformats.org/officeDocument/2006/relationships" r:id="rId2"/>
          <a:extLst>
            <a:ext uri="{FF2B5EF4-FFF2-40B4-BE49-F238E27FC236}">
              <a16:creationId xmlns:a16="http://schemas.microsoft.com/office/drawing/2014/main" id="{00000000-0008-0000-2000-0000C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54" name="Flèche gauche 1">
          <a:hlinkClick xmlns:r="http://schemas.openxmlformats.org/officeDocument/2006/relationships" r:id="rId1"/>
          <a:extLst>
            <a:ext uri="{FF2B5EF4-FFF2-40B4-BE49-F238E27FC236}">
              <a16:creationId xmlns:a16="http://schemas.microsoft.com/office/drawing/2014/main" id="{00000000-0008-0000-2000-0000C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55" name="Flèche gauche 1">
          <a:hlinkClick xmlns:r="http://schemas.openxmlformats.org/officeDocument/2006/relationships" r:id="rId1"/>
          <a:extLst>
            <a:ext uri="{FF2B5EF4-FFF2-40B4-BE49-F238E27FC236}">
              <a16:creationId xmlns:a16="http://schemas.microsoft.com/office/drawing/2014/main" id="{00000000-0008-0000-2000-0000C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56" name="Flèche gauche 1">
          <a:hlinkClick xmlns:r="http://schemas.openxmlformats.org/officeDocument/2006/relationships" r:id="rId1"/>
          <a:extLst>
            <a:ext uri="{FF2B5EF4-FFF2-40B4-BE49-F238E27FC236}">
              <a16:creationId xmlns:a16="http://schemas.microsoft.com/office/drawing/2014/main" id="{00000000-0008-0000-2000-0000C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57" name="Flèche gauche 1">
          <a:hlinkClick xmlns:r="http://schemas.openxmlformats.org/officeDocument/2006/relationships" r:id="rId2"/>
          <a:extLst>
            <a:ext uri="{FF2B5EF4-FFF2-40B4-BE49-F238E27FC236}">
              <a16:creationId xmlns:a16="http://schemas.microsoft.com/office/drawing/2014/main" id="{00000000-0008-0000-2000-0000C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58" name="Flèche gauche 1">
          <a:hlinkClick xmlns:r="http://schemas.openxmlformats.org/officeDocument/2006/relationships" r:id="rId1"/>
          <a:extLst>
            <a:ext uri="{FF2B5EF4-FFF2-40B4-BE49-F238E27FC236}">
              <a16:creationId xmlns:a16="http://schemas.microsoft.com/office/drawing/2014/main" id="{00000000-0008-0000-2000-0000C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59" name="Flèche gauche 1">
          <a:hlinkClick xmlns:r="http://schemas.openxmlformats.org/officeDocument/2006/relationships" r:id="rId1"/>
          <a:extLst>
            <a:ext uri="{FF2B5EF4-FFF2-40B4-BE49-F238E27FC236}">
              <a16:creationId xmlns:a16="http://schemas.microsoft.com/office/drawing/2014/main" id="{00000000-0008-0000-2000-0000C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60" name="Flèche gauche 1">
          <a:hlinkClick xmlns:r="http://schemas.openxmlformats.org/officeDocument/2006/relationships" r:id="rId1"/>
          <a:extLst>
            <a:ext uri="{FF2B5EF4-FFF2-40B4-BE49-F238E27FC236}">
              <a16:creationId xmlns:a16="http://schemas.microsoft.com/office/drawing/2014/main" id="{00000000-0008-0000-2000-0000C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61" name="Flèche gauche 1">
          <a:hlinkClick xmlns:r="http://schemas.openxmlformats.org/officeDocument/2006/relationships" r:id="rId2"/>
          <a:extLst>
            <a:ext uri="{FF2B5EF4-FFF2-40B4-BE49-F238E27FC236}">
              <a16:creationId xmlns:a16="http://schemas.microsoft.com/office/drawing/2014/main" id="{00000000-0008-0000-2000-0000C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62" name="Flèche gauche 1">
          <a:hlinkClick xmlns:r="http://schemas.openxmlformats.org/officeDocument/2006/relationships" r:id="rId1"/>
          <a:extLst>
            <a:ext uri="{FF2B5EF4-FFF2-40B4-BE49-F238E27FC236}">
              <a16:creationId xmlns:a16="http://schemas.microsoft.com/office/drawing/2014/main" id="{00000000-0008-0000-2000-0000C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63" name="Flèche gauche 1">
          <a:hlinkClick xmlns:r="http://schemas.openxmlformats.org/officeDocument/2006/relationships" r:id="rId1"/>
          <a:extLst>
            <a:ext uri="{FF2B5EF4-FFF2-40B4-BE49-F238E27FC236}">
              <a16:creationId xmlns:a16="http://schemas.microsoft.com/office/drawing/2014/main" id="{00000000-0008-0000-2000-0000C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64" name="Flèche gauche 1">
          <a:hlinkClick xmlns:r="http://schemas.openxmlformats.org/officeDocument/2006/relationships" r:id="rId1"/>
          <a:extLst>
            <a:ext uri="{FF2B5EF4-FFF2-40B4-BE49-F238E27FC236}">
              <a16:creationId xmlns:a16="http://schemas.microsoft.com/office/drawing/2014/main" id="{00000000-0008-0000-2000-0000D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65" name="Flèche gauche 1">
          <a:hlinkClick xmlns:r="http://schemas.openxmlformats.org/officeDocument/2006/relationships" r:id="rId2"/>
          <a:extLst>
            <a:ext uri="{FF2B5EF4-FFF2-40B4-BE49-F238E27FC236}">
              <a16:creationId xmlns:a16="http://schemas.microsoft.com/office/drawing/2014/main" id="{00000000-0008-0000-2000-0000D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66" name="Flèche gauche 1">
          <a:hlinkClick xmlns:r="http://schemas.openxmlformats.org/officeDocument/2006/relationships" r:id="rId1"/>
          <a:extLst>
            <a:ext uri="{FF2B5EF4-FFF2-40B4-BE49-F238E27FC236}">
              <a16:creationId xmlns:a16="http://schemas.microsoft.com/office/drawing/2014/main" id="{00000000-0008-0000-2000-0000D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67" name="Flèche gauche 1">
          <a:hlinkClick xmlns:r="http://schemas.openxmlformats.org/officeDocument/2006/relationships" r:id="rId1"/>
          <a:extLst>
            <a:ext uri="{FF2B5EF4-FFF2-40B4-BE49-F238E27FC236}">
              <a16:creationId xmlns:a16="http://schemas.microsoft.com/office/drawing/2014/main" id="{00000000-0008-0000-2000-0000D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68" name="Flèche gauche 1">
          <a:hlinkClick xmlns:r="http://schemas.openxmlformats.org/officeDocument/2006/relationships" r:id="rId1"/>
          <a:extLst>
            <a:ext uri="{FF2B5EF4-FFF2-40B4-BE49-F238E27FC236}">
              <a16:creationId xmlns:a16="http://schemas.microsoft.com/office/drawing/2014/main" id="{00000000-0008-0000-2000-0000D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69" name="Flèche gauche 1">
          <a:hlinkClick xmlns:r="http://schemas.openxmlformats.org/officeDocument/2006/relationships" r:id="rId2"/>
          <a:extLst>
            <a:ext uri="{FF2B5EF4-FFF2-40B4-BE49-F238E27FC236}">
              <a16:creationId xmlns:a16="http://schemas.microsoft.com/office/drawing/2014/main" id="{00000000-0008-0000-2000-0000D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70" name="Flèche gauche 1">
          <a:hlinkClick xmlns:r="http://schemas.openxmlformats.org/officeDocument/2006/relationships" r:id="rId1"/>
          <a:extLst>
            <a:ext uri="{FF2B5EF4-FFF2-40B4-BE49-F238E27FC236}">
              <a16:creationId xmlns:a16="http://schemas.microsoft.com/office/drawing/2014/main" id="{00000000-0008-0000-2000-0000D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71" name="Flèche gauche 1">
          <a:hlinkClick xmlns:r="http://schemas.openxmlformats.org/officeDocument/2006/relationships" r:id="rId1"/>
          <a:extLst>
            <a:ext uri="{FF2B5EF4-FFF2-40B4-BE49-F238E27FC236}">
              <a16:creationId xmlns:a16="http://schemas.microsoft.com/office/drawing/2014/main" id="{00000000-0008-0000-2000-0000D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72" name="Flèche gauche 1">
          <a:hlinkClick xmlns:r="http://schemas.openxmlformats.org/officeDocument/2006/relationships" r:id="rId1"/>
          <a:extLst>
            <a:ext uri="{FF2B5EF4-FFF2-40B4-BE49-F238E27FC236}">
              <a16:creationId xmlns:a16="http://schemas.microsoft.com/office/drawing/2014/main" id="{00000000-0008-0000-2000-0000D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73" name="Flèche gauche 1">
          <a:hlinkClick xmlns:r="http://schemas.openxmlformats.org/officeDocument/2006/relationships" r:id="rId2"/>
          <a:extLst>
            <a:ext uri="{FF2B5EF4-FFF2-40B4-BE49-F238E27FC236}">
              <a16:creationId xmlns:a16="http://schemas.microsoft.com/office/drawing/2014/main" id="{00000000-0008-0000-2000-0000D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74" name="Flèche gauche 1">
          <a:hlinkClick xmlns:r="http://schemas.openxmlformats.org/officeDocument/2006/relationships" r:id="rId1"/>
          <a:extLst>
            <a:ext uri="{FF2B5EF4-FFF2-40B4-BE49-F238E27FC236}">
              <a16:creationId xmlns:a16="http://schemas.microsoft.com/office/drawing/2014/main" id="{00000000-0008-0000-2000-0000D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75" name="Flèche gauche 1">
          <a:hlinkClick xmlns:r="http://schemas.openxmlformats.org/officeDocument/2006/relationships" r:id="rId1"/>
          <a:extLst>
            <a:ext uri="{FF2B5EF4-FFF2-40B4-BE49-F238E27FC236}">
              <a16:creationId xmlns:a16="http://schemas.microsoft.com/office/drawing/2014/main" id="{00000000-0008-0000-2000-0000D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76" name="Flèche gauche 1">
          <a:hlinkClick xmlns:r="http://schemas.openxmlformats.org/officeDocument/2006/relationships" r:id="rId1"/>
          <a:extLst>
            <a:ext uri="{FF2B5EF4-FFF2-40B4-BE49-F238E27FC236}">
              <a16:creationId xmlns:a16="http://schemas.microsoft.com/office/drawing/2014/main" id="{00000000-0008-0000-2000-0000D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77" name="Flèche gauche 1">
          <a:hlinkClick xmlns:r="http://schemas.openxmlformats.org/officeDocument/2006/relationships" r:id="rId2"/>
          <a:extLst>
            <a:ext uri="{FF2B5EF4-FFF2-40B4-BE49-F238E27FC236}">
              <a16:creationId xmlns:a16="http://schemas.microsoft.com/office/drawing/2014/main" id="{00000000-0008-0000-2000-0000D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78" name="Flèche gauche 1">
          <a:hlinkClick xmlns:r="http://schemas.openxmlformats.org/officeDocument/2006/relationships" r:id="rId1"/>
          <a:extLst>
            <a:ext uri="{FF2B5EF4-FFF2-40B4-BE49-F238E27FC236}">
              <a16:creationId xmlns:a16="http://schemas.microsoft.com/office/drawing/2014/main" id="{00000000-0008-0000-2000-0000D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79" name="Flèche gauche 1">
          <a:hlinkClick xmlns:r="http://schemas.openxmlformats.org/officeDocument/2006/relationships" r:id="rId1"/>
          <a:extLst>
            <a:ext uri="{FF2B5EF4-FFF2-40B4-BE49-F238E27FC236}">
              <a16:creationId xmlns:a16="http://schemas.microsoft.com/office/drawing/2014/main" id="{00000000-0008-0000-2000-0000D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80" name="Flèche gauche 1">
          <a:hlinkClick xmlns:r="http://schemas.openxmlformats.org/officeDocument/2006/relationships" r:id="rId1"/>
          <a:extLst>
            <a:ext uri="{FF2B5EF4-FFF2-40B4-BE49-F238E27FC236}">
              <a16:creationId xmlns:a16="http://schemas.microsoft.com/office/drawing/2014/main" id="{00000000-0008-0000-2000-0000E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81" name="Flèche gauche 1">
          <a:hlinkClick xmlns:r="http://schemas.openxmlformats.org/officeDocument/2006/relationships" r:id="rId2"/>
          <a:extLst>
            <a:ext uri="{FF2B5EF4-FFF2-40B4-BE49-F238E27FC236}">
              <a16:creationId xmlns:a16="http://schemas.microsoft.com/office/drawing/2014/main" id="{00000000-0008-0000-2000-0000E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82" name="Flèche gauche 1">
          <a:hlinkClick xmlns:r="http://schemas.openxmlformats.org/officeDocument/2006/relationships" r:id="rId1"/>
          <a:extLst>
            <a:ext uri="{FF2B5EF4-FFF2-40B4-BE49-F238E27FC236}">
              <a16:creationId xmlns:a16="http://schemas.microsoft.com/office/drawing/2014/main" id="{00000000-0008-0000-2000-0000E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83" name="Flèche gauche 1">
          <a:hlinkClick xmlns:r="http://schemas.openxmlformats.org/officeDocument/2006/relationships" r:id="rId1"/>
          <a:extLst>
            <a:ext uri="{FF2B5EF4-FFF2-40B4-BE49-F238E27FC236}">
              <a16:creationId xmlns:a16="http://schemas.microsoft.com/office/drawing/2014/main" id="{00000000-0008-0000-2000-0000E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84" name="Flèche gauche 1">
          <a:hlinkClick xmlns:r="http://schemas.openxmlformats.org/officeDocument/2006/relationships" r:id="rId1"/>
          <a:extLst>
            <a:ext uri="{FF2B5EF4-FFF2-40B4-BE49-F238E27FC236}">
              <a16:creationId xmlns:a16="http://schemas.microsoft.com/office/drawing/2014/main" id="{00000000-0008-0000-2000-0000E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85" name="Flèche gauche 1">
          <a:hlinkClick xmlns:r="http://schemas.openxmlformats.org/officeDocument/2006/relationships" r:id="rId2"/>
          <a:extLst>
            <a:ext uri="{FF2B5EF4-FFF2-40B4-BE49-F238E27FC236}">
              <a16:creationId xmlns:a16="http://schemas.microsoft.com/office/drawing/2014/main" id="{00000000-0008-0000-2000-0000E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86" name="Flèche gauche 1">
          <a:hlinkClick xmlns:r="http://schemas.openxmlformats.org/officeDocument/2006/relationships" r:id="rId1"/>
          <a:extLst>
            <a:ext uri="{FF2B5EF4-FFF2-40B4-BE49-F238E27FC236}">
              <a16:creationId xmlns:a16="http://schemas.microsoft.com/office/drawing/2014/main" id="{00000000-0008-0000-2000-0000E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87" name="Flèche gauche 1">
          <a:hlinkClick xmlns:r="http://schemas.openxmlformats.org/officeDocument/2006/relationships" r:id="rId1"/>
          <a:extLst>
            <a:ext uri="{FF2B5EF4-FFF2-40B4-BE49-F238E27FC236}">
              <a16:creationId xmlns:a16="http://schemas.microsoft.com/office/drawing/2014/main" id="{00000000-0008-0000-2000-0000E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88" name="Flèche gauche 1">
          <a:hlinkClick xmlns:r="http://schemas.openxmlformats.org/officeDocument/2006/relationships" r:id="rId1"/>
          <a:extLst>
            <a:ext uri="{FF2B5EF4-FFF2-40B4-BE49-F238E27FC236}">
              <a16:creationId xmlns:a16="http://schemas.microsoft.com/office/drawing/2014/main" id="{00000000-0008-0000-2000-0000E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89" name="Flèche gauche 1">
          <a:hlinkClick xmlns:r="http://schemas.openxmlformats.org/officeDocument/2006/relationships" r:id="rId2"/>
          <a:extLst>
            <a:ext uri="{FF2B5EF4-FFF2-40B4-BE49-F238E27FC236}">
              <a16:creationId xmlns:a16="http://schemas.microsoft.com/office/drawing/2014/main" id="{00000000-0008-0000-2000-0000E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90" name="Flèche gauche 1">
          <a:hlinkClick xmlns:r="http://schemas.openxmlformats.org/officeDocument/2006/relationships" r:id="rId1"/>
          <a:extLst>
            <a:ext uri="{FF2B5EF4-FFF2-40B4-BE49-F238E27FC236}">
              <a16:creationId xmlns:a16="http://schemas.microsoft.com/office/drawing/2014/main" id="{00000000-0008-0000-2000-0000E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91" name="Flèche gauche 1">
          <a:hlinkClick xmlns:r="http://schemas.openxmlformats.org/officeDocument/2006/relationships" r:id="rId1"/>
          <a:extLst>
            <a:ext uri="{FF2B5EF4-FFF2-40B4-BE49-F238E27FC236}">
              <a16:creationId xmlns:a16="http://schemas.microsoft.com/office/drawing/2014/main" id="{00000000-0008-0000-2000-0000E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92" name="Flèche gauche 1">
          <a:hlinkClick xmlns:r="http://schemas.openxmlformats.org/officeDocument/2006/relationships" r:id="rId1"/>
          <a:extLst>
            <a:ext uri="{FF2B5EF4-FFF2-40B4-BE49-F238E27FC236}">
              <a16:creationId xmlns:a16="http://schemas.microsoft.com/office/drawing/2014/main" id="{00000000-0008-0000-2000-0000E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93" name="Flèche gauche 1">
          <a:hlinkClick xmlns:r="http://schemas.openxmlformats.org/officeDocument/2006/relationships" r:id="rId2"/>
          <a:extLst>
            <a:ext uri="{FF2B5EF4-FFF2-40B4-BE49-F238E27FC236}">
              <a16:creationId xmlns:a16="http://schemas.microsoft.com/office/drawing/2014/main" id="{00000000-0008-0000-2000-0000E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94" name="Flèche gauche 1">
          <a:hlinkClick xmlns:r="http://schemas.openxmlformats.org/officeDocument/2006/relationships" r:id="rId1"/>
          <a:extLst>
            <a:ext uri="{FF2B5EF4-FFF2-40B4-BE49-F238E27FC236}">
              <a16:creationId xmlns:a16="http://schemas.microsoft.com/office/drawing/2014/main" id="{00000000-0008-0000-2000-0000E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95" name="Flèche gauche 1">
          <a:hlinkClick xmlns:r="http://schemas.openxmlformats.org/officeDocument/2006/relationships" r:id="rId1"/>
          <a:extLst>
            <a:ext uri="{FF2B5EF4-FFF2-40B4-BE49-F238E27FC236}">
              <a16:creationId xmlns:a16="http://schemas.microsoft.com/office/drawing/2014/main" id="{00000000-0008-0000-2000-0000E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96" name="Flèche gauche 1">
          <a:hlinkClick xmlns:r="http://schemas.openxmlformats.org/officeDocument/2006/relationships" r:id="rId1"/>
          <a:extLst>
            <a:ext uri="{FF2B5EF4-FFF2-40B4-BE49-F238E27FC236}">
              <a16:creationId xmlns:a16="http://schemas.microsoft.com/office/drawing/2014/main" id="{00000000-0008-0000-2000-0000F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97" name="Flèche gauche 1">
          <a:hlinkClick xmlns:r="http://schemas.openxmlformats.org/officeDocument/2006/relationships" r:id="rId2"/>
          <a:extLst>
            <a:ext uri="{FF2B5EF4-FFF2-40B4-BE49-F238E27FC236}">
              <a16:creationId xmlns:a16="http://schemas.microsoft.com/office/drawing/2014/main" id="{00000000-0008-0000-2000-0000F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98" name="Flèche gauche 1">
          <a:hlinkClick xmlns:r="http://schemas.openxmlformats.org/officeDocument/2006/relationships" r:id="rId1"/>
          <a:extLst>
            <a:ext uri="{FF2B5EF4-FFF2-40B4-BE49-F238E27FC236}">
              <a16:creationId xmlns:a16="http://schemas.microsoft.com/office/drawing/2014/main" id="{00000000-0008-0000-2000-0000F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99" name="Flèche gauche 1">
          <a:hlinkClick xmlns:r="http://schemas.openxmlformats.org/officeDocument/2006/relationships" r:id="rId1"/>
          <a:extLst>
            <a:ext uri="{FF2B5EF4-FFF2-40B4-BE49-F238E27FC236}">
              <a16:creationId xmlns:a16="http://schemas.microsoft.com/office/drawing/2014/main" id="{00000000-0008-0000-2000-0000F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00" name="Flèche gauche 1">
          <a:hlinkClick xmlns:r="http://schemas.openxmlformats.org/officeDocument/2006/relationships" r:id="rId1"/>
          <a:extLst>
            <a:ext uri="{FF2B5EF4-FFF2-40B4-BE49-F238E27FC236}">
              <a16:creationId xmlns:a16="http://schemas.microsoft.com/office/drawing/2014/main" id="{00000000-0008-0000-2000-0000F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01" name="Flèche gauche 1">
          <a:hlinkClick xmlns:r="http://schemas.openxmlformats.org/officeDocument/2006/relationships" r:id="rId2"/>
          <a:extLst>
            <a:ext uri="{FF2B5EF4-FFF2-40B4-BE49-F238E27FC236}">
              <a16:creationId xmlns:a16="http://schemas.microsoft.com/office/drawing/2014/main" id="{00000000-0008-0000-2000-0000F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02" name="Flèche gauche 1">
          <a:hlinkClick xmlns:r="http://schemas.openxmlformats.org/officeDocument/2006/relationships" r:id="rId1"/>
          <a:extLst>
            <a:ext uri="{FF2B5EF4-FFF2-40B4-BE49-F238E27FC236}">
              <a16:creationId xmlns:a16="http://schemas.microsoft.com/office/drawing/2014/main" id="{00000000-0008-0000-2000-0000F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03" name="Flèche gauche 1">
          <a:hlinkClick xmlns:r="http://schemas.openxmlformats.org/officeDocument/2006/relationships" r:id="rId1"/>
          <a:extLst>
            <a:ext uri="{FF2B5EF4-FFF2-40B4-BE49-F238E27FC236}">
              <a16:creationId xmlns:a16="http://schemas.microsoft.com/office/drawing/2014/main" id="{00000000-0008-0000-2000-0000F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04" name="Flèche gauche 1">
          <a:hlinkClick xmlns:r="http://schemas.openxmlformats.org/officeDocument/2006/relationships" r:id="rId1"/>
          <a:extLst>
            <a:ext uri="{FF2B5EF4-FFF2-40B4-BE49-F238E27FC236}">
              <a16:creationId xmlns:a16="http://schemas.microsoft.com/office/drawing/2014/main" id="{00000000-0008-0000-2000-0000F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05" name="Flèche gauche 1">
          <a:hlinkClick xmlns:r="http://schemas.openxmlformats.org/officeDocument/2006/relationships" r:id="rId2"/>
          <a:extLst>
            <a:ext uri="{FF2B5EF4-FFF2-40B4-BE49-F238E27FC236}">
              <a16:creationId xmlns:a16="http://schemas.microsoft.com/office/drawing/2014/main" id="{00000000-0008-0000-2000-0000F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06" name="Flèche gauche 1">
          <a:hlinkClick xmlns:r="http://schemas.openxmlformats.org/officeDocument/2006/relationships" r:id="rId1"/>
          <a:extLst>
            <a:ext uri="{FF2B5EF4-FFF2-40B4-BE49-F238E27FC236}">
              <a16:creationId xmlns:a16="http://schemas.microsoft.com/office/drawing/2014/main" id="{00000000-0008-0000-2000-0000F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07" name="Flèche gauche 1">
          <a:hlinkClick xmlns:r="http://schemas.openxmlformats.org/officeDocument/2006/relationships" r:id="rId1"/>
          <a:extLst>
            <a:ext uri="{FF2B5EF4-FFF2-40B4-BE49-F238E27FC236}">
              <a16:creationId xmlns:a16="http://schemas.microsoft.com/office/drawing/2014/main" id="{00000000-0008-0000-2000-0000F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08" name="Flèche gauche 1">
          <a:hlinkClick xmlns:r="http://schemas.openxmlformats.org/officeDocument/2006/relationships" r:id="rId1"/>
          <a:extLst>
            <a:ext uri="{FF2B5EF4-FFF2-40B4-BE49-F238E27FC236}">
              <a16:creationId xmlns:a16="http://schemas.microsoft.com/office/drawing/2014/main" id="{00000000-0008-0000-2000-0000F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09" name="Flèche gauche 1">
          <a:hlinkClick xmlns:r="http://schemas.openxmlformats.org/officeDocument/2006/relationships" r:id="rId2"/>
          <a:extLst>
            <a:ext uri="{FF2B5EF4-FFF2-40B4-BE49-F238E27FC236}">
              <a16:creationId xmlns:a16="http://schemas.microsoft.com/office/drawing/2014/main" id="{00000000-0008-0000-2000-0000F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10" name="Flèche gauche 1">
          <a:hlinkClick xmlns:r="http://schemas.openxmlformats.org/officeDocument/2006/relationships" r:id="rId1"/>
          <a:extLst>
            <a:ext uri="{FF2B5EF4-FFF2-40B4-BE49-F238E27FC236}">
              <a16:creationId xmlns:a16="http://schemas.microsoft.com/office/drawing/2014/main" id="{00000000-0008-0000-2000-0000F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11" name="Flèche gauche 1">
          <a:hlinkClick xmlns:r="http://schemas.openxmlformats.org/officeDocument/2006/relationships" r:id="rId1"/>
          <a:extLst>
            <a:ext uri="{FF2B5EF4-FFF2-40B4-BE49-F238E27FC236}">
              <a16:creationId xmlns:a16="http://schemas.microsoft.com/office/drawing/2014/main" id="{00000000-0008-0000-2000-0000F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12" name="Flèche gauche 1">
          <a:hlinkClick xmlns:r="http://schemas.openxmlformats.org/officeDocument/2006/relationships" r:id="rId1"/>
          <a:extLst>
            <a:ext uri="{FF2B5EF4-FFF2-40B4-BE49-F238E27FC236}">
              <a16:creationId xmlns:a16="http://schemas.microsoft.com/office/drawing/2014/main" id="{00000000-0008-0000-2000-00000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13" name="Flèche gauche 1">
          <a:hlinkClick xmlns:r="http://schemas.openxmlformats.org/officeDocument/2006/relationships" r:id="rId2"/>
          <a:extLst>
            <a:ext uri="{FF2B5EF4-FFF2-40B4-BE49-F238E27FC236}">
              <a16:creationId xmlns:a16="http://schemas.microsoft.com/office/drawing/2014/main" id="{00000000-0008-0000-2000-00000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14" name="Flèche gauche 1">
          <a:hlinkClick xmlns:r="http://schemas.openxmlformats.org/officeDocument/2006/relationships" r:id="rId1"/>
          <a:extLst>
            <a:ext uri="{FF2B5EF4-FFF2-40B4-BE49-F238E27FC236}">
              <a16:creationId xmlns:a16="http://schemas.microsoft.com/office/drawing/2014/main" id="{00000000-0008-0000-2000-00000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15" name="Flèche gauche 1">
          <a:hlinkClick xmlns:r="http://schemas.openxmlformats.org/officeDocument/2006/relationships" r:id="rId1"/>
          <a:extLst>
            <a:ext uri="{FF2B5EF4-FFF2-40B4-BE49-F238E27FC236}">
              <a16:creationId xmlns:a16="http://schemas.microsoft.com/office/drawing/2014/main" id="{00000000-0008-0000-2000-00000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16" name="Flèche gauche 1">
          <a:hlinkClick xmlns:r="http://schemas.openxmlformats.org/officeDocument/2006/relationships" r:id="rId1"/>
          <a:extLst>
            <a:ext uri="{FF2B5EF4-FFF2-40B4-BE49-F238E27FC236}">
              <a16:creationId xmlns:a16="http://schemas.microsoft.com/office/drawing/2014/main" id="{00000000-0008-0000-2000-00000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17" name="Flèche gauche 1">
          <a:hlinkClick xmlns:r="http://schemas.openxmlformats.org/officeDocument/2006/relationships" r:id="rId2"/>
          <a:extLst>
            <a:ext uri="{FF2B5EF4-FFF2-40B4-BE49-F238E27FC236}">
              <a16:creationId xmlns:a16="http://schemas.microsoft.com/office/drawing/2014/main" id="{00000000-0008-0000-2000-00000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18" name="Flèche gauche 1">
          <a:hlinkClick xmlns:r="http://schemas.openxmlformats.org/officeDocument/2006/relationships" r:id="rId1"/>
          <a:extLst>
            <a:ext uri="{FF2B5EF4-FFF2-40B4-BE49-F238E27FC236}">
              <a16:creationId xmlns:a16="http://schemas.microsoft.com/office/drawing/2014/main" id="{00000000-0008-0000-2000-00000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19" name="Flèche gauche 1">
          <a:hlinkClick xmlns:r="http://schemas.openxmlformats.org/officeDocument/2006/relationships" r:id="rId1"/>
          <a:extLst>
            <a:ext uri="{FF2B5EF4-FFF2-40B4-BE49-F238E27FC236}">
              <a16:creationId xmlns:a16="http://schemas.microsoft.com/office/drawing/2014/main" id="{00000000-0008-0000-2000-00000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0" name="Flèche gauche 1">
          <a:hlinkClick xmlns:r="http://schemas.openxmlformats.org/officeDocument/2006/relationships" r:id="rId1"/>
          <a:extLst>
            <a:ext uri="{FF2B5EF4-FFF2-40B4-BE49-F238E27FC236}">
              <a16:creationId xmlns:a16="http://schemas.microsoft.com/office/drawing/2014/main" id="{00000000-0008-0000-2000-00000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1" name="Flèche gauche 1">
          <a:hlinkClick xmlns:r="http://schemas.openxmlformats.org/officeDocument/2006/relationships" r:id="rId2"/>
          <a:extLst>
            <a:ext uri="{FF2B5EF4-FFF2-40B4-BE49-F238E27FC236}">
              <a16:creationId xmlns:a16="http://schemas.microsoft.com/office/drawing/2014/main" id="{00000000-0008-0000-2000-00000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2" name="Flèche gauche 1">
          <a:hlinkClick xmlns:r="http://schemas.openxmlformats.org/officeDocument/2006/relationships" r:id="rId1"/>
          <a:extLst>
            <a:ext uri="{FF2B5EF4-FFF2-40B4-BE49-F238E27FC236}">
              <a16:creationId xmlns:a16="http://schemas.microsoft.com/office/drawing/2014/main" id="{00000000-0008-0000-2000-00000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3" name="Flèche gauche 1">
          <a:hlinkClick xmlns:r="http://schemas.openxmlformats.org/officeDocument/2006/relationships" r:id="rId1"/>
          <a:extLst>
            <a:ext uri="{FF2B5EF4-FFF2-40B4-BE49-F238E27FC236}">
              <a16:creationId xmlns:a16="http://schemas.microsoft.com/office/drawing/2014/main" id="{00000000-0008-0000-2000-00000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4" name="Flèche gauche 1">
          <a:hlinkClick xmlns:r="http://schemas.openxmlformats.org/officeDocument/2006/relationships" r:id="rId1"/>
          <a:extLst>
            <a:ext uri="{FF2B5EF4-FFF2-40B4-BE49-F238E27FC236}">
              <a16:creationId xmlns:a16="http://schemas.microsoft.com/office/drawing/2014/main" id="{00000000-0008-0000-2000-00000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5" name="Flèche gauche 1">
          <a:hlinkClick xmlns:r="http://schemas.openxmlformats.org/officeDocument/2006/relationships" r:id="rId2"/>
          <a:extLst>
            <a:ext uri="{FF2B5EF4-FFF2-40B4-BE49-F238E27FC236}">
              <a16:creationId xmlns:a16="http://schemas.microsoft.com/office/drawing/2014/main" id="{00000000-0008-0000-2000-00000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6" name="Flèche gauche 1">
          <a:hlinkClick xmlns:r="http://schemas.openxmlformats.org/officeDocument/2006/relationships" r:id="rId1"/>
          <a:extLst>
            <a:ext uri="{FF2B5EF4-FFF2-40B4-BE49-F238E27FC236}">
              <a16:creationId xmlns:a16="http://schemas.microsoft.com/office/drawing/2014/main" id="{00000000-0008-0000-2000-00000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7" name="Flèche gauche 1">
          <a:hlinkClick xmlns:r="http://schemas.openxmlformats.org/officeDocument/2006/relationships" r:id="rId1"/>
          <a:extLst>
            <a:ext uri="{FF2B5EF4-FFF2-40B4-BE49-F238E27FC236}">
              <a16:creationId xmlns:a16="http://schemas.microsoft.com/office/drawing/2014/main" id="{00000000-0008-0000-2000-00000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8" name="Flèche gauche 1">
          <a:hlinkClick xmlns:r="http://schemas.openxmlformats.org/officeDocument/2006/relationships" r:id="rId1"/>
          <a:extLst>
            <a:ext uri="{FF2B5EF4-FFF2-40B4-BE49-F238E27FC236}">
              <a16:creationId xmlns:a16="http://schemas.microsoft.com/office/drawing/2014/main" id="{00000000-0008-0000-2000-00001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9" name="Flèche gauche 1">
          <a:hlinkClick xmlns:r="http://schemas.openxmlformats.org/officeDocument/2006/relationships" r:id="rId2"/>
          <a:extLst>
            <a:ext uri="{FF2B5EF4-FFF2-40B4-BE49-F238E27FC236}">
              <a16:creationId xmlns:a16="http://schemas.microsoft.com/office/drawing/2014/main" id="{00000000-0008-0000-2000-00001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0" name="Flèche gauche 1">
          <a:hlinkClick xmlns:r="http://schemas.openxmlformats.org/officeDocument/2006/relationships" r:id="rId1"/>
          <a:extLst>
            <a:ext uri="{FF2B5EF4-FFF2-40B4-BE49-F238E27FC236}">
              <a16:creationId xmlns:a16="http://schemas.microsoft.com/office/drawing/2014/main" id="{00000000-0008-0000-2000-00001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1" name="Flèche gauche 1">
          <a:hlinkClick xmlns:r="http://schemas.openxmlformats.org/officeDocument/2006/relationships" r:id="rId1"/>
          <a:extLst>
            <a:ext uri="{FF2B5EF4-FFF2-40B4-BE49-F238E27FC236}">
              <a16:creationId xmlns:a16="http://schemas.microsoft.com/office/drawing/2014/main" id="{00000000-0008-0000-2000-00001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2" name="Flèche gauche 1">
          <a:hlinkClick xmlns:r="http://schemas.openxmlformats.org/officeDocument/2006/relationships" r:id="rId1"/>
          <a:extLst>
            <a:ext uri="{FF2B5EF4-FFF2-40B4-BE49-F238E27FC236}">
              <a16:creationId xmlns:a16="http://schemas.microsoft.com/office/drawing/2014/main" id="{00000000-0008-0000-2000-00001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3" name="Flèche gauche 1">
          <a:hlinkClick xmlns:r="http://schemas.openxmlformats.org/officeDocument/2006/relationships" r:id="rId2"/>
          <a:extLst>
            <a:ext uri="{FF2B5EF4-FFF2-40B4-BE49-F238E27FC236}">
              <a16:creationId xmlns:a16="http://schemas.microsoft.com/office/drawing/2014/main" id="{00000000-0008-0000-2000-00001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4" name="Flèche gauche 1">
          <a:hlinkClick xmlns:r="http://schemas.openxmlformats.org/officeDocument/2006/relationships" r:id="rId1"/>
          <a:extLst>
            <a:ext uri="{FF2B5EF4-FFF2-40B4-BE49-F238E27FC236}">
              <a16:creationId xmlns:a16="http://schemas.microsoft.com/office/drawing/2014/main" id="{00000000-0008-0000-2000-00001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5" name="Flèche gauche 1">
          <a:hlinkClick xmlns:r="http://schemas.openxmlformats.org/officeDocument/2006/relationships" r:id="rId1"/>
          <a:extLst>
            <a:ext uri="{FF2B5EF4-FFF2-40B4-BE49-F238E27FC236}">
              <a16:creationId xmlns:a16="http://schemas.microsoft.com/office/drawing/2014/main" id="{00000000-0008-0000-2000-00001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6" name="Flèche gauche 1">
          <a:hlinkClick xmlns:r="http://schemas.openxmlformats.org/officeDocument/2006/relationships" r:id="rId1"/>
          <a:extLst>
            <a:ext uri="{FF2B5EF4-FFF2-40B4-BE49-F238E27FC236}">
              <a16:creationId xmlns:a16="http://schemas.microsoft.com/office/drawing/2014/main" id="{00000000-0008-0000-2000-00001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7" name="Flèche gauche 1">
          <a:hlinkClick xmlns:r="http://schemas.openxmlformats.org/officeDocument/2006/relationships" r:id="rId2"/>
          <a:extLst>
            <a:ext uri="{FF2B5EF4-FFF2-40B4-BE49-F238E27FC236}">
              <a16:creationId xmlns:a16="http://schemas.microsoft.com/office/drawing/2014/main" id="{00000000-0008-0000-2000-00001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8" name="Flèche gauche 1">
          <a:hlinkClick xmlns:r="http://schemas.openxmlformats.org/officeDocument/2006/relationships" r:id="rId1"/>
          <a:extLst>
            <a:ext uri="{FF2B5EF4-FFF2-40B4-BE49-F238E27FC236}">
              <a16:creationId xmlns:a16="http://schemas.microsoft.com/office/drawing/2014/main" id="{00000000-0008-0000-2000-00001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9" name="Flèche gauche 1">
          <a:hlinkClick xmlns:r="http://schemas.openxmlformats.org/officeDocument/2006/relationships" r:id="rId1"/>
          <a:extLst>
            <a:ext uri="{FF2B5EF4-FFF2-40B4-BE49-F238E27FC236}">
              <a16:creationId xmlns:a16="http://schemas.microsoft.com/office/drawing/2014/main" id="{00000000-0008-0000-2000-00001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0" name="Flèche gauche 1">
          <a:hlinkClick xmlns:r="http://schemas.openxmlformats.org/officeDocument/2006/relationships" r:id="rId1"/>
          <a:extLst>
            <a:ext uri="{FF2B5EF4-FFF2-40B4-BE49-F238E27FC236}">
              <a16:creationId xmlns:a16="http://schemas.microsoft.com/office/drawing/2014/main" id="{00000000-0008-0000-2000-00001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1" name="Flèche gauche 1">
          <a:hlinkClick xmlns:r="http://schemas.openxmlformats.org/officeDocument/2006/relationships" r:id="rId2"/>
          <a:extLst>
            <a:ext uri="{FF2B5EF4-FFF2-40B4-BE49-F238E27FC236}">
              <a16:creationId xmlns:a16="http://schemas.microsoft.com/office/drawing/2014/main" id="{00000000-0008-0000-2000-00001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2" name="Flèche gauche 1">
          <a:hlinkClick xmlns:r="http://schemas.openxmlformats.org/officeDocument/2006/relationships" r:id="rId1"/>
          <a:extLst>
            <a:ext uri="{FF2B5EF4-FFF2-40B4-BE49-F238E27FC236}">
              <a16:creationId xmlns:a16="http://schemas.microsoft.com/office/drawing/2014/main" id="{00000000-0008-0000-2000-00001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3" name="Flèche gauche 1">
          <a:hlinkClick xmlns:r="http://schemas.openxmlformats.org/officeDocument/2006/relationships" r:id="rId1"/>
          <a:extLst>
            <a:ext uri="{FF2B5EF4-FFF2-40B4-BE49-F238E27FC236}">
              <a16:creationId xmlns:a16="http://schemas.microsoft.com/office/drawing/2014/main" id="{00000000-0008-0000-2000-00001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4" name="Flèche gauche 1">
          <a:hlinkClick xmlns:r="http://schemas.openxmlformats.org/officeDocument/2006/relationships" r:id="rId1"/>
          <a:extLst>
            <a:ext uri="{FF2B5EF4-FFF2-40B4-BE49-F238E27FC236}">
              <a16:creationId xmlns:a16="http://schemas.microsoft.com/office/drawing/2014/main" id="{00000000-0008-0000-2000-00002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5" name="Flèche gauche 1">
          <a:hlinkClick xmlns:r="http://schemas.openxmlformats.org/officeDocument/2006/relationships" r:id="rId2"/>
          <a:extLst>
            <a:ext uri="{FF2B5EF4-FFF2-40B4-BE49-F238E27FC236}">
              <a16:creationId xmlns:a16="http://schemas.microsoft.com/office/drawing/2014/main" id="{00000000-0008-0000-2000-00002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6" name="Flèche gauche 1">
          <a:hlinkClick xmlns:r="http://schemas.openxmlformats.org/officeDocument/2006/relationships" r:id="rId1"/>
          <a:extLst>
            <a:ext uri="{FF2B5EF4-FFF2-40B4-BE49-F238E27FC236}">
              <a16:creationId xmlns:a16="http://schemas.microsoft.com/office/drawing/2014/main" id="{00000000-0008-0000-2000-00002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7" name="Flèche gauche 1">
          <a:hlinkClick xmlns:r="http://schemas.openxmlformats.org/officeDocument/2006/relationships" r:id="rId1"/>
          <a:extLst>
            <a:ext uri="{FF2B5EF4-FFF2-40B4-BE49-F238E27FC236}">
              <a16:creationId xmlns:a16="http://schemas.microsoft.com/office/drawing/2014/main" id="{00000000-0008-0000-2000-00002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8" name="Flèche gauche 1">
          <a:hlinkClick xmlns:r="http://schemas.openxmlformats.org/officeDocument/2006/relationships" r:id="rId1"/>
          <a:extLst>
            <a:ext uri="{FF2B5EF4-FFF2-40B4-BE49-F238E27FC236}">
              <a16:creationId xmlns:a16="http://schemas.microsoft.com/office/drawing/2014/main" id="{00000000-0008-0000-2000-00002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9" name="Flèche gauche 1">
          <a:hlinkClick xmlns:r="http://schemas.openxmlformats.org/officeDocument/2006/relationships" r:id="rId2"/>
          <a:extLst>
            <a:ext uri="{FF2B5EF4-FFF2-40B4-BE49-F238E27FC236}">
              <a16:creationId xmlns:a16="http://schemas.microsoft.com/office/drawing/2014/main" id="{00000000-0008-0000-2000-00002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0" name="Flèche gauche 1">
          <a:hlinkClick xmlns:r="http://schemas.openxmlformats.org/officeDocument/2006/relationships" r:id="rId1"/>
          <a:extLst>
            <a:ext uri="{FF2B5EF4-FFF2-40B4-BE49-F238E27FC236}">
              <a16:creationId xmlns:a16="http://schemas.microsoft.com/office/drawing/2014/main" id="{00000000-0008-0000-2000-00002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1" name="Flèche gauche 1">
          <a:hlinkClick xmlns:r="http://schemas.openxmlformats.org/officeDocument/2006/relationships" r:id="rId1"/>
          <a:extLst>
            <a:ext uri="{FF2B5EF4-FFF2-40B4-BE49-F238E27FC236}">
              <a16:creationId xmlns:a16="http://schemas.microsoft.com/office/drawing/2014/main" id="{00000000-0008-0000-2000-00002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2" name="Flèche gauche 1">
          <a:hlinkClick xmlns:r="http://schemas.openxmlformats.org/officeDocument/2006/relationships" r:id="rId1"/>
          <a:extLst>
            <a:ext uri="{FF2B5EF4-FFF2-40B4-BE49-F238E27FC236}">
              <a16:creationId xmlns:a16="http://schemas.microsoft.com/office/drawing/2014/main" id="{00000000-0008-0000-2000-00002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3" name="Flèche gauche 1">
          <a:hlinkClick xmlns:r="http://schemas.openxmlformats.org/officeDocument/2006/relationships" r:id="rId2"/>
          <a:extLst>
            <a:ext uri="{FF2B5EF4-FFF2-40B4-BE49-F238E27FC236}">
              <a16:creationId xmlns:a16="http://schemas.microsoft.com/office/drawing/2014/main" id="{00000000-0008-0000-2000-00002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4" name="Flèche gauche 1">
          <a:hlinkClick xmlns:r="http://schemas.openxmlformats.org/officeDocument/2006/relationships" r:id="rId1"/>
          <a:extLst>
            <a:ext uri="{FF2B5EF4-FFF2-40B4-BE49-F238E27FC236}">
              <a16:creationId xmlns:a16="http://schemas.microsoft.com/office/drawing/2014/main" id="{00000000-0008-0000-2000-00002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5" name="Flèche gauche 1">
          <a:hlinkClick xmlns:r="http://schemas.openxmlformats.org/officeDocument/2006/relationships" r:id="rId1"/>
          <a:extLst>
            <a:ext uri="{FF2B5EF4-FFF2-40B4-BE49-F238E27FC236}">
              <a16:creationId xmlns:a16="http://schemas.microsoft.com/office/drawing/2014/main" id="{00000000-0008-0000-2000-00002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6" name="Flèche gauche 1">
          <a:hlinkClick xmlns:r="http://schemas.openxmlformats.org/officeDocument/2006/relationships" r:id="rId1"/>
          <a:extLst>
            <a:ext uri="{FF2B5EF4-FFF2-40B4-BE49-F238E27FC236}">
              <a16:creationId xmlns:a16="http://schemas.microsoft.com/office/drawing/2014/main" id="{00000000-0008-0000-2000-00002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7" name="Flèche gauche 1">
          <a:hlinkClick xmlns:r="http://schemas.openxmlformats.org/officeDocument/2006/relationships" r:id="rId2"/>
          <a:extLst>
            <a:ext uri="{FF2B5EF4-FFF2-40B4-BE49-F238E27FC236}">
              <a16:creationId xmlns:a16="http://schemas.microsoft.com/office/drawing/2014/main" id="{00000000-0008-0000-2000-00002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8" name="Flèche gauche 1">
          <a:hlinkClick xmlns:r="http://schemas.openxmlformats.org/officeDocument/2006/relationships" r:id="rId1"/>
          <a:extLst>
            <a:ext uri="{FF2B5EF4-FFF2-40B4-BE49-F238E27FC236}">
              <a16:creationId xmlns:a16="http://schemas.microsoft.com/office/drawing/2014/main" id="{00000000-0008-0000-2000-00002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9" name="Flèche gauche 1">
          <a:hlinkClick xmlns:r="http://schemas.openxmlformats.org/officeDocument/2006/relationships" r:id="rId1"/>
          <a:extLst>
            <a:ext uri="{FF2B5EF4-FFF2-40B4-BE49-F238E27FC236}">
              <a16:creationId xmlns:a16="http://schemas.microsoft.com/office/drawing/2014/main" id="{00000000-0008-0000-2000-00002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0" name="Flèche gauche 1">
          <a:hlinkClick xmlns:r="http://schemas.openxmlformats.org/officeDocument/2006/relationships" r:id="rId1"/>
          <a:extLst>
            <a:ext uri="{FF2B5EF4-FFF2-40B4-BE49-F238E27FC236}">
              <a16:creationId xmlns:a16="http://schemas.microsoft.com/office/drawing/2014/main" id="{00000000-0008-0000-2000-00003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1" name="Flèche gauche 1">
          <a:hlinkClick xmlns:r="http://schemas.openxmlformats.org/officeDocument/2006/relationships" r:id="rId2"/>
          <a:extLst>
            <a:ext uri="{FF2B5EF4-FFF2-40B4-BE49-F238E27FC236}">
              <a16:creationId xmlns:a16="http://schemas.microsoft.com/office/drawing/2014/main" id="{00000000-0008-0000-2000-00003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2" name="Flèche gauche 1">
          <a:hlinkClick xmlns:r="http://schemas.openxmlformats.org/officeDocument/2006/relationships" r:id="rId1"/>
          <a:extLst>
            <a:ext uri="{FF2B5EF4-FFF2-40B4-BE49-F238E27FC236}">
              <a16:creationId xmlns:a16="http://schemas.microsoft.com/office/drawing/2014/main" id="{00000000-0008-0000-2000-00003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3" name="Flèche gauche 1">
          <a:hlinkClick xmlns:r="http://schemas.openxmlformats.org/officeDocument/2006/relationships" r:id="rId1"/>
          <a:extLst>
            <a:ext uri="{FF2B5EF4-FFF2-40B4-BE49-F238E27FC236}">
              <a16:creationId xmlns:a16="http://schemas.microsoft.com/office/drawing/2014/main" id="{00000000-0008-0000-2000-00003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4" name="Flèche gauche 1">
          <a:hlinkClick xmlns:r="http://schemas.openxmlformats.org/officeDocument/2006/relationships" r:id="rId1"/>
          <a:extLst>
            <a:ext uri="{FF2B5EF4-FFF2-40B4-BE49-F238E27FC236}">
              <a16:creationId xmlns:a16="http://schemas.microsoft.com/office/drawing/2014/main" id="{00000000-0008-0000-2000-00003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5" name="Flèche gauche 1">
          <a:hlinkClick xmlns:r="http://schemas.openxmlformats.org/officeDocument/2006/relationships" r:id="rId2"/>
          <a:extLst>
            <a:ext uri="{FF2B5EF4-FFF2-40B4-BE49-F238E27FC236}">
              <a16:creationId xmlns:a16="http://schemas.microsoft.com/office/drawing/2014/main" id="{00000000-0008-0000-2000-00003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6" name="Flèche gauche 1">
          <a:hlinkClick xmlns:r="http://schemas.openxmlformats.org/officeDocument/2006/relationships" r:id="rId1"/>
          <a:extLst>
            <a:ext uri="{FF2B5EF4-FFF2-40B4-BE49-F238E27FC236}">
              <a16:creationId xmlns:a16="http://schemas.microsoft.com/office/drawing/2014/main" id="{00000000-0008-0000-2000-00003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7" name="Flèche gauche 1">
          <a:hlinkClick xmlns:r="http://schemas.openxmlformats.org/officeDocument/2006/relationships" r:id="rId1"/>
          <a:extLst>
            <a:ext uri="{FF2B5EF4-FFF2-40B4-BE49-F238E27FC236}">
              <a16:creationId xmlns:a16="http://schemas.microsoft.com/office/drawing/2014/main" id="{00000000-0008-0000-2000-00003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8" name="Flèche gauche 1">
          <a:hlinkClick xmlns:r="http://schemas.openxmlformats.org/officeDocument/2006/relationships" r:id="rId1"/>
          <a:extLst>
            <a:ext uri="{FF2B5EF4-FFF2-40B4-BE49-F238E27FC236}">
              <a16:creationId xmlns:a16="http://schemas.microsoft.com/office/drawing/2014/main" id="{00000000-0008-0000-2000-00003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9" name="Flèche gauche 1">
          <a:hlinkClick xmlns:r="http://schemas.openxmlformats.org/officeDocument/2006/relationships" r:id="rId2"/>
          <a:extLst>
            <a:ext uri="{FF2B5EF4-FFF2-40B4-BE49-F238E27FC236}">
              <a16:creationId xmlns:a16="http://schemas.microsoft.com/office/drawing/2014/main" id="{00000000-0008-0000-2000-00003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0" name="Flèche gauche 1">
          <a:hlinkClick xmlns:r="http://schemas.openxmlformats.org/officeDocument/2006/relationships" r:id="rId1"/>
          <a:extLst>
            <a:ext uri="{FF2B5EF4-FFF2-40B4-BE49-F238E27FC236}">
              <a16:creationId xmlns:a16="http://schemas.microsoft.com/office/drawing/2014/main" id="{00000000-0008-0000-2000-00003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1" name="Flèche gauche 1">
          <a:hlinkClick xmlns:r="http://schemas.openxmlformats.org/officeDocument/2006/relationships" r:id="rId1"/>
          <a:extLst>
            <a:ext uri="{FF2B5EF4-FFF2-40B4-BE49-F238E27FC236}">
              <a16:creationId xmlns:a16="http://schemas.microsoft.com/office/drawing/2014/main" id="{00000000-0008-0000-2000-00003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2" name="Flèche gauche 1">
          <a:hlinkClick xmlns:r="http://schemas.openxmlformats.org/officeDocument/2006/relationships" r:id="rId1"/>
          <a:extLst>
            <a:ext uri="{FF2B5EF4-FFF2-40B4-BE49-F238E27FC236}">
              <a16:creationId xmlns:a16="http://schemas.microsoft.com/office/drawing/2014/main" id="{00000000-0008-0000-2000-00003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3" name="Flèche gauche 1">
          <a:hlinkClick xmlns:r="http://schemas.openxmlformats.org/officeDocument/2006/relationships" r:id="rId2"/>
          <a:extLst>
            <a:ext uri="{FF2B5EF4-FFF2-40B4-BE49-F238E27FC236}">
              <a16:creationId xmlns:a16="http://schemas.microsoft.com/office/drawing/2014/main" id="{00000000-0008-0000-2000-00003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4" name="Flèche gauche 1">
          <a:hlinkClick xmlns:r="http://schemas.openxmlformats.org/officeDocument/2006/relationships" r:id="rId1"/>
          <a:extLst>
            <a:ext uri="{FF2B5EF4-FFF2-40B4-BE49-F238E27FC236}">
              <a16:creationId xmlns:a16="http://schemas.microsoft.com/office/drawing/2014/main" id="{00000000-0008-0000-2000-00003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5" name="Flèche gauche 1">
          <a:hlinkClick xmlns:r="http://schemas.openxmlformats.org/officeDocument/2006/relationships" r:id="rId1"/>
          <a:extLst>
            <a:ext uri="{FF2B5EF4-FFF2-40B4-BE49-F238E27FC236}">
              <a16:creationId xmlns:a16="http://schemas.microsoft.com/office/drawing/2014/main" id="{00000000-0008-0000-2000-00003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6" name="Flèche gauche 1">
          <a:hlinkClick xmlns:r="http://schemas.openxmlformats.org/officeDocument/2006/relationships" r:id="rId1"/>
          <a:extLst>
            <a:ext uri="{FF2B5EF4-FFF2-40B4-BE49-F238E27FC236}">
              <a16:creationId xmlns:a16="http://schemas.microsoft.com/office/drawing/2014/main" id="{00000000-0008-0000-2000-00004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7" name="Flèche gauche 1">
          <a:hlinkClick xmlns:r="http://schemas.openxmlformats.org/officeDocument/2006/relationships" r:id="rId2"/>
          <a:extLst>
            <a:ext uri="{FF2B5EF4-FFF2-40B4-BE49-F238E27FC236}">
              <a16:creationId xmlns:a16="http://schemas.microsoft.com/office/drawing/2014/main" id="{00000000-0008-0000-2000-00004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8" name="Flèche gauche 1">
          <a:hlinkClick xmlns:r="http://schemas.openxmlformats.org/officeDocument/2006/relationships" r:id="rId1"/>
          <a:extLst>
            <a:ext uri="{FF2B5EF4-FFF2-40B4-BE49-F238E27FC236}">
              <a16:creationId xmlns:a16="http://schemas.microsoft.com/office/drawing/2014/main" id="{00000000-0008-0000-2000-00004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9" name="Flèche gauche 1">
          <a:hlinkClick xmlns:r="http://schemas.openxmlformats.org/officeDocument/2006/relationships" r:id="rId1"/>
          <a:extLst>
            <a:ext uri="{FF2B5EF4-FFF2-40B4-BE49-F238E27FC236}">
              <a16:creationId xmlns:a16="http://schemas.microsoft.com/office/drawing/2014/main" id="{00000000-0008-0000-2000-00004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0" name="Flèche gauche 1">
          <a:hlinkClick xmlns:r="http://schemas.openxmlformats.org/officeDocument/2006/relationships" r:id="rId1"/>
          <a:extLst>
            <a:ext uri="{FF2B5EF4-FFF2-40B4-BE49-F238E27FC236}">
              <a16:creationId xmlns:a16="http://schemas.microsoft.com/office/drawing/2014/main" id="{00000000-0008-0000-2000-00004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1" name="Flèche gauche 1">
          <a:hlinkClick xmlns:r="http://schemas.openxmlformats.org/officeDocument/2006/relationships" r:id="rId2"/>
          <a:extLst>
            <a:ext uri="{FF2B5EF4-FFF2-40B4-BE49-F238E27FC236}">
              <a16:creationId xmlns:a16="http://schemas.microsoft.com/office/drawing/2014/main" id="{00000000-0008-0000-2000-00004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2" name="Flèche gauche 1">
          <a:hlinkClick xmlns:r="http://schemas.openxmlformats.org/officeDocument/2006/relationships" r:id="rId1"/>
          <a:extLst>
            <a:ext uri="{FF2B5EF4-FFF2-40B4-BE49-F238E27FC236}">
              <a16:creationId xmlns:a16="http://schemas.microsoft.com/office/drawing/2014/main" id="{00000000-0008-0000-2000-00004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3" name="Flèche gauche 1">
          <a:hlinkClick xmlns:r="http://schemas.openxmlformats.org/officeDocument/2006/relationships" r:id="rId1"/>
          <a:extLst>
            <a:ext uri="{FF2B5EF4-FFF2-40B4-BE49-F238E27FC236}">
              <a16:creationId xmlns:a16="http://schemas.microsoft.com/office/drawing/2014/main" id="{00000000-0008-0000-2000-00004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4" name="Flèche gauche 1">
          <a:hlinkClick xmlns:r="http://schemas.openxmlformats.org/officeDocument/2006/relationships" r:id="rId1"/>
          <a:extLst>
            <a:ext uri="{FF2B5EF4-FFF2-40B4-BE49-F238E27FC236}">
              <a16:creationId xmlns:a16="http://schemas.microsoft.com/office/drawing/2014/main" id="{00000000-0008-0000-2000-00004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5" name="Flèche gauche 1">
          <a:hlinkClick xmlns:r="http://schemas.openxmlformats.org/officeDocument/2006/relationships" r:id="rId2"/>
          <a:extLst>
            <a:ext uri="{FF2B5EF4-FFF2-40B4-BE49-F238E27FC236}">
              <a16:creationId xmlns:a16="http://schemas.microsoft.com/office/drawing/2014/main" id="{00000000-0008-0000-2000-00004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6" name="Flèche gauche 1">
          <a:hlinkClick xmlns:r="http://schemas.openxmlformats.org/officeDocument/2006/relationships" r:id="rId1"/>
          <a:extLst>
            <a:ext uri="{FF2B5EF4-FFF2-40B4-BE49-F238E27FC236}">
              <a16:creationId xmlns:a16="http://schemas.microsoft.com/office/drawing/2014/main" id="{00000000-0008-0000-2000-00004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7" name="Flèche gauche 1">
          <a:hlinkClick xmlns:r="http://schemas.openxmlformats.org/officeDocument/2006/relationships" r:id="rId1"/>
          <a:extLst>
            <a:ext uri="{FF2B5EF4-FFF2-40B4-BE49-F238E27FC236}">
              <a16:creationId xmlns:a16="http://schemas.microsoft.com/office/drawing/2014/main" id="{00000000-0008-0000-2000-00004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8" name="Flèche gauche 1">
          <a:hlinkClick xmlns:r="http://schemas.openxmlformats.org/officeDocument/2006/relationships" r:id="rId1"/>
          <a:extLst>
            <a:ext uri="{FF2B5EF4-FFF2-40B4-BE49-F238E27FC236}">
              <a16:creationId xmlns:a16="http://schemas.microsoft.com/office/drawing/2014/main" id="{00000000-0008-0000-2000-00004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9" name="Flèche gauche 1">
          <a:hlinkClick xmlns:r="http://schemas.openxmlformats.org/officeDocument/2006/relationships" r:id="rId2"/>
          <a:extLst>
            <a:ext uri="{FF2B5EF4-FFF2-40B4-BE49-F238E27FC236}">
              <a16:creationId xmlns:a16="http://schemas.microsoft.com/office/drawing/2014/main" id="{00000000-0008-0000-2000-00004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0" name="Flèche gauche 1">
          <a:hlinkClick xmlns:r="http://schemas.openxmlformats.org/officeDocument/2006/relationships" r:id="rId1"/>
          <a:extLst>
            <a:ext uri="{FF2B5EF4-FFF2-40B4-BE49-F238E27FC236}">
              <a16:creationId xmlns:a16="http://schemas.microsoft.com/office/drawing/2014/main" id="{00000000-0008-0000-2000-00004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1" name="Flèche gauche 1">
          <a:hlinkClick xmlns:r="http://schemas.openxmlformats.org/officeDocument/2006/relationships" r:id="rId1"/>
          <a:extLst>
            <a:ext uri="{FF2B5EF4-FFF2-40B4-BE49-F238E27FC236}">
              <a16:creationId xmlns:a16="http://schemas.microsoft.com/office/drawing/2014/main" id="{00000000-0008-0000-2000-00004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2" name="Flèche gauche 1">
          <a:hlinkClick xmlns:r="http://schemas.openxmlformats.org/officeDocument/2006/relationships" r:id="rId1"/>
          <a:extLst>
            <a:ext uri="{FF2B5EF4-FFF2-40B4-BE49-F238E27FC236}">
              <a16:creationId xmlns:a16="http://schemas.microsoft.com/office/drawing/2014/main" id="{00000000-0008-0000-2000-00005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3" name="Flèche gauche 1">
          <a:hlinkClick xmlns:r="http://schemas.openxmlformats.org/officeDocument/2006/relationships" r:id="rId2"/>
          <a:extLst>
            <a:ext uri="{FF2B5EF4-FFF2-40B4-BE49-F238E27FC236}">
              <a16:creationId xmlns:a16="http://schemas.microsoft.com/office/drawing/2014/main" id="{00000000-0008-0000-2000-00005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4" name="Flèche gauche 1">
          <a:hlinkClick xmlns:r="http://schemas.openxmlformats.org/officeDocument/2006/relationships" r:id="rId1"/>
          <a:extLst>
            <a:ext uri="{FF2B5EF4-FFF2-40B4-BE49-F238E27FC236}">
              <a16:creationId xmlns:a16="http://schemas.microsoft.com/office/drawing/2014/main" id="{00000000-0008-0000-2000-00005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5" name="Flèche gauche 1">
          <a:hlinkClick xmlns:r="http://schemas.openxmlformats.org/officeDocument/2006/relationships" r:id="rId1"/>
          <a:extLst>
            <a:ext uri="{FF2B5EF4-FFF2-40B4-BE49-F238E27FC236}">
              <a16:creationId xmlns:a16="http://schemas.microsoft.com/office/drawing/2014/main" id="{00000000-0008-0000-2000-00005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6" name="Flèche gauche 1">
          <a:hlinkClick xmlns:r="http://schemas.openxmlformats.org/officeDocument/2006/relationships" r:id="rId1"/>
          <a:extLst>
            <a:ext uri="{FF2B5EF4-FFF2-40B4-BE49-F238E27FC236}">
              <a16:creationId xmlns:a16="http://schemas.microsoft.com/office/drawing/2014/main" id="{00000000-0008-0000-2000-00005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7" name="Flèche gauche 1">
          <a:hlinkClick xmlns:r="http://schemas.openxmlformats.org/officeDocument/2006/relationships" r:id="rId2"/>
          <a:extLst>
            <a:ext uri="{FF2B5EF4-FFF2-40B4-BE49-F238E27FC236}">
              <a16:creationId xmlns:a16="http://schemas.microsoft.com/office/drawing/2014/main" id="{00000000-0008-0000-2000-00005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8" name="Flèche gauche 1">
          <a:hlinkClick xmlns:r="http://schemas.openxmlformats.org/officeDocument/2006/relationships" r:id="rId1"/>
          <a:extLst>
            <a:ext uri="{FF2B5EF4-FFF2-40B4-BE49-F238E27FC236}">
              <a16:creationId xmlns:a16="http://schemas.microsoft.com/office/drawing/2014/main" id="{00000000-0008-0000-2000-00005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9" name="Flèche gauche 1">
          <a:hlinkClick xmlns:r="http://schemas.openxmlformats.org/officeDocument/2006/relationships" r:id="rId1"/>
          <a:extLst>
            <a:ext uri="{FF2B5EF4-FFF2-40B4-BE49-F238E27FC236}">
              <a16:creationId xmlns:a16="http://schemas.microsoft.com/office/drawing/2014/main" id="{00000000-0008-0000-2000-00005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0" name="Flèche gauche 1">
          <a:hlinkClick xmlns:r="http://schemas.openxmlformats.org/officeDocument/2006/relationships" r:id="rId1"/>
          <a:extLst>
            <a:ext uri="{FF2B5EF4-FFF2-40B4-BE49-F238E27FC236}">
              <a16:creationId xmlns:a16="http://schemas.microsoft.com/office/drawing/2014/main" id="{00000000-0008-0000-2000-00005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1" name="Flèche gauche 1">
          <a:hlinkClick xmlns:r="http://schemas.openxmlformats.org/officeDocument/2006/relationships" r:id="rId2"/>
          <a:extLst>
            <a:ext uri="{FF2B5EF4-FFF2-40B4-BE49-F238E27FC236}">
              <a16:creationId xmlns:a16="http://schemas.microsoft.com/office/drawing/2014/main" id="{00000000-0008-0000-2000-00005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2" name="Flèche gauche 1">
          <a:hlinkClick xmlns:r="http://schemas.openxmlformats.org/officeDocument/2006/relationships" r:id="rId1"/>
          <a:extLst>
            <a:ext uri="{FF2B5EF4-FFF2-40B4-BE49-F238E27FC236}">
              <a16:creationId xmlns:a16="http://schemas.microsoft.com/office/drawing/2014/main" id="{00000000-0008-0000-2000-00005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3" name="Flèche gauche 1">
          <a:hlinkClick xmlns:r="http://schemas.openxmlformats.org/officeDocument/2006/relationships" r:id="rId1"/>
          <a:extLst>
            <a:ext uri="{FF2B5EF4-FFF2-40B4-BE49-F238E27FC236}">
              <a16:creationId xmlns:a16="http://schemas.microsoft.com/office/drawing/2014/main" id="{00000000-0008-0000-2000-00005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4" name="Flèche gauche 1">
          <a:hlinkClick xmlns:r="http://schemas.openxmlformats.org/officeDocument/2006/relationships" r:id="rId1"/>
          <a:extLst>
            <a:ext uri="{FF2B5EF4-FFF2-40B4-BE49-F238E27FC236}">
              <a16:creationId xmlns:a16="http://schemas.microsoft.com/office/drawing/2014/main" id="{00000000-0008-0000-2000-00005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5" name="Flèche gauche 1">
          <a:hlinkClick xmlns:r="http://schemas.openxmlformats.org/officeDocument/2006/relationships" r:id="rId2"/>
          <a:extLst>
            <a:ext uri="{FF2B5EF4-FFF2-40B4-BE49-F238E27FC236}">
              <a16:creationId xmlns:a16="http://schemas.microsoft.com/office/drawing/2014/main" id="{00000000-0008-0000-2000-00005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6" name="Flèche gauche 1">
          <a:hlinkClick xmlns:r="http://schemas.openxmlformats.org/officeDocument/2006/relationships" r:id="rId1"/>
          <a:extLst>
            <a:ext uri="{FF2B5EF4-FFF2-40B4-BE49-F238E27FC236}">
              <a16:creationId xmlns:a16="http://schemas.microsoft.com/office/drawing/2014/main" id="{00000000-0008-0000-2000-00005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7" name="Flèche gauche 1">
          <a:hlinkClick xmlns:r="http://schemas.openxmlformats.org/officeDocument/2006/relationships" r:id="rId1"/>
          <a:extLst>
            <a:ext uri="{FF2B5EF4-FFF2-40B4-BE49-F238E27FC236}">
              <a16:creationId xmlns:a16="http://schemas.microsoft.com/office/drawing/2014/main" id="{00000000-0008-0000-2000-00005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8" name="Flèche gauche 1">
          <a:hlinkClick xmlns:r="http://schemas.openxmlformats.org/officeDocument/2006/relationships" r:id="rId1"/>
          <a:extLst>
            <a:ext uri="{FF2B5EF4-FFF2-40B4-BE49-F238E27FC236}">
              <a16:creationId xmlns:a16="http://schemas.microsoft.com/office/drawing/2014/main" id="{00000000-0008-0000-2000-00006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9" name="Flèche gauche 1">
          <a:hlinkClick xmlns:r="http://schemas.openxmlformats.org/officeDocument/2006/relationships" r:id="rId2"/>
          <a:extLst>
            <a:ext uri="{FF2B5EF4-FFF2-40B4-BE49-F238E27FC236}">
              <a16:creationId xmlns:a16="http://schemas.microsoft.com/office/drawing/2014/main" id="{00000000-0008-0000-2000-00006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0" name="Flèche gauche 1">
          <a:hlinkClick xmlns:r="http://schemas.openxmlformats.org/officeDocument/2006/relationships" r:id="rId1"/>
          <a:extLst>
            <a:ext uri="{FF2B5EF4-FFF2-40B4-BE49-F238E27FC236}">
              <a16:creationId xmlns:a16="http://schemas.microsoft.com/office/drawing/2014/main" id="{00000000-0008-0000-2000-00006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1" name="Flèche gauche 1">
          <a:hlinkClick xmlns:r="http://schemas.openxmlformats.org/officeDocument/2006/relationships" r:id="rId1"/>
          <a:extLst>
            <a:ext uri="{FF2B5EF4-FFF2-40B4-BE49-F238E27FC236}">
              <a16:creationId xmlns:a16="http://schemas.microsoft.com/office/drawing/2014/main" id="{00000000-0008-0000-2000-00006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2" name="Flèche gauche 1">
          <a:hlinkClick xmlns:r="http://schemas.openxmlformats.org/officeDocument/2006/relationships" r:id="rId1"/>
          <a:extLst>
            <a:ext uri="{FF2B5EF4-FFF2-40B4-BE49-F238E27FC236}">
              <a16:creationId xmlns:a16="http://schemas.microsoft.com/office/drawing/2014/main" id="{00000000-0008-0000-2000-00006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3" name="Flèche gauche 1">
          <a:hlinkClick xmlns:r="http://schemas.openxmlformats.org/officeDocument/2006/relationships" r:id="rId2"/>
          <a:extLst>
            <a:ext uri="{FF2B5EF4-FFF2-40B4-BE49-F238E27FC236}">
              <a16:creationId xmlns:a16="http://schemas.microsoft.com/office/drawing/2014/main" id="{00000000-0008-0000-2000-00006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4" name="Flèche gauche 1">
          <a:hlinkClick xmlns:r="http://schemas.openxmlformats.org/officeDocument/2006/relationships" r:id="rId1"/>
          <a:extLst>
            <a:ext uri="{FF2B5EF4-FFF2-40B4-BE49-F238E27FC236}">
              <a16:creationId xmlns:a16="http://schemas.microsoft.com/office/drawing/2014/main" id="{00000000-0008-0000-2000-00006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5" name="Flèche gauche 1">
          <a:hlinkClick xmlns:r="http://schemas.openxmlformats.org/officeDocument/2006/relationships" r:id="rId1"/>
          <a:extLst>
            <a:ext uri="{FF2B5EF4-FFF2-40B4-BE49-F238E27FC236}">
              <a16:creationId xmlns:a16="http://schemas.microsoft.com/office/drawing/2014/main" id="{00000000-0008-0000-2000-00006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6" name="Flèche gauche 1">
          <a:hlinkClick xmlns:r="http://schemas.openxmlformats.org/officeDocument/2006/relationships" r:id="rId1"/>
          <a:extLst>
            <a:ext uri="{FF2B5EF4-FFF2-40B4-BE49-F238E27FC236}">
              <a16:creationId xmlns:a16="http://schemas.microsoft.com/office/drawing/2014/main" id="{00000000-0008-0000-2000-00006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7" name="Flèche gauche 1">
          <a:hlinkClick xmlns:r="http://schemas.openxmlformats.org/officeDocument/2006/relationships" r:id="rId2"/>
          <a:extLst>
            <a:ext uri="{FF2B5EF4-FFF2-40B4-BE49-F238E27FC236}">
              <a16:creationId xmlns:a16="http://schemas.microsoft.com/office/drawing/2014/main" id="{00000000-0008-0000-2000-00006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8" name="Flèche gauche 1">
          <a:hlinkClick xmlns:r="http://schemas.openxmlformats.org/officeDocument/2006/relationships" r:id="rId1"/>
          <a:extLst>
            <a:ext uri="{FF2B5EF4-FFF2-40B4-BE49-F238E27FC236}">
              <a16:creationId xmlns:a16="http://schemas.microsoft.com/office/drawing/2014/main" id="{00000000-0008-0000-2000-00006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9" name="Flèche gauche 1">
          <a:hlinkClick xmlns:r="http://schemas.openxmlformats.org/officeDocument/2006/relationships" r:id="rId1"/>
          <a:extLst>
            <a:ext uri="{FF2B5EF4-FFF2-40B4-BE49-F238E27FC236}">
              <a16:creationId xmlns:a16="http://schemas.microsoft.com/office/drawing/2014/main" id="{00000000-0008-0000-2000-00006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0" name="Flèche gauche 1">
          <a:hlinkClick xmlns:r="http://schemas.openxmlformats.org/officeDocument/2006/relationships" r:id="rId1"/>
          <a:extLst>
            <a:ext uri="{FF2B5EF4-FFF2-40B4-BE49-F238E27FC236}">
              <a16:creationId xmlns:a16="http://schemas.microsoft.com/office/drawing/2014/main" id="{00000000-0008-0000-2000-00006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1" name="Flèche gauche 1">
          <a:hlinkClick xmlns:r="http://schemas.openxmlformats.org/officeDocument/2006/relationships" r:id="rId2"/>
          <a:extLst>
            <a:ext uri="{FF2B5EF4-FFF2-40B4-BE49-F238E27FC236}">
              <a16:creationId xmlns:a16="http://schemas.microsoft.com/office/drawing/2014/main" id="{00000000-0008-0000-2000-00006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2" name="Flèche gauche 1">
          <a:hlinkClick xmlns:r="http://schemas.openxmlformats.org/officeDocument/2006/relationships" r:id="rId1"/>
          <a:extLst>
            <a:ext uri="{FF2B5EF4-FFF2-40B4-BE49-F238E27FC236}">
              <a16:creationId xmlns:a16="http://schemas.microsoft.com/office/drawing/2014/main" id="{00000000-0008-0000-2000-00006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3" name="Flèche gauche 1">
          <a:hlinkClick xmlns:r="http://schemas.openxmlformats.org/officeDocument/2006/relationships" r:id="rId1"/>
          <a:extLst>
            <a:ext uri="{FF2B5EF4-FFF2-40B4-BE49-F238E27FC236}">
              <a16:creationId xmlns:a16="http://schemas.microsoft.com/office/drawing/2014/main" id="{00000000-0008-0000-2000-00006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4" name="Flèche gauche 1">
          <a:hlinkClick xmlns:r="http://schemas.openxmlformats.org/officeDocument/2006/relationships" r:id="rId1"/>
          <a:extLst>
            <a:ext uri="{FF2B5EF4-FFF2-40B4-BE49-F238E27FC236}">
              <a16:creationId xmlns:a16="http://schemas.microsoft.com/office/drawing/2014/main" id="{00000000-0008-0000-2000-00007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5" name="Flèche gauche 1">
          <a:hlinkClick xmlns:r="http://schemas.openxmlformats.org/officeDocument/2006/relationships" r:id="rId2"/>
          <a:extLst>
            <a:ext uri="{FF2B5EF4-FFF2-40B4-BE49-F238E27FC236}">
              <a16:creationId xmlns:a16="http://schemas.microsoft.com/office/drawing/2014/main" id="{00000000-0008-0000-2000-00007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6" name="Flèche gauche 1">
          <a:hlinkClick xmlns:r="http://schemas.openxmlformats.org/officeDocument/2006/relationships" r:id="rId1"/>
          <a:extLst>
            <a:ext uri="{FF2B5EF4-FFF2-40B4-BE49-F238E27FC236}">
              <a16:creationId xmlns:a16="http://schemas.microsoft.com/office/drawing/2014/main" id="{00000000-0008-0000-2000-00007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7" name="Flèche gauche 1">
          <a:hlinkClick xmlns:r="http://schemas.openxmlformats.org/officeDocument/2006/relationships" r:id="rId1"/>
          <a:extLst>
            <a:ext uri="{FF2B5EF4-FFF2-40B4-BE49-F238E27FC236}">
              <a16:creationId xmlns:a16="http://schemas.microsoft.com/office/drawing/2014/main" id="{00000000-0008-0000-2000-00007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8" name="Flèche gauche 1">
          <a:hlinkClick xmlns:r="http://schemas.openxmlformats.org/officeDocument/2006/relationships" r:id="rId1"/>
          <a:extLst>
            <a:ext uri="{FF2B5EF4-FFF2-40B4-BE49-F238E27FC236}">
              <a16:creationId xmlns:a16="http://schemas.microsoft.com/office/drawing/2014/main" id="{00000000-0008-0000-2000-00007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9" name="Flèche gauche 1">
          <a:hlinkClick xmlns:r="http://schemas.openxmlformats.org/officeDocument/2006/relationships" r:id="rId2"/>
          <a:extLst>
            <a:ext uri="{FF2B5EF4-FFF2-40B4-BE49-F238E27FC236}">
              <a16:creationId xmlns:a16="http://schemas.microsoft.com/office/drawing/2014/main" id="{00000000-0008-0000-2000-00007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0" name="Flèche gauche 1">
          <a:hlinkClick xmlns:r="http://schemas.openxmlformats.org/officeDocument/2006/relationships" r:id="rId1"/>
          <a:extLst>
            <a:ext uri="{FF2B5EF4-FFF2-40B4-BE49-F238E27FC236}">
              <a16:creationId xmlns:a16="http://schemas.microsoft.com/office/drawing/2014/main" id="{00000000-0008-0000-2000-00007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1" name="Flèche gauche 1">
          <a:hlinkClick xmlns:r="http://schemas.openxmlformats.org/officeDocument/2006/relationships" r:id="rId1"/>
          <a:extLst>
            <a:ext uri="{FF2B5EF4-FFF2-40B4-BE49-F238E27FC236}">
              <a16:creationId xmlns:a16="http://schemas.microsoft.com/office/drawing/2014/main" id="{00000000-0008-0000-2000-00007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2" name="Flèche gauche 1">
          <a:hlinkClick xmlns:r="http://schemas.openxmlformats.org/officeDocument/2006/relationships" r:id="rId1"/>
          <a:extLst>
            <a:ext uri="{FF2B5EF4-FFF2-40B4-BE49-F238E27FC236}">
              <a16:creationId xmlns:a16="http://schemas.microsoft.com/office/drawing/2014/main" id="{00000000-0008-0000-2000-00007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3" name="Flèche gauche 1">
          <a:hlinkClick xmlns:r="http://schemas.openxmlformats.org/officeDocument/2006/relationships" r:id="rId2"/>
          <a:extLst>
            <a:ext uri="{FF2B5EF4-FFF2-40B4-BE49-F238E27FC236}">
              <a16:creationId xmlns:a16="http://schemas.microsoft.com/office/drawing/2014/main" id="{00000000-0008-0000-2000-00007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4" name="Flèche gauche 1">
          <a:hlinkClick xmlns:r="http://schemas.openxmlformats.org/officeDocument/2006/relationships" r:id="rId1"/>
          <a:extLst>
            <a:ext uri="{FF2B5EF4-FFF2-40B4-BE49-F238E27FC236}">
              <a16:creationId xmlns:a16="http://schemas.microsoft.com/office/drawing/2014/main" id="{00000000-0008-0000-2000-00007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5" name="Flèche gauche 1">
          <a:hlinkClick xmlns:r="http://schemas.openxmlformats.org/officeDocument/2006/relationships" r:id="rId1"/>
          <a:extLst>
            <a:ext uri="{FF2B5EF4-FFF2-40B4-BE49-F238E27FC236}">
              <a16:creationId xmlns:a16="http://schemas.microsoft.com/office/drawing/2014/main" id="{00000000-0008-0000-2000-00007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6" name="Flèche gauche 1">
          <a:hlinkClick xmlns:r="http://schemas.openxmlformats.org/officeDocument/2006/relationships" r:id="rId1"/>
          <a:extLst>
            <a:ext uri="{FF2B5EF4-FFF2-40B4-BE49-F238E27FC236}">
              <a16:creationId xmlns:a16="http://schemas.microsoft.com/office/drawing/2014/main" id="{00000000-0008-0000-2000-00007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7" name="Flèche gauche 1">
          <a:hlinkClick xmlns:r="http://schemas.openxmlformats.org/officeDocument/2006/relationships" r:id="rId2"/>
          <a:extLst>
            <a:ext uri="{FF2B5EF4-FFF2-40B4-BE49-F238E27FC236}">
              <a16:creationId xmlns:a16="http://schemas.microsoft.com/office/drawing/2014/main" id="{00000000-0008-0000-2000-00007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8" name="Flèche gauche 1">
          <a:hlinkClick xmlns:r="http://schemas.openxmlformats.org/officeDocument/2006/relationships" r:id="rId1"/>
          <a:extLst>
            <a:ext uri="{FF2B5EF4-FFF2-40B4-BE49-F238E27FC236}">
              <a16:creationId xmlns:a16="http://schemas.microsoft.com/office/drawing/2014/main" id="{00000000-0008-0000-2000-00007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9" name="Flèche gauche 1">
          <a:hlinkClick xmlns:r="http://schemas.openxmlformats.org/officeDocument/2006/relationships" r:id="rId1"/>
          <a:extLst>
            <a:ext uri="{FF2B5EF4-FFF2-40B4-BE49-F238E27FC236}">
              <a16:creationId xmlns:a16="http://schemas.microsoft.com/office/drawing/2014/main" id="{00000000-0008-0000-2000-00007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0" name="Flèche gauche 1">
          <a:hlinkClick xmlns:r="http://schemas.openxmlformats.org/officeDocument/2006/relationships" r:id="rId1"/>
          <a:extLst>
            <a:ext uri="{FF2B5EF4-FFF2-40B4-BE49-F238E27FC236}">
              <a16:creationId xmlns:a16="http://schemas.microsoft.com/office/drawing/2014/main" id="{00000000-0008-0000-2000-00008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1" name="Flèche gauche 1">
          <a:hlinkClick xmlns:r="http://schemas.openxmlformats.org/officeDocument/2006/relationships" r:id="rId2"/>
          <a:extLst>
            <a:ext uri="{FF2B5EF4-FFF2-40B4-BE49-F238E27FC236}">
              <a16:creationId xmlns:a16="http://schemas.microsoft.com/office/drawing/2014/main" id="{00000000-0008-0000-2000-00008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2" name="Flèche gauche 1">
          <a:hlinkClick xmlns:r="http://schemas.openxmlformats.org/officeDocument/2006/relationships" r:id="rId1"/>
          <a:extLst>
            <a:ext uri="{FF2B5EF4-FFF2-40B4-BE49-F238E27FC236}">
              <a16:creationId xmlns:a16="http://schemas.microsoft.com/office/drawing/2014/main" id="{00000000-0008-0000-2000-00008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3" name="Flèche gauche 1">
          <a:hlinkClick xmlns:r="http://schemas.openxmlformats.org/officeDocument/2006/relationships" r:id="rId1"/>
          <a:extLst>
            <a:ext uri="{FF2B5EF4-FFF2-40B4-BE49-F238E27FC236}">
              <a16:creationId xmlns:a16="http://schemas.microsoft.com/office/drawing/2014/main" id="{00000000-0008-0000-2000-00008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4" name="Flèche gauche 1">
          <a:hlinkClick xmlns:r="http://schemas.openxmlformats.org/officeDocument/2006/relationships" r:id="rId1"/>
          <a:extLst>
            <a:ext uri="{FF2B5EF4-FFF2-40B4-BE49-F238E27FC236}">
              <a16:creationId xmlns:a16="http://schemas.microsoft.com/office/drawing/2014/main" id="{00000000-0008-0000-2000-00008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5" name="Flèche gauche 1">
          <a:hlinkClick xmlns:r="http://schemas.openxmlformats.org/officeDocument/2006/relationships" r:id="rId2"/>
          <a:extLst>
            <a:ext uri="{FF2B5EF4-FFF2-40B4-BE49-F238E27FC236}">
              <a16:creationId xmlns:a16="http://schemas.microsoft.com/office/drawing/2014/main" id="{00000000-0008-0000-2000-00008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6" name="Flèche gauche 1">
          <a:hlinkClick xmlns:r="http://schemas.openxmlformats.org/officeDocument/2006/relationships" r:id="rId1"/>
          <a:extLst>
            <a:ext uri="{FF2B5EF4-FFF2-40B4-BE49-F238E27FC236}">
              <a16:creationId xmlns:a16="http://schemas.microsoft.com/office/drawing/2014/main" id="{00000000-0008-0000-2000-00008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7" name="Flèche gauche 1">
          <a:hlinkClick xmlns:r="http://schemas.openxmlformats.org/officeDocument/2006/relationships" r:id="rId1"/>
          <a:extLst>
            <a:ext uri="{FF2B5EF4-FFF2-40B4-BE49-F238E27FC236}">
              <a16:creationId xmlns:a16="http://schemas.microsoft.com/office/drawing/2014/main" id="{00000000-0008-0000-2000-00008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8" name="Flèche gauche 1">
          <a:hlinkClick xmlns:r="http://schemas.openxmlformats.org/officeDocument/2006/relationships" r:id="rId1"/>
          <a:extLst>
            <a:ext uri="{FF2B5EF4-FFF2-40B4-BE49-F238E27FC236}">
              <a16:creationId xmlns:a16="http://schemas.microsoft.com/office/drawing/2014/main" id="{00000000-0008-0000-2000-00008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9" name="Flèche gauche 1">
          <a:hlinkClick xmlns:r="http://schemas.openxmlformats.org/officeDocument/2006/relationships" r:id="rId2"/>
          <a:extLst>
            <a:ext uri="{FF2B5EF4-FFF2-40B4-BE49-F238E27FC236}">
              <a16:creationId xmlns:a16="http://schemas.microsoft.com/office/drawing/2014/main" id="{00000000-0008-0000-2000-00008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0" name="Flèche gauche 1">
          <a:hlinkClick xmlns:r="http://schemas.openxmlformats.org/officeDocument/2006/relationships" r:id="rId1"/>
          <a:extLst>
            <a:ext uri="{FF2B5EF4-FFF2-40B4-BE49-F238E27FC236}">
              <a16:creationId xmlns:a16="http://schemas.microsoft.com/office/drawing/2014/main" id="{00000000-0008-0000-2000-00008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1" name="Flèche gauche 1">
          <a:hlinkClick xmlns:r="http://schemas.openxmlformats.org/officeDocument/2006/relationships" r:id="rId1"/>
          <a:extLst>
            <a:ext uri="{FF2B5EF4-FFF2-40B4-BE49-F238E27FC236}">
              <a16:creationId xmlns:a16="http://schemas.microsoft.com/office/drawing/2014/main" id="{00000000-0008-0000-2000-00008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2" name="Flèche gauche 1">
          <a:hlinkClick xmlns:r="http://schemas.openxmlformats.org/officeDocument/2006/relationships" r:id="rId1"/>
          <a:extLst>
            <a:ext uri="{FF2B5EF4-FFF2-40B4-BE49-F238E27FC236}">
              <a16:creationId xmlns:a16="http://schemas.microsoft.com/office/drawing/2014/main" id="{00000000-0008-0000-2000-00008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3" name="Flèche gauche 1">
          <a:hlinkClick xmlns:r="http://schemas.openxmlformats.org/officeDocument/2006/relationships" r:id="rId2"/>
          <a:extLst>
            <a:ext uri="{FF2B5EF4-FFF2-40B4-BE49-F238E27FC236}">
              <a16:creationId xmlns:a16="http://schemas.microsoft.com/office/drawing/2014/main" id="{00000000-0008-0000-2000-00008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4" name="Flèche gauche 1">
          <a:hlinkClick xmlns:r="http://schemas.openxmlformats.org/officeDocument/2006/relationships" r:id="rId1"/>
          <a:extLst>
            <a:ext uri="{FF2B5EF4-FFF2-40B4-BE49-F238E27FC236}">
              <a16:creationId xmlns:a16="http://schemas.microsoft.com/office/drawing/2014/main" id="{00000000-0008-0000-2000-00008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5" name="Flèche gauche 1">
          <a:hlinkClick xmlns:r="http://schemas.openxmlformats.org/officeDocument/2006/relationships" r:id="rId1"/>
          <a:extLst>
            <a:ext uri="{FF2B5EF4-FFF2-40B4-BE49-F238E27FC236}">
              <a16:creationId xmlns:a16="http://schemas.microsoft.com/office/drawing/2014/main" id="{00000000-0008-0000-2000-00008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6" name="Flèche gauche 1">
          <a:hlinkClick xmlns:r="http://schemas.openxmlformats.org/officeDocument/2006/relationships" r:id="rId1"/>
          <a:extLst>
            <a:ext uri="{FF2B5EF4-FFF2-40B4-BE49-F238E27FC236}">
              <a16:creationId xmlns:a16="http://schemas.microsoft.com/office/drawing/2014/main" id="{00000000-0008-0000-2000-00009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7" name="Flèche gauche 1">
          <a:hlinkClick xmlns:r="http://schemas.openxmlformats.org/officeDocument/2006/relationships" r:id="rId2"/>
          <a:extLst>
            <a:ext uri="{FF2B5EF4-FFF2-40B4-BE49-F238E27FC236}">
              <a16:creationId xmlns:a16="http://schemas.microsoft.com/office/drawing/2014/main" id="{00000000-0008-0000-2000-00009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8" name="Flèche gauche 1">
          <a:hlinkClick xmlns:r="http://schemas.openxmlformats.org/officeDocument/2006/relationships" r:id="rId1"/>
          <a:extLst>
            <a:ext uri="{FF2B5EF4-FFF2-40B4-BE49-F238E27FC236}">
              <a16:creationId xmlns:a16="http://schemas.microsoft.com/office/drawing/2014/main" id="{00000000-0008-0000-2000-00009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9" name="Flèche gauche 1">
          <a:hlinkClick xmlns:r="http://schemas.openxmlformats.org/officeDocument/2006/relationships" r:id="rId1"/>
          <a:extLst>
            <a:ext uri="{FF2B5EF4-FFF2-40B4-BE49-F238E27FC236}">
              <a16:creationId xmlns:a16="http://schemas.microsoft.com/office/drawing/2014/main" id="{00000000-0008-0000-2000-00009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0" name="Flèche gauche 1">
          <a:hlinkClick xmlns:r="http://schemas.openxmlformats.org/officeDocument/2006/relationships" r:id="rId1"/>
          <a:extLst>
            <a:ext uri="{FF2B5EF4-FFF2-40B4-BE49-F238E27FC236}">
              <a16:creationId xmlns:a16="http://schemas.microsoft.com/office/drawing/2014/main" id="{00000000-0008-0000-2000-00009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1" name="Flèche gauche 1">
          <a:hlinkClick xmlns:r="http://schemas.openxmlformats.org/officeDocument/2006/relationships" r:id="rId2"/>
          <a:extLst>
            <a:ext uri="{FF2B5EF4-FFF2-40B4-BE49-F238E27FC236}">
              <a16:creationId xmlns:a16="http://schemas.microsoft.com/office/drawing/2014/main" id="{00000000-0008-0000-2000-00009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2" name="Flèche gauche 1">
          <a:hlinkClick xmlns:r="http://schemas.openxmlformats.org/officeDocument/2006/relationships" r:id="rId1"/>
          <a:extLst>
            <a:ext uri="{FF2B5EF4-FFF2-40B4-BE49-F238E27FC236}">
              <a16:creationId xmlns:a16="http://schemas.microsoft.com/office/drawing/2014/main" id="{00000000-0008-0000-2000-00009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3" name="Flèche gauche 1">
          <a:hlinkClick xmlns:r="http://schemas.openxmlformats.org/officeDocument/2006/relationships" r:id="rId1"/>
          <a:extLst>
            <a:ext uri="{FF2B5EF4-FFF2-40B4-BE49-F238E27FC236}">
              <a16:creationId xmlns:a16="http://schemas.microsoft.com/office/drawing/2014/main" id="{00000000-0008-0000-2000-00009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4" name="Flèche gauche 1">
          <a:hlinkClick xmlns:r="http://schemas.openxmlformats.org/officeDocument/2006/relationships" r:id="rId1"/>
          <a:extLst>
            <a:ext uri="{FF2B5EF4-FFF2-40B4-BE49-F238E27FC236}">
              <a16:creationId xmlns:a16="http://schemas.microsoft.com/office/drawing/2014/main" id="{00000000-0008-0000-2000-00009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5" name="Flèche gauche 1">
          <a:hlinkClick xmlns:r="http://schemas.openxmlformats.org/officeDocument/2006/relationships" r:id="rId2"/>
          <a:extLst>
            <a:ext uri="{FF2B5EF4-FFF2-40B4-BE49-F238E27FC236}">
              <a16:creationId xmlns:a16="http://schemas.microsoft.com/office/drawing/2014/main" id="{00000000-0008-0000-2000-00009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6" name="Flèche gauche 1">
          <a:hlinkClick xmlns:r="http://schemas.openxmlformats.org/officeDocument/2006/relationships" r:id="rId1"/>
          <a:extLst>
            <a:ext uri="{FF2B5EF4-FFF2-40B4-BE49-F238E27FC236}">
              <a16:creationId xmlns:a16="http://schemas.microsoft.com/office/drawing/2014/main" id="{00000000-0008-0000-2000-00009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7" name="Flèche gauche 1">
          <a:hlinkClick xmlns:r="http://schemas.openxmlformats.org/officeDocument/2006/relationships" r:id="rId1"/>
          <a:extLst>
            <a:ext uri="{FF2B5EF4-FFF2-40B4-BE49-F238E27FC236}">
              <a16:creationId xmlns:a16="http://schemas.microsoft.com/office/drawing/2014/main" id="{00000000-0008-0000-2000-00009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8" name="Flèche gauche 1">
          <a:hlinkClick xmlns:r="http://schemas.openxmlformats.org/officeDocument/2006/relationships" r:id="rId1"/>
          <a:extLst>
            <a:ext uri="{FF2B5EF4-FFF2-40B4-BE49-F238E27FC236}">
              <a16:creationId xmlns:a16="http://schemas.microsoft.com/office/drawing/2014/main" id="{00000000-0008-0000-2000-00009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9" name="Flèche gauche 1">
          <a:hlinkClick xmlns:r="http://schemas.openxmlformats.org/officeDocument/2006/relationships" r:id="rId2"/>
          <a:extLst>
            <a:ext uri="{FF2B5EF4-FFF2-40B4-BE49-F238E27FC236}">
              <a16:creationId xmlns:a16="http://schemas.microsoft.com/office/drawing/2014/main" id="{00000000-0008-0000-2000-00009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0" name="Flèche gauche 1">
          <a:hlinkClick xmlns:r="http://schemas.openxmlformats.org/officeDocument/2006/relationships" r:id="rId1"/>
          <a:extLst>
            <a:ext uri="{FF2B5EF4-FFF2-40B4-BE49-F238E27FC236}">
              <a16:creationId xmlns:a16="http://schemas.microsoft.com/office/drawing/2014/main" id="{00000000-0008-0000-2000-00009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1" name="Flèche gauche 1">
          <a:hlinkClick xmlns:r="http://schemas.openxmlformats.org/officeDocument/2006/relationships" r:id="rId1"/>
          <a:extLst>
            <a:ext uri="{FF2B5EF4-FFF2-40B4-BE49-F238E27FC236}">
              <a16:creationId xmlns:a16="http://schemas.microsoft.com/office/drawing/2014/main" id="{00000000-0008-0000-2000-00009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2" name="Flèche gauche 1">
          <a:hlinkClick xmlns:r="http://schemas.openxmlformats.org/officeDocument/2006/relationships" r:id="rId1"/>
          <a:extLst>
            <a:ext uri="{FF2B5EF4-FFF2-40B4-BE49-F238E27FC236}">
              <a16:creationId xmlns:a16="http://schemas.microsoft.com/office/drawing/2014/main" id="{00000000-0008-0000-2000-0000A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3" name="Flèche gauche 1">
          <a:hlinkClick xmlns:r="http://schemas.openxmlformats.org/officeDocument/2006/relationships" r:id="rId2"/>
          <a:extLst>
            <a:ext uri="{FF2B5EF4-FFF2-40B4-BE49-F238E27FC236}">
              <a16:creationId xmlns:a16="http://schemas.microsoft.com/office/drawing/2014/main" id="{00000000-0008-0000-2000-0000A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4" name="Flèche gauche 1">
          <a:hlinkClick xmlns:r="http://schemas.openxmlformats.org/officeDocument/2006/relationships" r:id="rId1"/>
          <a:extLst>
            <a:ext uri="{FF2B5EF4-FFF2-40B4-BE49-F238E27FC236}">
              <a16:creationId xmlns:a16="http://schemas.microsoft.com/office/drawing/2014/main" id="{00000000-0008-0000-2000-0000A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5" name="Flèche gauche 1">
          <a:hlinkClick xmlns:r="http://schemas.openxmlformats.org/officeDocument/2006/relationships" r:id="rId1"/>
          <a:extLst>
            <a:ext uri="{FF2B5EF4-FFF2-40B4-BE49-F238E27FC236}">
              <a16:creationId xmlns:a16="http://schemas.microsoft.com/office/drawing/2014/main" id="{00000000-0008-0000-2000-0000A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6" name="Flèche gauche 1">
          <a:hlinkClick xmlns:r="http://schemas.openxmlformats.org/officeDocument/2006/relationships" r:id="rId1"/>
          <a:extLst>
            <a:ext uri="{FF2B5EF4-FFF2-40B4-BE49-F238E27FC236}">
              <a16:creationId xmlns:a16="http://schemas.microsoft.com/office/drawing/2014/main" id="{00000000-0008-0000-2000-0000A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7" name="Flèche gauche 1">
          <a:hlinkClick xmlns:r="http://schemas.openxmlformats.org/officeDocument/2006/relationships" r:id="rId2"/>
          <a:extLst>
            <a:ext uri="{FF2B5EF4-FFF2-40B4-BE49-F238E27FC236}">
              <a16:creationId xmlns:a16="http://schemas.microsoft.com/office/drawing/2014/main" id="{00000000-0008-0000-2000-0000A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8" name="Flèche gauche 1">
          <a:hlinkClick xmlns:r="http://schemas.openxmlformats.org/officeDocument/2006/relationships" r:id="rId1"/>
          <a:extLst>
            <a:ext uri="{FF2B5EF4-FFF2-40B4-BE49-F238E27FC236}">
              <a16:creationId xmlns:a16="http://schemas.microsoft.com/office/drawing/2014/main" id="{00000000-0008-0000-2000-0000A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9" name="Flèche gauche 1">
          <a:hlinkClick xmlns:r="http://schemas.openxmlformats.org/officeDocument/2006/relationships" r:id="rId1"/>
          <a:extLst>
            <a:ext uri="{FF2B5EF4-FFF2-40B4-BE49-F238E27FC236}">
              <a16:creationId xmlns:a16="http://schemas.microsoft.com/office/drawing/2014/main" id="{00000000-0008-0000-2000-0000A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0" name="Flèche gauche 1">
          <a:hlinkClick xmlns:r="http://schemas.openxmlformats.org/officeDocument/2006/relationships" r:id="rId1"/>
          <a:extLst>
            <a:ext uri="{FF2B5EF4-FFF2-40B4-BE49-F238E27FC236}">
              <a16:creationId xmlns:a16="http://schemas.microsoft.com/office/drawing/2014/main" id="{00000000-0008-0000-2000-0000A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1" name="Flèche gauche 1">
          <a:hlinkClick xmlns:r="http://schemas.openxmlformats.org/officeDocument/2006/relationships" r:id="rId2"/>
          <a:extLst>
            <a:ext uri="{FF2B5EF4-FFF2-40B4-BE49-F238E27FC236}">
              <a16:creationId xmlns:a16="http://schemas.microsoft.com/office/drawing/2014/main" id="{00000000-0008-0000-2000-0000A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2" name="Flèche gauche 1">
          <a:hlinkClick xmlns:r="http://schemas.openxmlformats.org/officeDocument/2006/relationships" r:id="rId1"/>
          <a:extLst>
            <a:ext uri="{FF2B5EF4-FFF2-40B4-BE49-F238E27FC236}">
              <a16:creationId xmlns:a16="http://schemas.microsoft.com/office/drawing/2014/main" id="{00000000-0008-0000-2000-0000A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3" name="Flèche gauche 1">
          <a:hlinkClick xmlns:r="http://schemas.openxmlformats.org/officeDocument/2006/relationships" r:id="rId1"/>
          <a:extLst>
            <a:ext uri="{FF2B5EF4-FFF2-40B4-BE49-F238E27FC236}">
              <a16:creationId xmlns:a16="http://schemas.microsoft.com/office/drawing/2014/main" id="{00000000-0008-0000-2000-0000A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4" name="Flèche gauche 1">
          <a:hlinkClick xmlns:r="http://schemas.openxmlformats.org/officeDocument/2006/relationships" r:id="rId1"/>
          <a:extLst>
            <a:ext uri="{FF2B5EF4-FFF2-40B4-BE49-F238E27FC236}">
              <a16:creationId xmlns:a16="http://schemas.microsoft.com/office/drawing/2014/main" id="{00000000-0008-0000-2000-0000A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5" name="Flèche gauche 1">
          <a:hlinkClick xmlns:r="http://schemas.openxmlformats.org/officeDocument/2006/relationships" r:id="rId2"/>
          <a:extLst>
            <a:ext uri="{FF2B5EF4-FFF2-40B4-BE49-F238E27FC236}">
              <a16:creationId xmlns:a16="http://schemas.microsoft.com/office/drawing/2014/main" id="{00000000-0008-0000-2000-0000A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6" name="Flèche gauche 1">
          <a:hlinkClick xmlns:r="http://schemas.openxmlformats.org/officeDocument/2006/relationships" r:id="rId1"/>
          <a:extLst>
            <a:ext uri="{FF2B5EF4-FFF2-40B4-BE49-F238E27FC236}">
              <a16:creationId xmlns:a16="http://schemas.microsoft.com/office/drawing/2014/main" id="{00000000-0008-0000-2000-0000A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7" name="Flèche gauche 1">
          <a:hlinkClick xmlns:r="http://schemas.openxmlformats.org/officeDocument/2006/relationships" r:id="rId1"/>
          <a:extLst>
            <a:ext uri="{FF2B5EF4-FFF2-40B4-BE49-F238E27FC236}">
              <a16:creationId xmlns:a16="http://schemas.microsoft.com/office/drawing/2014/main" id="{00000000-0008-0000-2000-0000A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8" name="Flèche gauche 1">
          <a:hlinkClick xmlns:r="http://schemas.openxmlformats.org/officeDocument/2006/relationships" r:id="rId1"/>
          <a:extLst>
            <a:ext uri="{FF2B5EF4-FFF2-40B4-BE49-F238E27FC236}">
              <a16:creationId xmlns:a16="http://schemas.microsoft.com/office/drawing/2014/main" id="{00000000-0008-0000-2000-0000B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9" name="Flèche gauche 1">
          <a:hlinkClick xmlns:r="http://schemas.openxmlformats.org/officeDocument/2006/relationships" r:id="rId2"/>
          <a:extLst>
            <a:ext uri="{FF2B5EF4-FFF2-40B4-BE49-F238E27FC236}">
              <a16:creationId xmlns:a16="http://schemas.microsoft.com/office/drawing/2014/main" id="{00000000-0008-0000-2000-0000B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0" name="Flèche gauche 1">
          <a:hlinkClick xmlns:r="http://schemas.openxmlformats.org/officeDocument/2006/relationships" r:id="rId1"/>
          <a:extLst>
            <a:ext uri="{FF2B5EF4-FFF2-40B4-BE49-F238E27FC236}">
              <a16:creationId xmlns:a16="http://schemas.microsoft.com/office/drawing/2014/main" id="{00000000-0008-0000-2000-0000B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1" name="Flèche gauche 1">
          <a:hlinkClick xmlns:r="http://schemas.openxmlformats.org/officeDocument/2006/relationships" r:id="rId1"/>
          <a:extLst>
            <a:ext uri="{FF2B5EF4-FFF2-40B4-BE49-F238E27FC236}">
              <a16:creationId xmlns:a16="http://schemas.microsoft.com/office/drawing/2014/main" id="{00000000-0008-0000-2000-0000B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2" name="Flèche gauche 1">
          <a:hlinkClick xmlns:r="http://schemas.openxmlformats.org/officeDocument/2006/relationships" r:id="rId1"/>
          <a:extLst>
            <a:ext uri="{FF2B5EF4-FFF2-40B4-BE49-F238E27FC236}">
              <a16:creationId xmlns:a16="http://schemas.microsoft.com/office/drawing/2014/main" id="{00000000-0008-0000-2000-0000B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3" name="Flèche gauche 1">
          <a:hlinkClick xmlns:r="http://schemas.openxmlformats.org/officeDocument/2006/relationships" r:id="rId2"/>
          <a:extLst>
            <a:ext uri="{FF2B5EF4-FFF2-40B4-BE49-F238E27FC236}">
              <a16:creationId xmlns:a16="http://schemas.microsoft.com/office/drawing/2014/main" id="{00000000-0008-0000-2000-0000B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4" name="Flèche gauche 1">
          <a:hlinkClick xmlns:r="http://schemas.openxmlformats.org/officeDocument/2006/relationships" r:id="rId1"/>
          <a:extLst>
            <a:ext uri="{FF2B5EF4-FFF2-40B4-BE49-F238E27FC236}">
              <a16:creationId xmlns:a16="http://schemas.microsoft.com/office/drawing/2014/main" id="{00000000-0008-0000-2000-0000B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5" name="Flèche gauche 1">
          <a:hlinkClick xmlns:r="http://schemas.openxmlformats.org/officeDocument/2006/relationships" r:id="rId1"/>
          <a:extLst>
            <a:ext uri="{FF2B5EF4-FFF2-40B4-BE49-F238E27FC236}">
              <a16:creationId xmlns:a16="http://schemas.microsoft.com/office/drawing/2014/main" id="{00000000-0008-0000-2000-0000B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6" name="Flèche gauche 1">
          <a:hlinkClick xmlns:r="http://schemas.openxmlformats.org/officeDocument/2006/relationships" r:id="rId1"/>
          <a:extLst>
            <a:ext uri="{FF2B5EF4-FFF2-40B4-BE49-F238E27FC236}">
              <a16:creationId xmlns:a16="http://schemas.microsoft.com/office/drawing/2014/main" id="{00000000-0008-0000-2000-0000B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7" name="Flèche gauche 1">
          <a:hlinkClick xmlns:r="http://schemas.openxmlformats.org/officeDocument/2006/relationships" r:id="rId2"/>
          <a:extLst>
            <a:ext uri="{FF2B5EF4-FFF2-40B4-BE49-F238E27FC236}">
              <a16:creationId xmlns:a16="http://schemas.microsoft.com/office/drawing/2014/main" id="{00000000-0008-0000-2000-0000B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8" name="Flèche gauche 1">
          <a:hlinkClick xmlns:r="http://schemas.openxmlformats.org/officeDocument/2006/relationships" r:id="rId1"/>
          <a:extLst>
            <a:ext uri="{FF2B5EF4-FFF2-40B4-BE49-F238E27FC236}">
              <a16:creationId xmlns:a16="http://schemas.microsoft.com/office/drawing/2014/main" id="{00000000-0008-0000-2000-0000B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9" name="Flèche gauche 1">
          <a:hlinkClick xmlns:r="http://schemas.openxmlformats.org/officeDocument/2006/relationships" r:id="rId1"/>
          <a:extLst>
            <a:ext uri="{FF2B5EF4-FFF2-40B4-BE49-F238E27FC236}">
              <a16:creationId xmlns:a16="http://schemas.microsoft.com/office/drawing/2014/main" id="{00000000-0008-0000-2000-0000B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0" name="Flèche gauche 1">
          <a:hlinkClick xmlns:r="http://schemas.openxmlformats.org/officeDocument/2006/relationships" r:id="rId1"/>
          <a:extLst>
            <a:ext uri="{FF2B5EF4-FFF2-40B4-BE49-F238E27FC236}">
              <a16:creationId xmlns:a16="http://schemas.microsoft.com/office/drawing/2014/main" id="{00000000-0008-0000-2000-0000B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1" name="Flèche gauche 1">
          <a:hlinkClick xmlns:r="http://schemas.openxmlformats.org/officeDocument/2006/relationships" r:id="rId2"/>
          <a:extLst>
            <a:ext uri="{FF2B5EF4-FFF2-40B4-BE49-F238E27FC236}">
              <a16:creationId xmlns:a16="http://schemas.microsoft.com/office/drawing/2014/main" id="{00000000-0008-0000-2000-0000B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2" name="Flèche gauche 1">
          <a:hlinkClick xmlns:r="http://schemas.openxmlformats.org/officeDocument/2006/relationships" r:id="rId1"/>
          <a:extLst>
            <a:ext uri="{FF2B5EF4-FFF2-40B4-BE49-F238E27FC236}">
              <a16:creationId xmlns:a16="http://schemas.microsoft.com/office/drawing/2014/main" id="{00000000-0008-0000-2000-0000B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3" name="Flèche gauche 1">
          <a:hlinkClick xmlns:r="http://schemas.openxmlformats.org/officeDocument/2006/relationships" r:id="rId1"/>
          <a:extLst>
            <a:ext uri="{FF2B5EF4-FFF2-40B4-BE49-F238E27FC236}">
              <a16:creationId xmlns:a16="http://schemas.microsoft.com/office/drawing/2014/main" id="{00000000-0008-0000-2000-0000B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4" name="Flèche gauche 1">
          <a:hlinkClick xmlns:r="http://schemas.openxmlformats.org/officeDocument/2006/relationships" r:id="rId1"/>
          <a:extLst>
            <a:ext uri="{FF2B5EF4-FFF2-40B4-BE49-F238E27FC236}">
              <a16:creationId xmlns:a16="http://schemas.microsoft.com/office/drawing/2014/main" id="{00000000-0008-0000-2000-0000C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5" name="Flèche gauche 1">
          <a:hlinkClick xmlns:r="http://schemas.openxmlformats.org/officeDocument/2006/relationships" r:id="rId2"/>
          <a:extLst>
            <a:ext uri="{FF2B5EF4-FFF2-40B4-BE49-F238E27FC236}">
              <a16:creationId xmlns:a16="http://schemas.microsoft.com/office/drawing/2014/main" id="{00000000-0008-0000-2000-0000C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6" name="Flèche gauche 1">
          <a:hlinkClick xmlns:r="http://schemas.openxmlformats.org/officeDocument/2006/relationships" r:id="rId1"/>
          <a:extLst>
            <a:ext uri="{FF2B5EF4-FFF2-40B4-BE49-F238E27FC236}">
              <a16:creationId xmlns:a16="http://schemas.microsoft.com/office/drawing/2014/main" id="{00000000-0008-0000-2000-0000C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7" name="Flèche gauche 1">
          <a:hlinkClick xmlns:r="http://schemas.openxmlformats.org/officeDocument/2006/relationships" r:id="rId1"/>
          <a:extLst>
            <a:ext uri="{FF2B5EF4-FFF2-40B4-BE49-F238E27FC236}">
              <a16:creationId xmlns:a16="http://schemas.microsoft.com/office/drawing/2014/main" id="{00000000-0008-0000-2000-0000C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8" name="Flèche gauche 1">
          <a:hlinkClick xmlns:r="http://schemas.openxmlformats.org/officeDocument/2006/relationships" r:id="rId1"/>
          <a:extLst>
            <a:ext uri="{FF2B5EF4-FFF2-40B4-BE49-F238E27FC236}">
              <a16:creationId xmlns:a16="http://schemas.microsoft.com/office/drawing/2014/main" id="{00000000-0008-0000-2000-0000C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9" name="Flèche gauche 1">
          <a:hlinkClick xmlns:r="http://schemas.openxmlformats.org/officeDocument/2006/relationships" r:id="rId2"/>
          <a:extLst>
            <a:ext uri="{FF2B5EF4-FFF2-40B4-BE49-F238E27FC236}">
              <a16:creationId xmlns:a16="http://schemas.microsoft.com/office/drawing/2014/main" id="{00000000-0008-0000-2000-0000C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0" name="Flèche gauche 1">
          <a:hlinkClick xmlns:r="http://schemas.openxmlformats.org/officeDocument/2006/relationships" r:id="rId1"/>
          <a:extLst>
            <a:ext uri="{FF2B5EF4-FFF2-40B4-BE49-F238E27FC236}">
              <a16:creationId xmlns:a16="http://schemas.microsoft.com/office/drawing/2014/main" id="{00000000-0008-0000-2000-0000C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1" name="Flèche gauche 1">
          <a:hlinkClick xmlns:r="http://schemas.openxmlformats.org/officeDocument/2006/relationships" r:id="rId1"/>
          <a:extLst>
            <a:ext uri="{FF2B5EF4-FFF2-40B4-BE49-F238E27FC236}">
              <a16:creationId xmlns:a16="http://schemas.microsoft.com/office/drawing/2014/main" id="{00000000-0008-0000-2000-0000C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2" name="Flèche gauche 1">
          <a:hlinkClick xmlns:r="http://schemas.openxmlformats.org/officeDocument/2006/relationships" r:id="rId1"/>
          <a:extLst>
            <a:ext uri="{FF2B5EF4-FFF2-40B4-BE49-F238E27FC236}">
              <a16:creationId xmlns:a16="http://schemas.microsoft.com/office/drawing/2014/main" id="{00000000-0008-0000-2000-0000C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3" name="Flèche gauche 1">
          <a:hlinkClick xmlns:r="http://schemas.openxmlformats.org/officeDocument/2006/relationships" r:id="rId2"/>
          <a:extLst>
            <a:ext uri="{FF2B5EF4-FFF2-40B4-BE49-F238E27FC236}">
              <a16:creationId xmlns:a16="http://schemas.microsoft.com/office/drawing/2014/main" id="{00000000-0008-0000-2000-0000C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4" name="Flèche gauche 1">
          <a:hlinkClick xmlns:r="http://schemas.openxmlformats.org/officeDocument/2006/relationships" r:id="rId1"/>
          <a:extLst>
            <a:ext uri="{FF2B5EF4-FFF2-40B4-BE49-F238E27FC236}">
              <a16:creationId xmlns:a16="http://schemas.microsoft.com/office/drawing/2014/main" id="{00000000-0008-0000-2000-0000C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5" name="Flèche gauche 1">
          <a:hlinkClick xmlns:r="http://schemas.openxmlformats.org/officeDocument/2006/relationships" r:id="rId1"/>
          <a:extLst>
            <a:ext uri="{FF2B5EF4-FFF2-40B4-BE49-F238E27FC236}">
              <a16:creationId xmlns:a16="http://schemas.microsoft.com/office/drawing/2014/main" id="{00000000-0008-0000-2000-0000C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6" name="Flèche gauche 1">
          <a:hlinkClick xmlns:r="http://schemas.openxmlformats.org/officeDocument/2006/relationships" r:id="rId1"/>
          <a:extLst>
            <a:ext uri="{FF2B5EF4-FFF2-40B4-BE49-F238E27FC236}">
              <a16:creationId xmlns:a16="http://schemas.microsoft.com/office/drawing/2014/main" id="{00000000-0008-0000-2000-0000C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7" name="Flèche gauche 1">
          <a:hlinkClick xmlns:r="http://schemas.openxmlformats.org/officeDocument/2006/relationships" r:id="rId2"/>
          <a:extLst>
            <a:ext uri="{FF2B5EF4-FFF2-40B4-BE49-F238E27FC236}">
              <a16:creationId xmlns:a16="http://schemas.microsoft.com/office/drawing/2014/main" id="{00000000-0008-0000-2000-0000C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8" name="Flèche gauche 1">
          <a:hlinkClick xmlns:r="http://schemas.openxmlformats.org/officeDocument/2006/relationships" r:id="rId1"/>
          <a:extLst>
            <a:ext uri="{FF2B5EF4-FFF2-40B4-BE49-F238E27FC236}">
              <a16:creationId xmlns:a16="http://schemas.microsoft.com/office/drawing/2014/main" id="{00000000-0008-0000-2000-0000C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9" name="Flèche gauche 1">
          <a:hlinkClick xmlns:r="http://schemas.openxmlformats.org/officeDocument/2006/relationships" r:id="rId1"/>
          <a:extLst>
            <a:ext uri="{FF2B5EF4-FFF2-40B4-BE49-F238E27FC236}">
              <a16:creationId xmlns:a16="http://schemas.microsoft.com/office/drawing/2014/main" id="{00000000-0008-0000-2000-0000C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0" name="Flèche gauche 1">
          <a:hlinkClick xmlns:r="http://schemas.openxmlformats.org/officeDocument/2006/relationships" r:id="rId1"/>
          <a:extLst>
            <a:ext uri="{FF2B5EF4-FFF2-40B4-BE49-F238E27FC236}">
              <a16:creationId xmlns:a16="http://schemas.microsoft.com/office/drawing/2014/main" id="{00000000-0008-0000-2000-0000D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1" name="Flèche gauche 1">
          <a:hlinkClick xmlns:r="http://schemas.openxmlformats.org/officeDocument/2006/relationships" r:id="rId2"/>
          <a:extLst>
            <a:ext uri="{FF2B5EF4-FFF2-40B4-BE49-F238E27FC236}">
              <a16:creationId xmlns:a16="http://schemas.microsoft.com/office/drawing/2014/main" id="{00000000-0008-0000-2000-0000D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2" name="Flèche gauche 1">
          <a:hlinkClick xmlns:r="http://schemas.openxmlformats.org/officeDocument/2006/relationships" r:id="rId1"/>
          <a:extLst>
            <a:ext uri="{FF2B5EF4-FFF2-40B4-BE49-F238E27FC236}">
              <a16:creationId xmlns:a16="http://schemas.microsoft.com/office/drawing/2014/main" id="{00000000-0008-0000-2000-0000D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3" name="Flèche gauche 1">
          <a:hlinkClick xmlns:r="http://schemas.openxmlformats.org/officeDocument/2006/relationships" r:id="rId1"/>
          <a:extLst>
            <a:ext uri="{FF2B5EF4-FFF2-40B4-BE49-F238E27FC236}">
              <a16:creationId xmlns:a16="http://schemas.microsoft.com/office/drawing/2014/main" id="{00000000-0008-0000-2000-0000D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4" name="Flèche gauche 1">
          <a:hlinkClick xmlns:r="http://schemas.openxmlformats.org/officeDocument/2006/relationships" r:id="rId1"/>
          <a:extLst>
            <a:ext uri="{FF2B5EF4-FFF2-40B4-BE49-F238E27FC236}">
              <a16:creationId xmlns:a16="http://schemas.microsoft.com/office/drawing/2014/main" id="{00000000-0008-0000-2000-0000D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5" name="Flèche gauche 1">
          <a:hlinkClick xmlns:r="http://schemas.openxmlformats.org/officeDocument/2006/relationships" r:id="rId2"/>
          <a:extLst>
            <a:ext uri="{FF2B5EF4-FFF2-40B4-BE49-F238E27FC236}">
              <a16:creationId xmlns:a16="http://schemas.microsoft.com/office/drawing/2014/main" id="{00000000-0008-0000-2000-0000D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6" name="Flèche gauche 1">
          <a:hlinkClick xmlns:r="http://schemas.openxmlformats.org/officeDocument/2006/relationships" r:id="rId1"/>
          <a:extLst>
            <a:ext uri="{FF2B5EF4-FFF2-40B4-BE49-F238E27FC236}">
              <a16:creationId xmlns:a16="http://schemas.microsoft.com/office/drawing/2014/main" id="{00000000-0008-0000-2000-0000D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7" name="Flèche gauche 1">
          <a:hlinkClick xmlns:r="http://schemas.openxmlformats.org/officeDocument/2006/relationships" r:id="rId1"/>
          <a:extLst>
            <a:ext uri="{FF2B5EF4-FFF2-40B4-BE49-F238E27FC236}">
              <a16:creationId xmlns:a16="http://schemas.microsoft.com/office/drawing/2014/main" id="{00000000-0008-0000-2000-0000D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8" name="Flèche gauche 1">
          <a:hlinkClick xmlns:r="http://schemas.openxmlformats.org/officeDocument/2006/relationships" r:id="rId1"/>
          <a:extLst>
            <a:ext uri="{FF2B5EF4-FFF2-40B4-BE49-F238E27FC236}">
              <a16:creationId xmlns:a16="http://schemas.microsoft.com/office/drawing/2014/main" id="{00000000-0008-0000-2000-0000D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9" name="Flèche gauche 1">
          <a:hlinkClick xmlns:r="http://schemas.openxmlformats.org/officeDocument/2006/relationships" r:id="rId2"/>
          <a:extLst>
            <a:ext uri="{FF2B5EF4-FFF2-40B4-BE49-F238E27FC236}">
              <a16:creationId xmlns:a16="http://schemas.microsoft.com/office/drawing/2014/main" id="{00000000-0008-0000-2000-0000D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0" name="Flèche gauche 1">
          <a:hlinkClick xmlns:r="http://schemas.openxmlformats.org/officeDocument/2006/relationships" r:id="rId1"/>
          <a:extLst>
            <a:ext uri="{FF2B5EF4-FFF2-40B4-BE49-F238E27FC236}">
              <a16:creationId xmlns:a16="http://schemas.microsoft.com/office/drawing/2014/main" id="{00000000-0008-0000-2000-0000D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1" name="Flèche gauche 1">
          <a:hlinkClick xmlns:r="http://schemas.openxmlformats.org/officeDocument/2006/relationships" r:id="rId1"/>
          <a:extLst>
            <a:ext uri="{FF2B5EF4-FFF2-40B4-BE49-F238E27FC236}">
              <a16:creationId xmlns:a16="http://schemas.microsoft.com/office/drawing/2014/main" id="{00000000-0008-0000-2000-0000D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2" name="Flèche gauche 1">
          <a:hlinkClick xmlns:r="http://schemas.openxmlformats.org/officeDocument/2006/relationships" r:id="rId1"/>
          <a:extLst>
            <a:ext uri="{FF2B5EF4-FFF2-40B4-BE49-F238E27FC236}">
              <a16:creationId xmlns:a16="http://schemas.microsoft.com/office/drawing/2014/main" id="{00000000-0008-0000-2000-0000D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3" name="Flèche gauche 1">
          <a:hlinkClick xmlns:r="http://schemas.openxmlformats.org/officeDocument/2006/relationships" r:id="rId2"/>
          <a:extLst>
            <a:ext uri="{FF2B5EF4-FFF2-40B4-BE49-F238E27FC236}">
              <a16:creationId xmlns:a16="http://schemas.microsoft.com/office/drawing/2014/main" id="{00000000-0008-0000-2000-0000D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4" name="Flèche gauche 1">
          <a:hlinkClick xmlns:r="http://schemas.openxmlformats.org/officeDocument/2006/relationships" r:id="rId1"/>
          <a:extLst>
            <a:ext uri="{FF2B5EF4-FFF2-40B4-BE49-F238E27FC236}">
              <a16:creationId xmlns:a16="http://schemas.microsoft.com/office/drawing/2014/main" id="{00000000-0008-0000-2000-0000D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5" name="Flèche gauche 1">
          <a:hlinkClick xmlns:r="http://schemas.openxmlformats.org/officeDocument/2006/relationships" r:id="rId1"/>
          <a:extLst>
            <a:ext uri="{FF2B5EF4-FFF2-40B4-BE49-F238E27FC236}">
              <a16:creationId xmlns:a16="http://schemas.microsoft.com/office/drawing/2014/main" id="{00000000-0008-0000-2000-0000D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6" name="Flèche gauche 1">
          <a:hlinkClick xmlns:r="http://schemas.openxmlformats.org/officeDocument/2006/relationships" r:id="rId1"/>
          <a:extLst>
            <a:ext uri="{FF2B5EF4-FFF2-40B4-BE49-F238E27FC236}">
              <a16:creationId xmlns:a16="http://schemas.microsoft.com/office/drawing/2014/main" id="{00000000-0008-0000-2000-0000E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7" name="Flèche gauche 1">
          <a:hlinkClick xmlns:r="http://schemas.openxmlformats.org/officeDocument/2006/relationships" r:id="rId2"/>
          <a:extLst>
            <a:ext uri="{FF2B5EF4-FFF2-40B4-BE49-F238E27FC236}">
              <a16:creationId xmlns:a16="http://schemas.microsoft.com/office/drawing/2014/main" id="{00000000-0008-0000-2000-0000E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8" name="Flèche gauche 1">
          <a:hlinkClick xmlns:r="http://schemas.openxmlformats.org/officeDocument/2006/relationships" r:id="rId1"/>
          <a:extLst>
            <a:ext uri="{FF2B5EF4-FFF2-40B4-BE49-F238E27FC236}">
              <a16:creationId xmlns:a16="http://schemas.microsoft.com/office/drawing/2014/main" id="{00000000-0008-0000-2000-0000E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9" name="Flèche gauche 1">
          <a:hlinkClick xmlns:r="http://schemas.openxmlformats.org/officeDocument/2006/relationships" r:id="rId1"/>
          <a:extLst>
            <a:ext uri="{FF2B5EF4-FFF2-40B4-BE49-F238E27FC236}">
              <a16:creationId xmlns:a16="http://schemas.microsoft.com/office/drawing/2014/main" id="{00000000-0008-0000-2000-0000E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0" name="Flèche gauche 1">
          <a:hlinkClick xmlns:r="http://schemas.openxmlformats.org/officeDocument/2006/relationships" r:id="rId1"/>
          <a:extLst>
            <a:ext uri="{FF2B5EF4-FFF2-40B4-BE49-F238E27FC236}">
              <a16:creationId xmlns:a16="http://schemas.microsoft.com/office/drawing/2014/main" id="{00000000-0008-0000-2000-0000E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1" name="Flèche gauche 1">
          <a:hlinkClick xmlns:r="http://schemas.openxmlformats.org/officeDocument/2006/relationships" r:id="rId2"/>
          <a:extLst>
            <a:ext uri="{FF2B5EF4-FFF2-40B4-BE49-F238E27FC236}">
              <a16:creationId xmlns:a16="http://schemas.microsoft.com/office/drawing/2014/main" id="{00000000-0008-0000-2000-0000E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2" name="Flèche gauche 1">
          <a:hlinkClick xmlns:r="http://schemas.openxmlformats.org/officeDocument/2006/relationships" r:id="rId1"/>
          <a:extLst>
            <a:ext uri="{FF2B5EF4-FFF2-40B4-BE49-F238E27FC236}">
              <a16:creationId xmlns:a16="http://schemas.microsoft.com/office/drawing/2014/main" id="{00000000-0008-0000-2000-0000E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3" name="Flèche gauche 1">
          <a:hlinkClick xmlns:r="http://schemas.openxmlformats.org/officeDocument/2006/relationships" r:id="rId1"/>
          <a:extLst>
            <a:ext uri="{FF2B5EF4-FFF2-40B4-BE49-F238E27FC236}">
              <a16:creationId xmlns:a16="http://schemas.microsoft.com/office/drawing/2014/main" id="{00000000-0008-0000-2000-0000E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4" name="Flèche gauche 1">
          <a:hlinkClick xmlns:r="http://schemas.openxmlformats.org/officeDocument/2006/relationships" r:id="rId1"/>
          <a:extLst>
            <a:ext uri="{FF2B5EF4-FFF2-40B4-BE49-F238E27FC236}">
              <a16:creationId xmlns:a16="http://schemas.microsoft.com/office/drawing/2014/main" id="{00000000-0008-0000-2000-0000E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5" name="Flèche gauche 1">
          <a:hlinkClick xmlns:r="http://schemas.openxmlformats.org/officeDocument/2006/relationships" r:id="rId2"/>
          <a:extLst>
            <a:ext uri="{FF2B5EF4-FFF2-40B4-BE49-F238E27FC236}">
              <a16:creationId xmlns:a16="http://schemas.microsoft.com/office/drawing/2014/main" id="{00000000-0008-0000-2000-0000E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6" name="Flèche gauche 1">
          <a:hlinkClick xmlns:r="http://schemas.openxmlformats.org/officeDocument/2006/relationships" r:id="rId1"/>
          <a:extLst>
            <a:ext uri="{FF2B5EF4-FFF2-40B4-BE49-F238E27FC236}">
              <a16:creationId xmlns:a16="http://schemas.microsoft.com/office/drawing/2014/main" id="{00000000-0008-0000-2000-0000E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7" name="Flèche gauche 1">
          <a:hlinkClick xmlns:r="http://schemas.openxmlformats.org/officeDocument/2006/relationships" r:id="rId1"/>
          <a:extLst>
            <a:ext uri="{FF2B5EF4-FFF2-40B4-BE49-F238E27FC236}">
              <a16:creationId xmlns:a16="http://schemas.microsoft.com/office/drawing/2014/main" id="{00000000-0008-0000-2000-0000E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8" name="Flèche gauche 1">
          <a:hlinkClick xmlns:r="http://schemas.openxmlformats.org/officeDocument/2006/relationships" r:id="rId1"/>
          <a:extLst>
            <a:ext uri="{FF2B5EF4-FFF2-40B4-BE49-F238E27FC236}">
              <a16:creationId xmlns:a16="http://schemas.microsoft.com/office/drawing/2014/main" id="{00000000-0008-0000-2000-0000E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9" name="Flèche gauche 1">
          <a:hlinkClick xmlns:r="http://schemas.openxmlformats.org/officeDocument/2006/relationships" r:id="rId2"/>
          <a:extLst>
            <a:ext uri="{FF2B5EF4-FFF2-40B4-BE49-F238E27FC236}">
              <a16:creationId xmlns:a16="http://schemas.microsoft.com/office/drawing/2014/main" id="{00000000-0008-0000-2000-0000E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0" name="Flèche gauche 1">
          <a:hlinkClick xmlns:r="http://schemas.openxmlformats.org/officeDocument/2006/relationships" r:id="rId1"/>
          <a:extLst>
            <a:ext uri="{FF2B5EF4-FFF2-40B4-BE49-F238E27FC236}">
              <a16:creationId xmlns:a16="http://schemas.microsoft.com/office/drawing/2014/main" id="{00000000-0008-0000-2000-0000E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1" name="Flèche gauche 1">
          <a:hlinkClick xmlns:r="http://schemas.openxmlformats.org/officeDocument/2006/relationships" r:id="rId1"/>
          <a:extLst>
            <a:ext uri="{FF2B5EF4-FFF2-40B4-BE49-F238E27FC236}">
              <a16:creationId xmlns:a16="http://schemas.microsoft.com/office/drawing/2014/main" id="{00000000-0008-0000-2000-0000E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2" name="Flèche gauche 1">
          <a:hlinkClick xmlns:r="http://schemas.openxmlformats.org/officeDocument/2006/relationships" r:id="rId1"/>
          <a:extLst>
            <a:ext uri="{FF2B5EF4-FFF2-40B4-BE49-F238E27FC236}">
              <a16:creationId xmlns:a16="http://schemas.microsoft.com/office/drawing/2014/main" id="{00000000-0008-0000-2000-0000F0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3" name="Flèche gauche 1">
          <a:hlinkClick xmlns:r="http://schemas.openxmlformats.org/officeDocument/2006/relationships" r:id="rId2"/>
          <a:extLst>
            <a:ext uri="{FF2B5EF4-FFF2-40B4-BE49-F238E27FC236}">
              <a16:creationId xmlns:a16="http://schemas.microsoft.com/office/drawing/2014/main" id="{00000000-0008-0000-2000-0000F1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4" name="Flèche gauche 1">
          <a:hlinkClick xmlns:r="http://schemas.openxmlformats.org/officeDocument/2006/relationships" r:id="rId1"/>
          <a:extLst>
            <a:ext uri="{FF2B5EF4-FFF2-40B4-BE49-F238E27FC236}">
              <a16:creationId xmlns:a16="http://schemas.microsoft.com/office/drawing/2014/main" id="{00000000-0008-0000-2000-0000F2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5" name="Flèche gauche 1">
          <a:hlinkClick xmlns:r="http://schemas.openxmlformats.org/officeDocument/2006/relationships" r:id="rId1"/>
          <a:extLst>
            <a:ext uri="{FF2B5EF4-FFF2-40B4-BE49-F238E27FC236}">
              <a16:creationId xmlns:a16="http://schemas.microsoft.com/office/drawing/2014/main" id="{00000000-0008-0000-2000-0000F3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6" name="Flèche gauche 1">
          <a:hlinkClick xmlns:r="http://schemas.openxmlformats.org/officeDocument/2006/relationships" r:id="rId1"/>
          <a:extLst>
            <a:ext uri="{FF2B5EF4-FFF2-40B4-BE49-F238E27FC236}">
              <a16:creationId xmlns:a16="http://schemas.microsoft.com/office/drawing/2014/main" id="{00000000-0008-0000-2000-0000F4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7" name="Flèche gauche 1">
          <a:hlinkClick xmlns:r="http://schemas.openxmlformats.org/officeDocument/2006/relationships" r:id="rId2"/>
          <a:extLst>
            <a:ext uri="{FF2B5EF4-FFF2-40B4-BE49-F238E27FC236}">
              <a16:creationId xmlns:a16="http://schemas.microsoft.com/office/drawing/2014/main" id="{00000000-0008-0000-2000-0000F5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8" name="Flèche gauche 1">
          <a:hlinkClick xmlns:r="http://schemas.openxmlformats.org/officeDocument/2006/relationships" r:id="rId1"/>
          <a:extLst>
            <a:ext uri="{FF2B5EF4-FFF2-40B4-BE49-F238E27FC236}">
              <a16:creationId xmlns:a16="http://schemas.microsoft.com/office/drawing/2014/main" id="{00000000-0008-0000-2000-0000F6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9" name="Flèche gauche 1">
          <a:hlinkClick xmlns:r="http://schemas.openxmlformats.org/officeDocument/2006/relationships" r:id="rId1"/>
          <a:extLst>
            <a:ext uri="{FF2B5EF4-FFF2-40B4-BE49-F238E27FC236}">
              <a16:creationId xmlns:a16="http://schemas.microsoft.com/office/drawing/2014/main" id="{00000000-0008-0000-2000-0000F7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0" name="Flèche gauche 1">
          <a:hlinkClick xmlns:r="http://schemas.openxmlformats.org/officeDocument/2006/relationships" r:id="rId1"/>
          <a:extLst>
            <a:ext uri="{FF2B5EF4-FFF2-40B4-BE49-F238E27FC236}">
              <a16:creationId xmlns:a16="http://schemas.microsoft.com/office/drawing/2014/main" id="{00000000-0008-0000-2000-0000F8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1" name="Flèche gauche 1">
          <a:hlinkClick xmlns:r="http://schemas.openxmlformats.org/officeDocument/2006/relationships" r:id="rId2"/>
          <a:extLst>
            <a:ext uri="{FF2B5EF4-FFF2-40B4-BE49-F238E27FC236}">
              <a16:creationId xmlns:a16="http://schemas.microsoft.com/office/drawing/2014/main" id="{00000000-0008-0000-2000-0000F9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2" name="Flèche gauche 1">
          <a:hlinkClick xmlns:r="http://schemas.openxmlformats.org/officeDocument/2006/relationships" r:id="rId1"/>
          <a:extLst>
            <a:ext uri="{FF2B5EF4-FFF2-40B4-BE49-F238E27FC236}">
              <a16:creationId xmlns:a16="http://schemas.microsoft.com/office/drawing/2014/main" id="{00000000-0008-0000-2000-0000FA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3" name="Flèche gauche 1">
          <a:hlinkClick xmlns:r="http://schemas.openxmlformats.org/officeDocument/2006/relationships" r:id="rId1"/>
          <a:extLst>
            <a:ext uri="{FF2B5EF4-FFF2-40B4-BE49-F238E27FC236}">
              <a16:creationId xmlns:a16="http://schemas.microsoft.com/office/drawing/2014/main" id="{00000000-0008-0000-2000-0000FB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4" name="Flèche gauche 1">
          <a:hlinkClick xmlns:r="http://schemas.openxmlformats.org/officeDocument/2006/relationships" r:id="rId1"/>
          <a:extLst>
            <a:ext uri="{FF2B5EF4-FFF2-40B4-BE49-F238E27FC236}">
              <a16:creationId xmlns:a16="http://schemas.microsoft.com/office/drawing/2014/main" id="{00000000-0008-0000-2000-0000FC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5" name="Flèche gauche 1">
          <a:hlinkClick xmlns:r="http://schemas.openxmlformats.org/officeDocument/2006/relationships" r:id="rId2"/>
          <a:extLst>
            <a:ext uri="{FF2B5EF4-FFF2-40B4-BE49-F238E27FC236}">
              <a16:creationId xmlns:a16="http://schemas.microsoft.com/office/drawing/2014/main" id="{00000000-0008-0000-2000-0000FD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6" name="Flèche gauche 1">
          <a:hlinkClick xmlns:r="http://schemas.openxmlformats.org/officeDocument/2006/relationships" r:id="rId1"/>
          <a:extLst>
            <a:ext uri="{FF2B5EF4-FFF2-40B4-BE49-F238E27FC236}">
              <a16:creationId xmlns:a16="http://schemas.microsoft.com/office/drawing/2014/main" id="{00000000-0008-0000-2000-0000FE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7" name="Flèche gauche 1">
          <a:hlinkClick xmlns:r="http://schemas.openxmlformats.org/officeDocument/2006/relationships" r:id="rId1"/>
          <a:extLst>
            <a:ext uri="{FF2B5EF4-FFF2-40B4-BE49-F238E27FC236}">
              <a16:creationId xmlns:a16="http://schemas.microsoft.com/office/drawing/2014/main" id="{00000000-0008-0000-2000-0000FF02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8" name="Flèche gauche 1">
          <a:hlinkClick xmlns:r="http://schemas.openxmlformats.org/officeDocument/2006/relationships" r:id="rId1"/>
          <a:extLst>
            <a:ext uri="{FF2B5EF4-FFF2-40B4-BE49-F238E27FC236}">
              <a16:creationId xmlns:a16="http://schemas.microsoft.com/office/drawing/2014/main" id="{00000000-0008-0000-2000-000000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9" name="Flèche gauche 1">
          <a:hlinkClick xmlns:r="http://schemas.openxmlformats.org/officeDocument/2006/relationships" r:id="rId2"/>
          <a:extLst>
            <a:ext uri="{FF2B5EF4-FFF2-40B4-BE49-F238E27FC236}">
              <a16:creationId xmlns:a16="http://schemas.microsoft.com/office/drawing/2014/main" id="{00000000-0008-0000-2000-00000103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130" name="Flèche gauche 1">
          <a:hlinkClick xmlns:r="http://schemas.openxmlformats.org/officeDocument/2006/relationships" r:id="rId1"/>
          <a:extLst>
            <a:ext uri="{FF2B5EF4-FFF2-40B4-BE49-F238E27FC236}">
              <a16:creationId xmlns:a16="http://schemas.microsoft.com/office/drawing/2014/main" id="{00000000-0008-0000-2100-000082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1" name="Flèche gauche 1">
          <a:hlinkClick xmlns:r="http://schemas.openxmlformats.org/officeDocument/2006/relationships" r:id="rId1"/>
          <a:extLst>
            <a:ext uri="{FF2B5EF4-FFF2-40B4-BE49-F238E27FC236}">
              <a16:creationId xmlns:a16="http://schemas.microsoft.com/office/drawing/2014/main" id="{00000000-0008-0000-2100-000083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2" name="Flèche gauche 1">
          <a:hlinkClick xmlns:r="http://schemas.openxmlformats.org/officeDocument/2006/relationships" r:id="rId1"/>
          <a:extLst>
            <a:ext uri="{FF2B5EF4-FFF2-40B4-BE49-F238E27FC236}">
              <a16:creationId xmlns:a16="http://schemas.microsoft.com/office/drawing/2014/main" id="{00000000-0008-0000-2100-000084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3" name="Flèche gauche 1">
          <a:hlinkClick xmlns:r="http://schemas.openxmlformats.org/officeDocument/2006/relationships" r:id="rId2"/>
          <a:extLst>
            <a:ext uri="{FF2B5EF4-FFF2-40B4-BE49-F238E27FC236}">
              <a16:creationId xmlns:a16="http://schemas.microsoft.com/office/drawing/2014/main" id="{00000000-0008-0000-2100-000085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4" name="Flèche gauche 1">
          <a:hlinkClick xmlns:r="http://schemas.openxmlformats.org/officeDocument/2006/relationships" r:id="rId1"/>
          <a:extLst>
            <a:ext uri="{FF2B5EF4-FFF2-40B4-BE49-F238E27FC236}">
              <a16:creationId xmlns:a16="http://schemas.microsoft.com/office/drawing/2014/main" id="{00000000-0008-0000-2100-000086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5" name="Flèche gauche 1">
          <a:hlinkClick xmlns:r="http://schemas.openxmlformats.org/officeDocument/2006/relationships" r:id="rId1"/>
          <a:extLst>
            <a:ext uri="{FF2B5EF4-FFF2-40B4-BE49-F238E27FC236}">
              <a16:creationId xmlns:a16="http://schemas.microsoft.com/office/drawing/2014/main" id="{00000000-0008-0000-2100-000087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6" name="Flèche gauche 1">
          <a:hlinkClick xmlns:r="http://schemas.openxmlformats.org/officeDocument/2006/relationships" r:id="rId1"/>
          <a:extLst>
            <a:ext uri="{FF2B5EF4-FFF2-40B4-BE49-F238E27FC236}">
              <a16:creationId xmlns:a16="http://schemas.microsoft.com/office/drawing/2014/main" id="{00000000-0008-0000-2100-000088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7" name="Flèche gauche 1">
          <a:hlinkClick xmlns:r="http://schemas.openxmlformats.org/officeDocument/2006/relationships" r:id="rId2"/>
          <a:extLst>
            <a:ext uri="{FF2B5EF4-FFF2-40B4-BE49-F238E27FC236}">
              <a16:creationId xmlns:a16="http://schemas.microsoft.com/office/drawing/2014/main" id="{00000000-0008-0000-2100-000089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8" name="Flèche gauche 1">
          <a:hlinkClick xmlns:r="http://schemas.openxmlformats.org/officeDocument/2006/relationships" r:id="rId1"/>
          <a:extLst>
            <a:ext uri="{FF2B5EF4-FFF2-40B4-BE49-F238E27FC236}">
              <a16:creationId xmlns:a16="http://schemas.microsoft.com/office/drawing/2014/main" id="{00000000-0008-0000-2100-00008A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9" name="Flèche gauche 1">
          <a:hlinkClick xmlns:r="http://schemas.openxmlformats.org/officeDocument/2006/relationships" r:id="rId1"/>
          <a:extLst>
            <a:ext uri="{FF2B5EF4-FFF2-40B4-BE49-F238E27FC236}">
              <a16:creationId xmlns:a16="http://schemas.microsoft.com/office/drawing/2014/main" id="{00000000-0008-0000-2100-00008B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0" name="Flèche gauche 1">
          <a:hlinkClick xmlns:r="http://schemas.openxmlformats.org/officeDocument/2006/relationships" r:id="rId1"/>
          <a:extLst>
            <a:ext uri="{FF2B5EF4-FFF2-40B4-BE49-F238E27FC236}">
              <a16:creationId xmlns:a16="http://schemas.microsoft.com/office/drawing/2014/main" id="{00000000-0008-0000-2100-00008C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1" name="Flèche gauche 1">
          <a:hlinkClick xmlns:r="http://schemas.openxmlformats.org/officeDocument/2006/relationships" r:id="rId2"/>
          <a:extLst>
            <a:ext uri="{FF2B5EF4-FFF2-40B4-BE49-F238E27FC236}">
              <a16:creationId xmlns:a16="http://schemas.microsoft.com/office/drawing/2014/main" id="{00000000-0008-0000-2100-00008D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2" name="Flèche gauche 1">
          <a:hlinkClick xmlns:r="http://schemas.openxmlformats.org/officeDocument/2006/relationships" r:id="rId1"/>
          <a:extLst>
            <a:ext uri="{FF2B5EF4-FFF2-40B4-BE49-F238E27FC236}">
              <a16:creationId xmlns:a16="http://schemas.microsoft.com/office/drawing/2014/main" id="{00000000-0008-0000-2100-00008E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3" name="Flèche gauche 1">
          <a:hlinkClick xmlns:r="http://schemas.openxmlformats.org/officeDocument/2006/relationships" r:id="rId1"/>
          <a:extLst>
            <a:ext uri="{FF2B5EF4-FFF2-40B4-BE49-F238E27FC236}">
              <a16:creationId xmlns:a16="http://schemas.microsoft.com/office/drawing/2014/main" id="{00000000-0008-0000-2100-00008F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4" name="Flèche gauche 1">
          <a:hlinkClick xmlns:r="http://schemas.openxmlformats.org/officeDocument/2006/relationships" r:id="rId1"/>
          <a:extLst>
            <a:ext uri="{FF2B5EF4-FFF2-40B4-BE49-F238E27FC236}">
              <a16:creationId xmlns:a16="http://schemas.microsoft.com/office/drawing/2014/main" id="{00000000-0008-0000-2100-000090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5" name="Flèche gauche 1">
          <a:hlinkClick xmlns:r="http://schemas.openxmlformats.org/officeDocument/2006/relationships" r:id="rId2"/>
          <a:extLst>
            <a:ext uri="{FF2B5EF4-FFF2-40B4-BE49-F238E27FC236}">
              <a16:creationId xmlns:a16="http://schemas.microsoft.com/office/drawing/2014/main" id="{00000000-0008-0000-2100-000091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6" name="Flèche gauche 1">
          <a:hlinkClick xmlns:r="http://schemas.openxmlformats.org/officeDocument/2006/relationships" r:id="rId1"/>
          <a:extLst>
            <a:ext uri="{FF2B5EF4-FFF2-40B4-BE49-F238E27FC236}">
              <a16:creationId xmlns:a16="http://schemas.microsoft.com/office/drawing/2014/main" id="{00000000-0008-0000-2100-000092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7" name="Flèche gauche 1">
          <a:hlinkClick xmlns:r="http://schemas.openxmlformats.org/officeDocument/2006/relationships" r:id="rId1"/>
          <a:extLst>
            <a:ext uri="{FF2B5EF4-FFF2-40B4-BE49-F238E27FC236}">
              <a16:creationId xmlns:a16="http://schemas.microsoft.com/office/drawing/2014/main" id="{00000000-0008-0000-2100-000093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8" name="Flèche gauche 1">
          <a:hlinkClick xmlns:r="http://schemas.openxmlformats.org/officeDocument/2006/relationships" r:id="rId1"/>
          <a:extLst>
            <a:ext uri="{FF2B5EF4-FFF2-40B4-BE49-F238E27FC236}">
              <a16:creationId xmlns:a16="http://schemas.microsoft.com/office/drawing/2014/main" id="{00000000-0008-0000-2100-000094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9" name="Flèche gauche 1">
          <a:hlinkClick xmlns:r="http://schemas.openxmlformats.org/officeDocument/2006/relationships" r:id="rId2"/>
          <a:extLst>
            <a:ext uri="{FF2B5EF4-FFF2-40B4-BE49-F238E27FC236}">
              <a16:creationId xmlns:a16="http://schemas.microsoft.com/office/drawing/2014/main" id="{00000000-0008-0000-2100-000095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0" name="Flèche gauche 1">
          <a:hlinkClick xmlns:r="http://schemas.openxmlformats.org/officeDocument/2006/relationships" r:id="rId1"/>
          <a:extLst>
            <a:ext uri="{FF2B5EF4-FFF2-40B4-BE49-F238E27FC236}">
              <a16:creationId xmlns:a16="http://schemas.microsoft.com/office/drawing/2014/main" id="{00000000-0008-0000-2100-000096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1" name="Flèche gauche 1">
          <a:hlinkClick xmlns:r="http://schemas.openxmlformats.org/officeDocument/2006/relationships" r:id="rId1"/>
          <a:extLst>
            <a:ext uri="{FF2B5EF4-FFF2-40B4-BE49-F238E27FC236}">
              <a16:creationId xmlns:a16="http://schemas.microsoft.com/office/drawing/2014/main" id="{00000000-0008-0000-2100-000097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2" name="Flèche gauche 1">
          <a:hlinkClick xmlns:r="http://schemas.openxmlformats.org/officeDocument/2006/relationships" r:id="rId1"/>
          <a:extLst>
            <a:ext uri="{FF2B5EF4-FFF2-40B4-BE49-F238E27FC236}">
              <a16:creationId xmlns:a16="http://schemas.microsoft.com/office/drawing/2014/main" id="{00000000-0008-0000-2100-000098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3" name="Flèche gauche 1">
          <a:hlinkClick xmlns:r="http://schemas.openxmlformats.org/officeDocument/2006/relationships" r:id="rId2"/>
          <a:extLst>
            <a:ext uri="{FF2B5EF4-FFF2-40B4-BE49-F238E27FC236}">
              <a16:creationId xmlns:a16="http://schemas.microsoft.com/office/drawing/2014/main" id="{00000000-0008-0000-2100-000099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4" name="Flèche gauche 1">
          <a:hlinkClick xmlns:r="http://schemas.openxmlformats.org/officeDocument/2006/relationships" r:id="rId1"/>
          <a:extLst>
            <a:ext uri="{FF2B5EF4-FFF2-40B4-BE49-F238E27FC236}">
              <a16:creationId xmlns:a16="http://schemas.microsoft.com/office/drawing/2014/main" id="{00000000-0008-0000-2100-00009A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5" name="Flèche gauche 1">
          <a:hlinkClick xmlns:r="http://schemas.openxmlformats.org/officeDocument/2006/relationships" r:id="rId1"/>
          <a:extLst>
            <a:ext uri="{FF2B5EF4-FFF2-40B4-BE49-F238E27FC236}">
              <a16:creationId xmlns:a16="http://schemas.microsoft.com/office/drawing/2014/main" id="{00000000-0008-0000-2100-00009B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6" name="Flèche gauche 1">
          <a:hlinkClick xmlns:r="http://schemas.openxmlformats.org/officeDocument/2006/relationships" r:id="rId1"/>
          <a:extLst>
            <a:ext uri="{FF2B5EF4-FFF2-40B4-BE49-F238E27FC236}">
              <a16:creationId xmlns:a16="http://schemas.microsoft.com/office/drawing/2014/main" id="{00000000-0008-0000-2100-00009C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7" name="Flèche gauche 1">
          <a:hlinkClick xmlns:r="http://schemas.openxmlformats.org/officeDocument/2006/relationships" r:id="rId2"/>
          <a:extLst>
            <a:ext uri="{FF2B5EF4-FFF2-40B4-BE49-F238E27FC236}">
              <a16:creationId xmlns:a16="http://schemas.microsoft.com/office/drawing/2014/main" id="{00000000-0008-0000-2100-00009D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8" name="Flèche gauche 1">
          <a:hlinkClick xmlns:r="http://schemas.openxmlformats.org/officeDocument/2006/relationships" r:id="rId1"/>
          <a:extLst>
            <a:ext uri="{FF2B5EF4-FFF2-40B4-BE49-F238E27FC236}">
              <a16:creationId xmlns:a16="http://schemas.microsoft.com/office/drawing/2014/main" id="{00000000-0008-0000-2100-00009E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9" name="Flèche gauche 1">
          <a:hlinkClick xmlns:r="http://schemas.openxmlformats.org/officeDocument/2006/relationships" r:id="rId1"/>
          <a:extLst>
            <a:ext uri="{FF2B5EF4-FFF2-40B4-BE49-F238E27FC236}">
              <a16:creationId xmlns:a16="http://schemas.microsoft.com/office/drawing/2014/main" id="{00000000-0008-0000-2100-00009F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0" name="Flèche gauche 1">
          <a:hlinkClick xmlns:r="http://schemas.openxmlformats.org/officeDocument/2006/relationships" r:id="rId1"/>
          <a:extLst>
            <a:ext uri="{FF2B5EF4-FFF2-40B4-BE49-F238E27FC236}">
              <a16:creationId xmlns:a16="http://schemas.microsoft.com/office/drawing/2014/main" id="{00000000-0008-0000-2100-0000A0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1" name="Flèche gauche 1">
          <a:hlinkClick xmlns:r="http://schemas.openxmlformats.org/officeDocument/2006/relationships" r:id="rId2"/>
          <a:extLst>
            <a:ext uri="{FF2B5EF4-FFF2-40B4-BE49-F238E27FC236}">
              <a16:creationId xmlns:a16="http://schemas.microsoft.com/office/drawing/2014/main" id="{00000000-0008-0000-2100-0000A1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2" name="Flèche gauche 1">
          <a:hlinkClick xmlns:r="http://schemas.openxmlformats.org/officeDocument/2006/relationships" r:id="rId1"/>
          <a:extLst>
            <a:ext uri="{FF2B5EF4-FFF2-40B4-BE49-F238E27FC236}">
              <a16:creationId xmlns:a16="http://schemas.microsoft.com/office/drawing/2014/main" id="{00000000-0008-0000-2100-0000A2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3" name="Flèche gauche 1">
          <a:hlinkClick xmlns:r="http://schemas.openxmlformats.org/officeDocument/2006/relationships" r:id="rId1"/>
          <a:extLst>
            <a:ext uri="{FF2B5EF4-FFF2-40B4-BE49-F238E27FC236}">
              <a16:creationId xmlns:a16="http://schemas.microsoft.com/office/drawing/2014/main" id="{00000000-0008-0000-2100-0000A3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4" name="Flèche gauche 1">
          <a:hlinkClick xmlns:r="http://schemas.openxmlformats.org/officeDocument/2006/relationships" r:id="rId1"/>
          <a:extLst>
            <a:ext uri="{FF2B5EF4-FFF2-40B4-BE49-F238E27FC236}">
              <a16:creationId xmlns:a16="http://schemas.microsoft.com/office/drawing/2014/main" id="{00000000-0008-0000-2100-0000A4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5" name="Flèche gauche 1">
          <a:hlinkClick xmlns:r="http://schemas.openxmlformats.org/officeDocument/2006/relationships" r:id="rId2"/>
          <a:extLst>
            <a:ext uri="{FF2B5EF4-FFF2-40B4-BE49-F238E27FC236}">
              <a16:creationId xmlns:a16="http://schemas.microsoft.com/office/drawing/2014/main" id="{00000000-0008-0000-2100-0000A5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6" name="Flèche gauche 1">
          <a:hlinkClick xmlns:r="http://schemas.openxmlformats.org/officeDocument/2006/relationships" r:id="rId1"/>
          <a:extLst>
            <a:ext uri="{FF2B5EF4-FFF2-40B4-BE49-F238E27FC236}">
              <a16:creationId xmlns:a16="http://schemas.microsoft.com/office/drawing/2014/main" id="{00000000-0008-0000-2100-0000A6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7" name="Flèche gauche 1">
          <a:hlinkClick xmlns:r="http://schemas.openxmlformats.org/officeDocument/2006/relationships" r:id="rId1"/>
          <a:extLst>
            <a:ext uri="{FF2B5EF4-FFF2-40B4-BE49-F238E27FC236}">
              <a16:creationId xmlns:a16="http://schemas.microsoft.com/office/drawing/2014/main" id="{00000000-0008-0000-2100-0000A7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8" name="Flèche gauche 1">
          <a:hlinkClick xmlns:r="http://schemas.openxmlformats.org/officeDocument/2006/relationships" r:id="rId1"/>
          <a:extLst>
            <a:ext uri="{FF2B5EF4-FFF2-40B4-BE49-F238E27FC236}">
              <a16:creationId xmlns:a16="http://schemas.microsoft.com/office/drawing/2014/main" id="{00000000-0008-0000-2100-0000A8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9" name="Flèche gauche 1">
          <a:hlinkClick xmlns:r="http://schemas.openxmlformats.org/officeDocument/2006/relationships" r:id="rId2"/>
          <a:extLst>
            <a:ext uri="{FF2B5EF4-FFF2-40B4-BE49-F238E27FC236}">
              <a16:creationId xmlns:a16="http://schemas.microsoft.com/office/drawing/2014/main" id="{00000000-0008-0000-2100-0000A9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0" name="Flèche gauche 1">
          <a:hlinkClick xmlns:r="http://schemas.openxmlformats.org/officeDocument/2006/relationships" r:id="rId1"/>
          <a:extLst>
            <a:ext uri="{FF2B5EF4-FFF2-40B4-BE49-F238E27FC236}">
              <a16:creationId xmlns:a16="http://schemas.microsoft.com/office/drawing/2014/main" id="{00000000-0008-0000-2100-0000AA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1" name="Flèche gauche 1">
          <a:hlinkClick xmlns:r="http://schemas.openxmlformats.org/officeDocument/2006/relationships" r:id="rId1"/>
          <a:extLst>
            <a:ext uri="{FF2B5EF4-FFF2-40B4-BE49-F238E27FC236}">
              <a16:creationId xmlns:a16="http://schemas.microsoft.com/office/drawing/2014/main" id="{00000000-0008-0000-2100-0000AB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2" name="Flèche gauche 1">
          <a:hlinkClick xmlns:r="http://schemas.openxmlformats.org/officeDocument/2006/relationships" r:id="rId1"/>
          <a:extLst>
            <a:ext uri="{FF2B5EF4-FFF2-40B4-BE49-F238E27FC236}">
              <a16:creationId xmlns:a16="http://schemas.microsoft.com/office/drawing/2014/main" id="{00000000-0008-0000-2100-0000AC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3" name="Flèche gauche 1">
          <a:hlinkClick xmlns:r="http://schemas.openxmlformats.org/officeDocument/2006/relationships" r:id="rId2"/>
          <a:extLst>
            <a:ext uri="{FF2B5EF4-FFF2-40B4-BE49-F238E27FC236}">
              <a16:creationId xmlns:a16="http://schemas.microsoft.com/office/drawing/2014/main" id="{00000000-0008-0000-2100-0000AD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4" name="Flèche gauche 1">
          <a:hlinkClick xmlns:r="http://schemas.openxmlformats.org/officeDocument/2006/relationships" r:id="rId1"/>
          <a:extLst>
            <a:ext uri="{FF2B5EF4-FFF2-40B4-BE49-F238E27FC236}">
              <a16:creationId xmlns:a16="http://schemas.microsoft.com/office/drawing/2014/main" id="{00000000-0008-0000-2100-0000AE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5" name="Flèche gauche 1">
          <a:hlinkClick xmlns:r="http://schemas.openxmlformats.org/officeDocument/2006/relationships" r:id="rId1"/>
          <a:extLst>
            <a:ext uri="{FF2B5EF4-FFF2-40B4-BE49-F238E27FC236}">
              <a16:creationId xmlns:a16="http://schemas.microsoft.com/office/drawing/2014/main" id="{00000000-0008-0000-2100-0000AF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6" name="Flèche gauche 1">
          <a:hlinkClick xmlns:r="http://schemas.openxmlformats.org/officeDocument/2006/relationships" r:id="rId1"/>
          <a:extLst>
            <a:ext uri="{FF2B5EF4-FFF2-40B4-BE49-F238E27FC236}">
              <a16:creationId xmlns:a16="http://schemas.microsoft.com/office/drawing/2014/main" id="{00000000-0008-0000-2100-0000B0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7" name="Flèche gauche 1">
          <a:hlinkClick xmlns:r="http://schemas.openxmlformats.org/officeDocument/2006/relationships" r:id="rId2"/>
          <a:extLst>
            <a:ext uri="{FF2B5EF4-FFF2-40B4-BE49-F238E27FC236}">
              <a16:creationId xmlns:a16="http://schemas.microsoft.com/office/drawing/2014/main" id="{00000000-0008-0000-2100-0000B1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8" name="Flèche gauche 1">
          <a:hlinkClick xmlns:r="http://schemas.openxmlformats.org/officeDocument/2006/relationships" r:id="rId1"/>
          <a:extLst>
            <a:ext uri="{FF2B5EF4-FFF2-40B4-BE49-F238E27FC236}">
              <a16:creationId xmlns:a16="http://schemas.microsoft.com/office/drawing/2014/main" id="{00000000-0008-0000-2100-0000B2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9" name="Flèche gauche 1">
          <a:hlinkClick xmlns:r="http://schemas.openxmlformats.org/officeDocument/2006/relationships" r:id="rId1"/>
          <a:extLst>
            <a:ext uri="{FF2B5EF4-FFF2-40B4-BE49-F238E27FC236}">
              <a16:creationId xmlns:a16="http://schemas.microsoft.com/office/drawing/2014/main" id="{00000000-0008-0000-2100-0000B3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0" name="Flèche gauche 1">
          <a:hlinkClick xmlns:r="http://schemas.openxmlformats.org/officeDocument/2006/relationships" r:id="rId1"/>
          <a:extLst>
            <a:ext uri="{FF2B5EF4-FFF2-40B4-BE49-F238E27FC236}">
              <a16:creationId xmlns:a16="http://schemas.microsoft.com/office/drawing/2014/main" id="{00000000-0008-0000-2100-0000B4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1" name="Flèche gauche 1">
          <a:hlinkClick xmlns:r="http://schemas.openxmlformats.org/officeDocument/2006/relationships" r:id="rId2"/>
          <a:extLst>
            <a:ext uri="{FF2B5EF4-FFF2-40B4-BE49-F238E27FC236}">
              <a16:creationId xmlns:a16="http://schemas.microsoft.com/office/drawing/2014/main" id="{00000000-0008-0000-2100-0000B5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2" name="Flèche gauche 1">
          <a:hlinkClick xmlns:r="http://schemas.openxmlformats.org/officeDocument/2006/relationships" r:id="rId1"/>
          <a:extLst>
            <a:ext uri="{FF2B5EF4-FFF2-40B4-BE49-F238E27FC236}">
              <a16:creationId xmlns:a16="http://schemas.microsoft.com/office/drawing/2014/main" id="{00000000-0008-0000-2100-0000B6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3" name="Flèche gauche 1">
          <a:hlinkClick xmlns:r="http://schemas.openxmlformats.org/officeDocument/2006/relationships" r:id="rId1"/>
          <a:extLst>
            <a:ext uri="{FF2B5EF4-FFF2-40B4-BE49-F238E27FC236}">
              <a16:creationId xmlns:a16="http://schemas.microsoft.com/office/drawing/2014/main" id="{00000000-0008-0000-2100-0000B7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4" name="Flèche gauche 1">
          <a:hlinkClick xmlns:r="http://schemas.openxmlformats.org/officeDocument/2006/relationships" r:id="rId1"/>
          <a:extLst>
            <a:ext uri="{FF2B5EF4-FFF2-40B4-BE49-F238E27FC236}">
              <a16:creationId xmlns:a16="http://schemas.microsoft.com/office/drawing/2014/main" id="{00000000-0008-0000-2100-0000B8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5" name="Flèche gauche 1">
          <a:hlinkClick xmlns:r="http://schemas.openxmlformats.org/officeDocument/2006/relationships" r:id="rId2"/>
          <a:extLst>
            <a:ext uri="{FF2B5EF4-FFF2-40B4-BE49-F238E27FC236}">
              <a16:creationId xmlns:a16="http://schemas.microsoft.com/office/drawing/2014/main" id="{00000000-0008-0000-2100-0000B9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6" name="Flèche gauche 1">
          <a:hlinkClick xmlns:r="http://schemas.openxmlformats.org/officeDocument/2006/relationships" r:id="rId1"/>
          <a:extLst>
            <a:ext uri="{FF2B5EF4-FFF2-40B4-BE49-F238E27FC236}">
              <a16:creationId xmlns:a16="http://schemas.microsoft.com/office/drawing/2014/main" id="{00000000-0008-0000-2100-0000BA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7" name="Flèche gauche 1">
          <a:hlinkClick xmlns:r="http://schemas.openxmlformats.org/officeDocument/2006/relationships" r:id="rId1"/>
          <a:extLst>
            <a:ext uri="{FF2B5EF4-FFF2-40B4-BE49-F238E27FC236}">
              <a16:creationId xmlns:a16="http://schemas.microsoft.com/office/drawing/2014/main" id="{00000000-0008-0000-2100-0000BB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8" name="Flèche gauche 1">
          <a:hlinkClick xmlns:r="http://schemas.openxmlformats.org/officeDocument/2006/relationships" r:id="rId1"/>
          <a:extLst>
            <a:ext uri="{FF2B5EF4-FFF2-40B4-BE49-F238E27FC236}">
              <a16:creationId xmlns:a16="http://schemas.microsoft.com/office/drawing/2014/main" id="{00000000-0008-0000-2100-0000BC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9" name="Flèche gauche 1">
          <a:hlinkClick xmlns:r="http://schemas.openxmlformats.org/officeDocument/2006/relationships" r:id="rId2"/>
          <a:extLst>
            <a:ext uri="{FF2B5EF4-FFF2-40B4-BE49-F238E27FC236}">
              <a16:creationId xmlns:a16="http://schemas.microsoft.com/office/drawing/2014/main" id="{00000000-0008-0000-2100-0000BD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0" name="Flèche gauche 1">
          <a:hlinkClick xmlns:r="http://schemas.openxmlformats.org/officeDocument/2006/relationships" r:id="rId1"/>
          <a:extLst>
            <a:ext uri="{FF2B5EF4-FFF2-40B4-BE49-F238E27FC236}">
              <a16:creationId xmlns:a16="http://schemas.microsoft.com/office/drawing/2014/main" id="{00000000-0008-0000-2100-0000BE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1" name="Flèche gauche 1">
          <a:hlinkClick xmlns:r="http://schemas.openxmlformats.org/officeDocument/2006/relationships" r:id="rId1"/>
          <a:extLst>
            <a:ext uri="{FF2B5EF4-FFF2-40B4-BE49-F238E27FC236}">
              <a16:creationId xmlns:a16="http://schemas.microsoft.com/office/drawing/2014/main" id="{00000000-0008-0000-2100-0000BF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2" name="Flèche gauche 1">
          <a:hlinkClick xmlns:r="http://schemas.openxmlformats.org/officeDocument/2006/relationships" r:id="rId1"/>
          <a:extLst>
            <a:ext uri="{FF2B5EF4-FFF2-40B4-BE49-F238E27FC236}">
              <a16:creationId xmlns:a16="http://schemas.microsoft.com/office/drawing/2014/main" id="{00000000-0008-0000-2100-0000C0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3" name="Flèche gauche 1">
          <a:hlinkClick xmlns:r="http://schemas.openxmlformats.org/officeDocument/2006/relationships" r:id="rId2"/>
          <a:extLst>
            <a:ext uri="{FF2B5EF4-FFF2-40B4-BE49-F238E27FC236}">
              <a16:creationId xmlns:a16="http://schemas.microsoft.com/office/drawing/2014/main" id="{00000000-0008-0000-2100-0000C1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4" name="Flèche gauche 1">
          <a:hlinkClick xmlns:r="http://schemas.openxmlformats.org/officeDocument/2006/relationships" r:id="rId1"/>
          <a:extLst>
            <a:ext uri="{FF2B5EF4-FFF2-40B4-BE49-F238E27FC236}">
              <a16:creationId xmlns:a16="http://schemas.microsoft.com/office/drawing/2014/main" id="{00000000-0008-0000-2100-0000C2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5" name="Flèche gauche 1">
          <a:hlinkClick xmlns:r="http://schemas.openxmlformats.org/officeDocument/2006/relationships" r:id="rId1"/>
          <a:extLst>
            <a:ext uri="{FF2B5EF4-FFF2-40B4-BE49-F238E27FC236}">
              <a16:creationId xmlns:a16="http://schemas.microsoft.com/office/drawing/2014/main" id="{00000000-0008-0000-2100-0000C3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6" name="Flèche gauche 1">
          <a:hlinkClick xmlns:r="http://schemas.openxmlformats.org/officeDocument/2006/relationships" r:id="rId1"/>
          <a:extLst>
            <a:ext uri="{FF2B5EF4-FFF2-40B4-BE49-F238E27FC236}">
              <a16:creationId xmlns:a16="http://schemas.microsoft.com/office/drawing/2014/main" id="{00000000-0008-0000-2100-0000C4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7" name="Flèche gauche 1">
          <a:hlinkClick xmlns:r="http://schemas.openxmlformats.org/officeDocument/2006/relationships" r:id="rId2"/>
          <a:extLst>
            <a:ext uri="{FF2B5EF4-FFF2-40B4-BE49-F238E27FC236}">
              <a16:creationId xmlns:a16="http://schemas.microsoft.com/office/drawing/2014/main" id="{00000000-0008-0000-2100-0000C5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8" name="Flèche gauche 1">
          <a:hlinkClick xmlns:r="http://schemas.openxmlformats.org/officeDocument/2006/relationships" r:id="rId1"/>
          <a:extLst>
            <a:ext uri="{FF2B5EF4-FFF2-40B4-BE49-F238E27FC236}">
              <a16:creationId xmlns:a16="http://schemas.microsoft.com/office/drawing/2014/main" id="{00000000-0008-0000-2100-0000C6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9" name="Flèche gauche 1">
          <a:hlinkClick xmlns:r="http://schemas.openxmlformats.org/officeDocument/2006/relationships" r:id="rId1"/>
          <a:extLst>
            <a:ext uri="{FF2B5EF4-FFF2-40B4-BE49-F238E27FC236}">
              <a16:creationId xmlns:a16="http://schemas.microsoft.com/office/drawing/2014/main" id="{00000000-0008-0000-2100-0000C7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0" name="Flèche gauche 1">
          <a:hlinkClick xmlns:r="http://schemas.openxmlformats.org/officeDocument/2006/relationships" r:id="rId1"/>
          <a:extLst>
            <a:ext uri="{FF2B5EF4-FFF2-40B4-BE49-F238E27FC236}">
              <a16:creationId xmlns:a16="http://schemas.microsoft.com/office/drawing/2014/main" id="{00000000-0008-0000-2100-0000C8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1" name="Flèche gauche 1">
          <a:hlinkClick xmlns:r="http://schemas.openxmlformats.org/officeDocument/2006/relationships" r:id="rId2"/>
          <a:extLst>
            <a:ext uri="{FF2B5EF4-FFF2-40B4-BE49-F238E27FC236}">
              <a16:creationId xmlns:a16="http://schemas.microsoft.com/office/drawing/2014/main" id="{00000000-0008-0000-2100-0000C9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2" name="Flèche gauche 1">
          <a:hlinkClick xmlns:r="http://schemas.openxmlformats.org/officeDocument/2006/relationships" r:id="rId1"/>
          <a:extLst>
            <a:ext uri="{FF2B5EF4-FFF2-40B4-BE49-F238E27FC236}">
              <a16:creationId xmlns:a16="http://schemas.microsoft.com/office/drawing/2014/main" id="{00000000-0008-0000-2100-0000CA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3" name="Flèche gauche 1">
          <a:hlinkClick xmlns:r="http://schemas.openxmlformats.org/officeDocument/2006/relationships" r:id="rId1"/>
          <a:extLst>
            <a:ext uri="{FF2B5EF4-FFF2-40B4-BE49-F238E27FC236}">
              <a16:creationId xmlns:a16="http://schemas.microsoft.com/office/drawing/2014/main" id="{00000000-0008-0000-2100-0000CB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4" name="Flèche gauche 1">
          <a:hlinkClick xmlns:r="http://schemas.openxmlformats.org/officeDocument/2006/relationships" r:id="rId1"/>
          <a:extLst>
            <a:ext uri="{FF2B5EF4-FFF2-40B4-BE49-F238E27FC236}">
              <a16:creationId xmlns:a16="http://schemas.microsoft.com/office/drawing/2014/main" id="{00000000-0008-0000-2100-0000CC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5" name="Flèche gauche 1">
          <a:hlinkClick xmlns:r="http://schemas.openxmlformats.org/officeDocument/2006/relationships" r:id="rId2"/>
          <a:extLst>
            <a:ext uri="{FF2B5EF4-FFF2-40B4-BE49-F238E27FC236}">
              <a16:creationId xmlns:a16="http://schemas.microsoft.com/office/drawing/2014/main" id="{00000000-0008-0000-2100-0000CD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6" name="Flèche gauche 1">
          <a:hlinkClick xmlns:r="http://schemas.openxmlformats.org/officeDocument/2006/relationships" r:id="rId1"/>
          <a:extLst>
            <a:ext uri="{FF2B5EF4-FFF2-40B4-BE49-F238E27FC236}">
              <a16:creationId xmlns:a16="http://schemas.microsoft.com/office/drawing/2014/main" id="{00000000-0008-0000-2100-0000CE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7" name="Flèche gauche 1">
          <a:hlinkClick xmlns:r="http://schemas.openxmlformats.org/officeDocument/2006/relationships" r:id="rId1"/>
          <a:extLst>
            <a:ext uri="{FF2B5EF4-FFF2-40B4-BE49-F238E27FC236}">
              <a16:creationId xmlns:a16="http://schemas.microsoft.com/office/drawing/2014/main" id="{00000000-0008-0000-2100-0000CF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8" name="Flèche gauche 1">
          <a:hlinkClick xmlns:r="http://schemas.openxmlformats.org/officeDocument/2006/relationships" r:id="rId1"/>
          <a:extLst>
            <a:ext uri="{FF2B5EF4-FFF2-40B4-BE49-F238E27FC236}">
              <a16:creationId xmlns:a16="http://schemas.microsoft.com/office/drawing/2014/main" id="{00000000-0008-0000-2100-0000D0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9" name="Flèche gauche 1">
          <a:hlinkClick xmlns:r="http://schemas.openxmlformats.org/officeDocument/2006/relationships" r:id="rId2"/>
          <a:extLst>
            <a:ext uri="{FF2B5EF4-FFF2-40B4-BE49-F238E27FC236}">
              <a16:creationId xmlns:a16="http://schemas.microsoft.com/office/drawing/2014/main" id="{00000000-0008-0000-2100-0000D1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0" name="Flèche gauche 1">
          <a:hlinkClick xmlns:r="http://schemas.openxmlformats.org/officeDocument/2006/relationships" r:id="rId1"/>
          <a:extLst>
            <a:ext uri="{FF2B5EF4-FFF2-40B4-BE49-F238E27FC236}">
              <a16:creationId xmlns:a16="http://schemas.microsoft.com/office/drawing/2014/main" id="{00000000-0008-0000-2100-0000D2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1" name="Flèche gauche 1">
          <a:hlinkClick xmlns:r="http://schemas.openxmlformats.org/officeDocument/2006/relationships" r:id="rId1"/>
          <a:extLst>
            <a:ext uri="{FF2B5EF4-FFF2-40B4-BE49-F238E27FC236}">
              <a16:creationId xmlns:a16="http://schemas.microsoft.com/office/drawing/2014/main" id="{00000000-0008-0000-2100-0000D3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2" name="Flèche gauche 1">
          <a:hlinkClick xmlns:r="http://schemas.openxmlformats.org/officeDocument/2006/relationships" r:id="rId1"/>
          <a:extLst>
            <a:ext uri="{FF2B5EF4-FFF2-40B4-BE49-F238E27FC236}">
              <a16:creationId xmlns:a16="http://schemas.microsoft.com/office/drawing/2014/main" id="{00000000-0008-0000-2100-0000D4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3" name="Flèche gauche 1">
          <a:hlinkClick xmlns:r="http://schemas.openxmlformats.org/officeDocument/2006/relationships" r:id="rId2"/>
          <a:extLst>
            <a:ext uri="{FF2B5EF4-FFF2-40B4-BE49-F238E27FC236}">
              <a16:creationId xmlns:a16="http://schemas.microsoft.com/office/drawing/2014/main" id="{00000000-0008-0000-2100-0000D5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4" name="Flèche gauche 1">
          <a:hlinkClick xmlns:r="http://schemas.openxmlformats.org/officeDocument/2006/relationships" r:id="rId1"/>
          <a:extLst>
            <a:ext uri="{FF2B5EF4-FFF2-40B4-BE49-F238E27FC236}">
              <a16:creationId xmlns:a16="http://schemas.microsoft.com/office/drawing/2014/main" id="{00000000-0008-0000-2100-0000D6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5" name="Flèche gauche 1">
          <a:hlinkClick xmlns:r="http://schemas.openxmlformats.org/officeDocument/2006/relationships" r:id="rId1"/>
          <a:extLst>
            <a:ext uri="{FF2B5EF4-FFF2-40B4-BE49-F238E27FC236}">
              <a16:creationId xmlns:a16="http://schemas.microsoft.com/office/drawing/2014/main" id="{00000000-0008-0000-2100-0000D7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6" name="Flèche gauche 1">
          <a:hlinkClick xmlns:r="http://schemas.openxmlformats.org/officeDocument/2006/relationships" r:id="rId1"/>
          <a:extLst>
            <a:ext uri="{FF2B5EF4-FFF2-40B4-BE49-F238E27FC236}">
              <a16:creationId xmlns:a16="http://schemas.microsoft.com/office/drawing/2014/main" id="{00000000-0008-0000-2100-0000D8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7" name="Flèche gauche 1">
          <a:hlinkClick xmlns:r="http://schemas.openxmlformats.org/officeDocument/2006/relationships" r:id="rId2"/>
          <a:extLst>
            <a:ext uri="{FF2B5EF4-FFF2-40B4-BE49-F238E27FC236}">
              <a16:creationId xmlns:a16="http://schemas.microsoft.com/office/drawing/2014/main" id="{00000000-0008-0000-2100-0000D9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8" name="Flèche gauche 1">
          <a:hlinkClick xmlns:r="http://schemas.openxmlformats.org/officeDocument/2006/relationships" r:id="rId1"/>
          <a:extLst>
            <a:ext uri="{FF2B5EF4-FFF2-40B4-BE49-F238E27FC236}">
              <a16:creationId xmlns:a16="http://schemas.microsoft.com/office/drawing/2014/main" id="{00000000-0008-0000-2100-0000DA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9" name="Flèche gauche 1">
          <a:hlinkClick xmlns:r="http://schemas.openxmlformats.org/officeDocument/2006/relationships" r:id="rId1"/>
          <a:extLst>
            <a:ext uri="{FF2B5EF4-FFF2-40B4-BE49-F238E27FC236}">
              <a16:creationId xmlns:a16="http://schemas.microsoft.com/office/drawing/2014/main" id="{00000000-0008-0000-2100-0000DB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0" name="Flèche gauche 1">
          <a:hlinkClick xmlns:r="http://schemas.openxmlformats.org/officeDocument/2006/relationships" r:id="rId1"/>
          <a:extLst>
            <a:ext uri="{FF2B5EF4-FFF2-40B4-BE49-F238E27FC236}">
              <a16:creationId xmlns:a16="http://schemas.microsoft.com/office/drawing/2014/main" id="{00000000-0008-0000-2100-0000DC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1" name="Flèche gauche 1">
          <a:hlinkClick xmlns:r="http://schemas.openxmlformats.org/officeDocument/2006/relationships" r:id="rId2"/>
          <a:extLst>
            <a:ext uri="{FF2B5EF4-FFF2-40B4-BE49-F238E27FC236}">
              <a16:creationId xmlns:a16="http://schemas.microsoft.com/office/drawing/2014/main" id="{00000000-0008-0000-2100-0000DD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2" name="Flèche gauche 1">
          <a:hlinkClick xmlns:r="http://schemas.openxmlformats.org/officeDocument/2006/relationships" r:id="rId1"/>
          <a:extLst>
            <a:ext uri="{FF2B5EF4-FFF2-40B4-BE49-F238E27FC236}">
              <a16:creationId xmlns:a16="http://schemas.microsoft.com/office/drawing/2014/main" id="{00000000-0008-0000-2100-0000DE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3" name="Flèche gauche 1">
          <a:hlinkClick xmlns:r="http://schemas.openxmlformats.org/officeDocument/2006/relationships" r:id="rId1"/>
          <a:extLst>
            <a:ext uri="{FF2B5EF4-FFF2-40B4-BE49-F238E27FC236}">
              <a16:creationId xmlns:a16="http://schemas.microsoft.com/office/drawing/2014/main" id="{00000000-0008-0000-2100-0000DF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4" name="Flèche gauche 1">
          <a:hlinkClick xmlns:r="http://schemas.openxmlformats.org/officeDocument/2006/relationships" r:id="rId1"/>
          <a:extLst>
            <a:ext uri="{FF2B5EF4-FFF2-40B4-BE49-F238E27FC236}">
              <a16:creationId xmlns:a16="http://schemas.microsoft.com/office/drawing/2014/main" id="{00000000-0008-0000-2100-0000E0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5" name="Flèche gauche 1">
          <a:hlinkClick xmlns:r="http://schemas.openxmlformats.org/officeDocument/2006/relationships" r:id="rId2"/>
          <a:extLst>
            <a:ext uri="{FF2B5EF4-FFF2-40B4-BE49-F238E27FC236}">
              <a16:creationId xmlns:a16="http://schemas.microsoft.com/office/drawing/2014/main" id="{00000000-0008-0000-2100-0000E1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6" name="Flèche gauche 1">
          <a:hlinkClick xmlns:r="http://schemas.openxmlformats.org/officeDocument/2006/relationships" r:id="rId1"/>
          <a:extLst>
            <a:ext uri="{FF2B5EF4-FFF2-40B4-BE49-F238E27FC236}">
              <a16:creationId xmlns:a16="http://schemas.microsoft.com/office/drawing/2014/main" id="{00000000-0008-0000-2100-0000E2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7" name="Flèche gauche 1">
          <a:hlinkClick xmlns:r="http://schemas.openxmlformats.org/officeDocument/2006/relationships" r:id="rId1"/>
          <a:extLst>
            <a:ext uri="{FF2B5EF4-FFF2-40B4-BE49-F238E27FC236}">
              <a16:creationId xmlns:a16="http://schemas.microsoft.com/office/drawing/2014/main" id="{00000000-0008-0000-2100-0000E3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8" name="Flèche gauche 1">
          <a:hlinkClick xmlns:r="http://schemas.openxmlformats.org/officeDocument/2006/relationships" r:id="rId1"/>
          <a:extLst>
            <a:ext uri="{FF2B5EF4-FFF2-40B4-BE49-F238E27FC236}">
              <a16:creationId xmlns:a16="http://schemas.microsoft.com/office/drawing/2014/main" id="{00000000-0008-0000-2100-0000E4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9" name="Flèche gauche 1">
          <a:hlinkClick xmlns:r="http://schemas.openxmlformats.org/officeDocument/2006/relationships" r:id="rId2"/>
          <a:extLst>
            <a:ext uri="{FF2B5EF4-FFF2-40B4-BE49-F238E27FC236}">
              <a16:creationId xmlns:a16="http://schemas.microsoft.com/office/drawing/2014/main" id="{00000000-0008-0000-2100-0000E5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0" name="Flèche gauche 1">
          <a:hlinkClick xmlns:r="http://schemas.openxmlformats.org/officeDocument/2006/relationships" r:id="rId1"/>
          <a:extLst>
            <a:ext uri="{FF2B5EF4-FFF2-40B4-BE49-F238E27FC236}">
              <a16:creationId xmlns:a16="http://schemas.microsoft.com/office/drawing/2014/main" id="{00000000-0008-0000-2100-0000E6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1" name="Flèche gauche 1">
          <a:hlinkClick xmlns:r="http://schemas.openxmlformats.org/officeDocument/2006/relationships" r:id="rId1"/>
          <a:extLst>
            <a:ext uri="{FF2B5EF4-FFF2-40B4-BE49-F238E27FC236}">
              <a16:creationId xmlns:a16="http://schemas.microsoft.com/office/drawing/2014/main" id="{00000000-0008-0000-2100-0000E7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2" name="Flèche gauche 1">
          <a:hlinkClick xmlns:r="http://schemas.openxmlformats.org/officeDocument/2006/relationships" r:id="rId1"/>
          <a:extLst>
            <a:ext uri="{FF2B5EF4-FFF2-40B4-BE49-F238E27FC236}">
              <a16:creationId xmlns:a16="http://schemas.microsoft.com/office/drawing/2014/main" id="{00000000-0008-0000-2100-0000E8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3" name="Flèche gauche 1">
          <a:hlinkClick xmlns:r="http://schemas.openxmlformats.org/officeDocument/2006/relationships" r:id="rId2"/>
          <a:extLst>
            <a:ext uri="{FF2B5EF4-FFF2-40B4-BE49-F238E27FC236}">
              <a16:creationId xmlns:a16="http://schemas.microsoft.com/office/drawing/2014/main" id="{00000000-0008-0000-2100-0000E9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4" name="Flèche gauche 1">
          <a:hlinkClick xmlns:r="http://schemas.openxmlformats.org/officeDocument/2006/relationships" r:id="rId1"/>
          <a:extLst>
            <a:ext uri="{FF2B5EF4-FFF2-40B4-BE49-F238E27FC236}">
              <a16:creationId xmlns:a16="http://schemas.microsoft.com/office/drawing/2014/main" id="{00000000-0008-0000-2100-0000EA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5" name="Flèche gauche 1">
          <a:hlinkClick xmlns:r="http://schemas.openxmlformats.org/officeDocument/2006/relationships" r:id="rId1"/>
          <a:extLst>
            <a:ext uri="{FF2B5EF4-FFF2-40B4-BE49-F238E27FC236}">
              <a16:creationId xmlns:a16="http://schemas.microsoft.com/office/drawing/2014/main" id="{00000000-0008-0000-2100-0000EB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6" name="Flèche gauche 1">
          <a:hlinkClick xmlns:r="http://schemas.openxmlformats.org/officeDocument/2006/relationships" r:id="rId1"/>
          <a:extLst>
            <a:ext uri="{FF2B5EF4-FFF2-40B4-BE49-F238E27FC236}">
              <a16:creationId xmlns:a16="http://schemas.microsoft.com/office/drawing/2014/main" id="{00000000-0008-0000-2100-0000EC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7" name="Flèche gauche 1">
          <a:hlinkClick xmlns:r="http://schemas.openxmlformats.org/officeDocument/2006/relationships" r:id="rId2"/>
          <a:extLst>
            <a:ext uri="{FF2B5EF4-FFF2-40B4-BE49-F238E27FC236}">
              <a16:creationId xmlns:a16="http://schemas.microsoft.com/office/drawing/2014/main" id="{00000000-0008-0000-2100-0000ED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8" name="Flèche gauche 1">
          <a:hlinkClick xmlns:r="http://schemas.openxmlformats.org/officeDocument/2006/relationships" r:id="rId1"/>
          <a:extLst>
            <a:ext uri="{FF2B5EF4-FFF2-40B4-BE49-F238E27FC236}">
              <a16:creationId xmlns:a16="http://schemas.microsoft.com/office/drawing/2014/main" id="{00000000-0008-0000-2100-0000EE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9" name="Flèche gauche 1">
          <a:hlinkClick xmlns:r="http://schemas.openxmlformats.org/officeDocument/2006/relationships" r:id="rId1"/>
          <a:extLst>
            <a:ext uri="{FF2B5EF4-FFF2-40B4-BE49-F238E27FC236}">
              <a16:creationId xmlns:a16="http://schemas.microsoft.com/office/drawing/2014/main" id="{00000000-0008-0000-2100-0000EF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0" name="Flèche gauche 1">
          <a:hlinkClick xmlns:r="http://schemas.openxmlformats.org/officeDocument/2006/relationships" r:id="rId1"/>
          <a:extLst>
            <a:ext uri="{FF2B5EF4-FFF2-40B4-BE49-F238E27FC236}">
              <a16:creationId xmlns:a16="http://schemas.microsoft.com/office/drawing/2014/main" id="{00000000-0008-0000-2100-0000F0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1" name="Flèche gauche 1">
          <a:hlinkClick xmlns:r="http://schemas.openxmlformats.org/officeDocument/2006/relationships" r:id="rId2"/>
          <a:extLst>
            <a:ext uri="{FF2B5EF4-FFF2-40B4-BE49-F238E27FC236}">
              <a16:creationId xmlns:a16="http://schemas.microsoft.com/office/drawing/2014/main" id="{00000000-0008-0000-2100-0000F1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2" name="Flèche gauche 1">
          <a:hlinkClick xmlns:r="http://schemas.openxmlformats.org/officeDocument/2006/relationships" r:id="rId1"/>
          <a:extLst>
            <a:ext uri="{FF2B5EF4-FFF2-40B4-BE49-F238E27FC236}">
              <a16:creationId xmlns:a16="http://schemas.microsoft.com/office/drawing/2014/main" id="{00000000-0008-0000-2100-0000F2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3" name="Flèche gauche 1">
          <a:hlinkClick xmlns:r="http://schemas.openxmlformats.org/officeDocument/2006/relationships" r:id="rId1"/>
          <a:extLst>
            <a:ext uri="{FF2B5EF4-FFF2-40B4-BE49-F238E27FC236}">
              <a16:creationId xmlns:a16="http://schemas.microsoft.com/office/drawing/2014/main" id="{00000000-0008-0000-2100-0000F3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4" name="Flèche gauche 1">
          <a:hlinkClick xmlns:r="http://schemas.openxmlformats.org/officeDocument/2006/relationships" r:id="rId1"/>
          <a:extLst>
            <a:ext uri="{FF2B5EF4-FFF2-40B4-BE49-F238E27FC236}">
              <a16:creationId xmlns:a16="http://schemas.microsoft.com/office/drawing/2014/main" id="{00000000-0008-0000-2100-0000F4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5" name="Flèche gauche 1">
          <a:hlinkClick xmlns:r="http://schemas.openxmlformats.org/officeDocument/2006/relationships" r:id="rId2"/>
          <a:extLst>
            <a:ext uri="{FF2B5EF4-FFF2-40B4-BE49-F238E27FC236}">
              <a16:creationId xmlns:a16="http://schemas.microsoft.com/office/drawing/2014/main" id="{00000000-0008-0000-2100-0000F5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6" name="Flèche gauche 1">
          <a:hlinkClick xmlns:r="http://schemas.openxmlformats.org/officeDocument/2006/relationships" r:id="rId1"/>
          <a:extLst>
            <a:ext uri="{FF2B5EF4-FFF2-40B4-BE49-F238E27FC236}">
              <a16:creationId xmlns:a16="http://schemas.microsoft.com/office/drawing/2014/main" id="{00000000-0008-0000-2100-0000F6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7" name="Flèche gauche 1">
          <a:hlinkClick xmlns:r="http://schemas.openxmlformats.org/officeDocument/2006/relationships" r:id="rId1"/>
          <a:extLst>
            <a:ext uri="{FF2B5EF4-FFF2-40B4-BE49-F238E27FC236}">
              <a16:creationId xmlns:a16="http://schemas.microsoft.com/office/drawing/2014/main" id="{00000000-0008-0000-2100-0000F7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8" name="Flèche gauche 1">
          <a:hlinkClick xmlns:r="http://schemas.openxmlformats.org/officeDocument/2006/relationships" r:id="rId1"/>
          <a:extLst>
            <a:ext uri="{FF2B5EF4-FFF2-40B4-BE49-F238E27FC236}">
              <a16:creationId xmlns:a16="http://schemas.microsoft.com/office/drawing/2014/main" id="{00000000-0008-0000-2100-0000F8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9" name="Flèche gauche 1">
          <a:hlinkClick xmlns:r="http://schemas.openxmlformats.org/officeDocument/2006/relationships" r:id="rId2"/>
          <a:extLst>
            <a:ext uri="{FF2B5EF4-FFF2-40B4-BE49-F238E27FC236}">
              <a16:creationId xmlns:a16="http://schemas.microsoft.com/office/drawing/2014/main" id="{00000000-0008-0000-2100-0000F9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0" name="Flèche gauche 1">
          <a:hlinkClick xmlns:r="http://schemas.openxmlformats.org/officeDocument/2006/relationships" r:id="rId1"/>
          <a:extLst>
            <a:ext uri="{FF2B5EF4-FFF2-40B4-BE49-F238E27FC236}">
              <a16:creationId xmlns:a16="http://schemas.microsoft.com/office/drawing/2014/main" id="{00000000-0008-0000-2100-0000FA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1" name="Flèche gauche 1">
          <a:hlinkClick xmlns:r="http://schemas.openxmlformats.org/officeDocument/2006/relationships" r:id="rId1"/>
          <a:extLst>
            <a:ext uri="{FF2B5EF4-FFF2-40B4-BE49-F238E27FC236}">
              <a16:creationId xmlns:a16="http://schemas.microsoft.com/office/drawing/2014/main" id="{00000000-0008-0000-2100-0000FB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2" name="Flèche gauche 1">
          <a:hlinkClick xmlns:r="http://schemas.openxmlformats.org/officeDocument/2006/relationships" r:id="rId1"/>
          <a:extLst>
            <a:ext uri="{FF2B5EF4-FFF2-40B4-BE49-F238E27FC236}">
              <a16:creationId xmlns:a16="http://schemas.microsoft.com/office/drawing/2014/main" id="{00000000-0008-0000-2100-0000FC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3" name="Flèche gauche 1">
          <a:hlinkClick xmlns:r="http://schemas.openxmlformats.org/officeDocument/2006/relationships" r:id="rId2"/>
          <a:extLst>
            <a:ext uri="{FF2B5EF4-FFF2-40B4-BE49-F238E27FC236}">
              <a16:creationId xmlns:a16="http://schemas.microsoft.com/office/drawing/2014/main" id="{00000000-0008-0000-2100-0000FD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4" name="Flèche gauche 1">
          <a:hlinkClick xmlns:r="http://schemas.openxmlformats.org/officeDocument/2006/relationships" r:id="rId1"/>
          <a:extLst>
            <a:ext uri="{FF2B5EF4-FFF2-40B4-BE49-F238E27FC236}">
              <a16:creationId xmlns:a16="http://schemas.microsoft.com/office/drawing/2014/main" id="{00000000-0008-0000-2100-0000FE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5" name="Flèche gauche 1">
          <a:hlinkClick xmlns:r="http://schemas.openxmlformats.org/officeDocument/2006/relationships" r:id="rId1"/>
          <a:extLst>
            <a:ext uri="{FF2B5EF4-FFF2-40B4-BE49-F238E27FC236}">
              <a16:creationId xmlns:a16="http://schemas.microsoft.com/office/drawing/2014/main" id="{00000000-0008-0000-2100-0000FF00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6" name="Flèche gauche 1">
          <a:hlinkClick xmlns:r="http://schemas.openxmlformats.org/officeDocument/2006/relationships" r:id="rId1"/>
          <a:extLst>
            <a:ext uri="{FF2B5EF4-FFF2-40B4-BE49-F238E27FC236}">
              <a16:creationId xmlns:a16="http://schemas.microsoft.com/office/drawing/2014/main" id="{00000000-0008-0000-2100-00000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7" name="Flèche gauche 1">
          <a:hlinkClick xmlns:r="http://schemas.openxmlformats.org/officeDocument/2006/relationships" r:id="rId2"/>
          <a:extLst>
            <a:ext uri="{FF2B5EF4-FFF2-40B4-BE49-F238E27FC236}">
              <a16:creationId xmlns:a16="http://schemas.microsoft.com/office/drawing/2014/main" id="{00000000-0008-0000-2100-00000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8" name="Flèche gauche 1">
          <a:hlinkClick xmlns:r="http://schemas.openxmlformats.org/officeDocument/2006/relationships" r:id="rId1"/>
          <a:extLst>
            <a:ext uri="{FF2B5EF4-FFF2-40B4-BE49-F238E27FC236}">
              <a16:creationId xmlns:a16="http://schemas.microsoft.com/office/drawing/2014/main" id="{00000000-0008-0000-2100-00000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9" name="Flèche gauche 1">
          <a:hlinkClick xmlns:r="http://schemas.openxmlformats.org/officeDocument/2006/relationships" r:id="rId1"/>
          <a:extLst>
            <a:ext uri="{FF2B5EF4-FFF2-40B4-BE49-F238E27FC236}">
              <a16:creationId xmlns:a16="http://schemas.microsoft.com/office/drawing/2014/main" id="{00000000-0008-0000-2100-00000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0" name="Flèche gauche 1">
          <a:hlinkClick xmlns:r="http://schemas.openxmlformats.org/officeDocument/2006/relationships" r:id="rId1"/>
          <a:extLst>
            <a:ext uri="{FF2B5EF4-FFF2-40B4-BE49-F238E27FC236}">
              <a16:creationId xmlns:a16="http://schemas.microsoft.com/office/drawing/2014/main" id="{00000000-0008-0000-2100-00000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1" name="Flèche gauche 1">
          <a:hlinkClick xmlns:r="http://schemas.openxmlformats.org/officeDocument/2006/relationships" r:id="rId2"/>
          <a:extLst>
            <a:ext uri="{FF2B5EF4-FFF2-40B4-BE49-F238E27FC236}">
              <a16:creationId xmlns:a16="http://schemas.microsoft.com/office/drawing/2014/main" id="{00000000-0008-0000-2100-00000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2" name="Flèche gauche 1">
          <a:hlinkClick xmlns:r="http://schemas.openxmlformats.org/officeDocument/2006/relationships" r:id="rId1"/>
          <a:extLst>
            <a:ext uri="{FF2B5EF4-FFF2-40B4-BE49-F238E27FC236}">
              <a16:creationId xmlns:a16="http://schemas.microsoft.com/office/drawing/2014/main" id="{00000000-0008-0000-2100-00000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3" name="Flèche gauche 1">
          <a:hlinkClick xmlns:r="http://schemas.openxmlformats.org/officeDocument/2006/relationships" r:id="rId1"/>
          <a:extLst>
            <a:ext uri="{FF2B5EF4-FFF2-40B4-BE49-F238E27FC236}">
              <a16:creationId xmlns:a16="http://schemas.microsoft.com/office/drawing/2014/main" id="{00000000-0008-0000-2100-00000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4" name="Flèche gauche 1">
          <a:hlinkClick xmlns:r="http://schemas.openxmlformats.org/officeDocument/2006/relationships" r:id="rId1"/>
          <a:extLst>
            <a:ext uri="{FF2B5EF4-FFF2-40B4-BE49-F238E27FC236}">
              <a16:creationId xmlns:a16="http://schemas.microsoft.com/office/drawing/2014/main" id="{00000000-0008-0000-2100-00000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5" name="Flèche gauche 1">
          <a:hlinkClick xmlns:r="http://schemas.openxmlformats.org/officeDocument/2006/relationships" r:id="rId2"/>
          <a:extLst>
            <a:ext uri="{FF2B5EF4-FFF2-40B4-BE49-F238E27FC236}">
              <a16:creationId xmlns:a16="http://schemas.microsoft.com/office/drawing/2014/main" id="{00000000-0008-0000-2100-00000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6" name="Flèche gauche 1">
          <a:hlinkClick xmlns:r="http://schemas.openxmlformats.org/officeDocument/2006/relationships" r:id="rId1"/>
          <a:extLst>
            <a:ext uri="{FF2B5EF4-FFF2-40B4-BE49-F238E27FC236}">
              <a16:creationId xmlns:a16="http://schemas.microsoft.com/office/drawing/2014/main" id="{00000000-0008-0000-2100-00000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7" name="Flèche gauche 1">
          <a:hlinkClick xmlns:r="http://schemas.openxmlformats.org/officeDocument/2006/relationships" r:id="rId1"/>
          <a:extLst>
            <a:ext uri="{FF2B5EF4-FFF2-40B4-BE49-F238E27FC236}">
              <a16:creationId xmlns:a16="http://schemas.microsoft.com/office/drawing/2014/main" id="{00000000-0008-0000-2100-00000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8" name="Flèche gauche 1">
          <a:hlinkClick xmlns:r="http://schemas.openxmlformats.org/officeDocument/2006/relationships" r:id="rId1"/>
          <a:extLst>
            <a:ext uri="{FF2B5EF4-FFF2-40B4-BE49-F238E27FC236}">
              <a16:creationId xmlns:a16="http://schemas.microsoft.com/office/drawing/2014/main" id="{00000000-0008-0000-2100-00000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9" name="Flèche gauche 1">
          <a:hlinkClick xmlns:r="http://schemas.openxmlformats.org/officeDocument/2006/relationships" r:id="rId2"/>
          <a:extLst>
            <a:ext uri="{FF2B5EF4-FFF2-40B4-BE49-F238E27FC236}">
              <a16:creationId xmlns:a16="http://schemas.microsoft.com/office/drawing/2014/main" id="{00000000-0008-0000-2100-00000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0" name="Flèche gauche 1">
          <a:hlinkClick xmlns:r="http://schemas.openxmlformats.org/officeDocument/2006/relationships" r:id="rId1"/>
          <a:extLst>
            <a:ext uri="{FF2B5EF4-FFF2-40B4-BE49-F238E27FC236}">
              <a16:creationId xmlns:a16="http://schemas.microsoft.com/office/drawing/2014/main" id="{00000000-0008-0000-2100-00000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1" name="Flèche gauche 1">
          <a:hlinkClick xmlns:r="http://schemas.openxmlformats.org/officeDocument/2006/relationships" r:id="rId1"/>
          <a:extLst>
            <a:ext uri="{FF2B5EF4-FFF2-40B4-BE49-F238E27FC236}">
              <a16:creationId xmlns:a16="http://schemas.microsoft.com/office/drawing/2014/main" id="{00000000-0008-0000-2100-00000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2" name="Flèche gauche 1">
          <a:hlinkClick xmlns:r="http://schemas.openxmlformats.org/officeDocument/2006/relationships" r:id="rId1"/>
          <a:extLst>
            <a:ext uri="{FF2B5EF4-FFF2-40B4-BE49-F238E27FC236}">
              <a16:creationId xmlns:a16="http://schemas.microsoft.com/office/drawing/2014/main" id="{00000000-0008-0000-2100-00001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3" name="Flèche gauche 1">
          <a:hlinkClick xmlns:r="http://schemas.openxmlformats.org/officeDocument/2006/relationships" r:id="rId2"/>
          <a:extLst>
            <a:ext uri="{FF2B5EF4-FFF2-40B4-BE49-F238E27FC236}">
              <a16:creationId xmlns:a16="http://schemas.microsoft.com/office/drawing/2014/main" id="{00000000-0008-0000-2100-00001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4" name="Flèche gauche 1">
          <a:hlinkClick xmlns:r="http://schemas.openxmlformats.org/officeDocument/2006/relationships" r:id="rId1"/>
          <a:extLst>
            <a:ext uri="{FF2B5EF4-FFF2-40B4-BE49-F238E27FC236}">
              <a16:creationId xmlns:a16="http://schemas.microsoft.com/office/drawing/2014/main" id="{00000000-0008-0000-2100-00001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5" name="Flèche gauche 1">
          <a:hlinkClick xmlns:r="http://schemas.openxmlformats.org/officeDocument/2006/relationships" r:id="rId1"/>
          <a:extLst>
            <a:ext uri="{FF2B5EF4-FFF2-40B4-BE49-F238E27FC236}">
              <a16:creationId xmlns:a16="http://schemas.microsoft.com/office/drawing/2014/main" id="{00000000-0008-0000-2100-00001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6" name="Flèche gauche 1">
          <a:hlinkClick xmlns:r="http://schemas.openxmlformats.org/officeDocument/2006/relationships" r:id="rId1"/>
          <a:extLst>
            <a:ext uri="{FF2B5EF4-FFF2-40B4-BE49-F238E27FC236}">
              <a16:creationId xmlns:a16="http://schemas.microsoft.com/office/drawing/2014/main" id="{00000000-0008-0000-2100-00001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7" name="Flèche gauche 1">
          <a:hlinkClick xmlns:r="http://schemas.openxmlformats.org/officeDocument/2006/relationships" r:id="rId2"/>
          <a:extLst>
            <a:ext uri="{FF2B5EF4-FFF2-40B4-BE49-F238E27FC236}">
              <a16:creationId xmlns:a16="http://schemas.microsoft.com/office/drawing/2014/main" id="{00000000-0008-0000-2100-00001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8" name="Flèche gauche 1">
          <a:hlinkClick xmlns:r="http://schemas.openxmlformats.org/officeDocument/2006/relationships" r:id="rId1"/>
          <a:extLst>
            <a:ext uri="{FF2B5EF4-FFF2-40B4-BE49-F238E27FC236}">
              <a16:creationId xmlns:a16="http://schemas.microsoft.com/office/drawing/2014/main" id="{00000000-0008-0000-2100-00001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9" name="Flèche gauche 1">
          <a:hlinkClick xmlns:r="http://schemas.openxmlformats.org/officeDocument/2006/relationships" r:id="rId1"/>
          <a:extLst>
            <a:ext uri="{FF2B5EF4-FFF2-40B4-BE49-F238E27FC236}">
              <a16:creationId xmlns:a16="http://schemas.microsoft.com/office/drawing/2014/main" id="{00000000-0008-0000-2100-00001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0" name="Flèche gauche 1">
          <a:hlinkClick xmlns:r="http://schemas.openxmlformats.org/officeDocument/2006/relationships" r:id="rId1"/>
          <a:extLst>
            <a:ext uri="{FF2B5EF4-FFF2-40B4-BE49-F238E27FC236}">
              <a16:creationId xmlns:a16="http://schemas.microsoft.com/office/drawing/2014/main" id="{00000000-0008-0000-2100-00001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1" name="Flèche gauche 1">
          <a:hlinkClick xmlns:r="http://schemas.openxmlformats.org/officeDocument/2006/relationships" r:id="rId2"/>
          <a:extLst>
            <a:ext uri="{FF2B5EF4-FFF2-40B4-BE49-F238E27FC236}">
              <a16:creationId xmlns:a16="http://schemas.microsoft.com/office/drawing/2014/main" id="{00000000-0008-0000-2100-00001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2" name="Flèche gauche 1">
          <a:hlinkClick xmlns:r="http://schemas.openxmlformats.org/officeDocument/2006/relationships" r:id="rId1"/>
          <a:extLst>
            <a:ext uri="{FF2B5EF4-FFF2-40B4-BE49-F238E27FC236}">
              <a16:creationId xmlns:a16="http://schemas.microsoft.com/office/drawing/2014/main" id="{00000000-0008-0000-2100-00001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3" name="Flèche gauche 1">
          <a:hlinkClick xmlns:r="http://schemas.openxmlformats.org/officeDocument/2006/relationships" r:id="rId1"/>
          <a:extLst>
            <a:ext uri="{FF2B5EF4-FFF2-40B4-BE49-F238E27FC236}">
              <a16:creationId xmlns:a16="http://schemas.microsoft.com/office/drawing/2014/main" id="{00000000-0008-0000-2100-00001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4" name="Flèche gauche 1">
          <a:hlinkClick xmlns:r="http://schemas.openxmlformats.org/officeDocument/2006/relationships" r:id="rId1"/>
          <a:extLst>
            <a:ext uri="{FF2B5EF4-FFF2-40B4-BE49-F238E27FC236}">
              <a16:creationId xmlns:a16="http://schemas.microsoft.com/office/drawing/2014/main" id="{00000000-0008-0000-2100-00001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5" name="Flèche gauche 1">
          <a:hlinkClick xmlns:r="http://schemas.openxmlformats.org/officeDocument/2006/relationships" r:id="rId2"/>
          <a:extLst>
            <a:ext uri="{FF2B5EF4-FFF2-40B4-BE49-F238E27FC236}">
              <a16:creationId xmlns:a16="http://schemas.microsoft.com/office/drawing/2014/main" id="{00000000-0008-0000-2100-00001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6" name="Flèche gauche 1">
          <a:hlinkClick xmlns:r="http://schemas.openxmlformats.org/officeDocument/2006/relationships" r:id="rId1"/>
          <a:extLst>
            <a:ext uri="{FF2B5EF4-FFF2-40B4-BE49-F238E27FC236}">
              <a16:creationId xmlns:a16="http://schemas.microsoft.com/office/drawing/2014/main" id="{00000000-0008-0000-2100-00001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7" name="Flèche gauche 1">
          <a:hlinkClick xmlns:r="http://schemas.openxmlformats.org/officeDocument/2006/relationships" r:id="rId1"/>
          <a:extLst>
            <a:ext uri="{FF2B5EF4-FFF2-40B4-BE49-F238E27FC236}">
              <a16:creationId xmlns:a16="http://schemas.microsoft.com/office/drawing/2014/main" id="{00000000-0008-0000-2100-00001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8" name="Flèche gauche 1">
          <a:hlinkClick xmlns:r="http://schemas.openxmlformats.org/officeDocument/2006/relationships" r:id="rId1"/>
          <a:extLst>
            <a:ext uri="{FF2B5EF4-FFF2-40B4-BE49-F238E27FC236}">
              <a16:creationId xmlns:a16="http://schemas.microsoft.com/office/drawing/2014/main" id="{00000000-0008-0000-2100-00002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9" name="Flèche gauche 1">
          <a:hlinkClick xmlns:r="http://schemas.openxmlformats.org/officeDocument/2006/relationships" r:id="rId2"/>
          <a:extLst>
            <a:ext uri="{FF2B5EF4-FFF2-40B4-BE49-F238E27FC236}">
              <a16:creationId xmlns:a16="http://schemas.microsoft.com/office/drawing/2014/main" id="{00000000-0008-0000-2100-00002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0" name="Flèche gauche 1">
          <a:hlinkClick xmlns:r="http://schemas.openxmlformats.org/officeDocument/2006/relationships" r:id="rId1"/>
          <a:extLst>
            <a:ext uri="{FF2B5EF4-FFF2-40B4-BE49-F238E27FC236}">
              <a16:creationId xmlns:a16="http://schemas.microsoft.com/office/drawing/2014/main" id="{00000000-0008-0000-2100-00002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1" name="Flèche gauche 1">
          <a:hlinkClick xmlns:r="http://schemas.openxmlformats.org/officeDocument/2006/relationships" r:id="rId1"/>
          <a:extLst>
            <a:ext uri="{FF2B5EF4-FFF2-40B4-BE49-F238E27FC236}">
              <a16:creationId xmlns:a16="http://schemas.microsoft.com/office/drawing/2014/main" id="{00000000-0008-0000-2100-00002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2" name="Flèche gauche 1">
          <a:hlinkClick xmlns:r="http://schemas.openxmlformats.org/officeDocument/2006/relationships" r:id="rId1"/>
          <a:extLst>
            <a:ext uri="{FF2B5EF4-FFF2-40B4-BE49-F238E27FC236}">
              <a16:creationId xmlns:a16="http://schemas.microsoft.com/office/drawing/2014/main" id="{00000000-0008-0000-2100-00002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3" name="Flèche gauche 1">
          <a:hlinkClick xmlns:r="http://schemas.openxmlformats.org/officeDocument/2006/relationships" r:id="rId2"/>
          <a:extLst>
            <a:ext uri="{FF2B5EF4-FFF2-40B4-BE49-F238E27FC236}">
              <a16:creationId xmlns:a16="http://schemas.microsoft.com/office/drawing/2014/main" id="{00000000-0008-0000-2100-00002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4" name="Flèche gauche 1">
          <a:hlinkClick xmlns:r="http://schemas.openxmlformats.org/officeDocument/2006/relationships" r:id="rId1"/>
          <a:extLst>
            <a:ext uri="{FF2B5EF4-FFF2-40B4-BE49-F238E27FC236}">
              <a16:creationId xmlns:a16="http://schemas.microsoft.com/office/drawing/2014/main" id="{00000000-0008-0000-2100-00002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5" name="Flèche gauche 1">
          <a:hlinkClick xmlns:r="http://schemas.openxmlformats.org/officeDocument/2006/relationships" r:id="rId1"/>
          <a:extLst>
            <a:ext uri="{FF2B5EF4-FFF2-40B4-BE49-F238E27FC236}">
              <a16:creationId xmlns:a16="http://schemas.microsoft.com/office/drawing/2014/main" id="{00000000-0008-0000-2100-00002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6" name="Flèche gauche 1">
          <a:hlinkClick xmlns:r="http://schemas.openxmlformats.org/officeDocument/2006/relationships" r:id="rId1"/>
          <a:extLst>
            <a:ext uri="{FF2B5EF4-FFF2-40B4-BE49-F238E27FC236}">
              <a16:creationId xmlns:a16="http://schemas.microsoft.com/office/drawing/2014/main" id="{00000000-0008-0000-2100-00002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7" name="Flèche gauche 1">
          <a:hlinkClick xmlns:r="http://schemas.openxmlformats.org/officeDocument/2006/relationships" r:id="rId2"/>
          <a:extLst>
            <a:ext uri="{FF2B5EF4-FFF2-40B4-BE49-F238E27FC236}">
              <a16:creationId xmlns:a16="http://schemas.microsoft.com/office/drawing/2014/main" id="{00000000-0008-0000-2100-00002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8" name="Flèche gauche 1">
          <a:hlinkClick xmlns:r="http://schemas.openxmlformats.org/officeDocument/2006/relationships" r:id="rId1"/>
          <a:extLst>
            <a:ext uri="{FF2B5EF4-FFF2-40B4-BE49-F238E27FC236}">
              <a16:creationId xmlns:a16="http://schemas.microsoft.com/office/drawing/2014/main" id="{00000000-0008-0000-2100-00002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9" name="Flèche gauche 1">
          <a:hlinkClick xmlns:r="http://schemas.openxmlformats.org/officeDocument/2006/relationships" r:id="rId1"/>
          <a:extLst>
            <a:ext uri="{FF2B5EF4-FFF2-40B4-BE49-F238E27FC236}">
              <a16:creationId xmlns:a16="http://schemas.microsoft.com/office/drawing/2014/main" id="{00000000-0008-0000-2100-00002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0" name="Flèche gauche 1">
          <a:hlinkClick xmlns:r="http://schemas.openxmlformats.org/officeDocument/2006/relationships" r:id="rId1"/>
          <a:extLst>
            <a:ext uri="{FF2B5EF4-FFF2-40B4-BE49-F238E27FC236}">
              <a16:creationId xmlns:a16="http://schemas.microsoft.com/office/drawing/2014/main" id="{00000000-0008-0000-2100-00002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1" name="Flèche gauche 1">
          <a:hlinkClick xmlns:r="http://schemas.openxmlformats.org/officeDocument/2006/relationships" r:id="rId2"/>
          <a:extLst>
            <a:ext uri="{FF2B5EF4-FFF2-40B4-BE49-F238E27FC236}">
              <a16:creationId xmlns:a16="http://schemas.microsoft.com/office/drawing/2014/main" id="{00000000-0008-0000-2100-00002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2" name="Flèche gauche 1">
          <a:hlinkClick xmlns:r="http://schemas.openxmlformats.org/officeDocument/2006/relationships" r:id="rId1"/>
          <a:extLst>
            <a:ext uri="{FF2B5EF4-FFF2-40B4-BE49-F238E27FC236}">
              <a16:creationId xmlns:a16="http://schemas.microsoft.com/office/drawing/2014/main" id="{00000000-0008-0000-2100-00002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3" name="Flèche gauche 1">
          <a:hlinkClick xmlns:r="http://schemas.openxmlformats.org/officeDocument/2006/relationships" r:id="rId1"/>
          <a:extLst>
            <a:ext uri="{FF2B5EF4-FFF2-40B4-BE49-F238E27FC236}">
              <a16:creationId xmlns:a16="http://schemas.microsoft.com/office/drawing/2014/main" id="{00000000-0008-0000-2100-00002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4" name="Flèche gauche 1">
          <a:hlinkClick xmlns:r="http://schemas.openxmlformats.org/officeDocument/2006/relationships" r:id="rId1"/>
          <a:extLst>
            <a:ext uri="{FF2B5EF4-FFF2-40B4-BE49-F238E27FC236}">
              <a16:creationId xmlns:a16="http://schemas.microsoft.com/office/drawing/2014/main" id="{00000000-0008-0000-2100-00003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5" name="Flèche gauche 1">
          <a:hlinkClick xmlns:r="http://schemas.openxmlformats.org/officeDocument/2006/relationships" r:id="rId2"/>
          <a:extLst>
            <a:ext uri="{FF2B5EF4-FFF2-40B4-BE49-F238E27FC236}">
              <a16:creationId xmlns:a16="http://schemas.microsoft.com/office/drawing/2014/main" id="{00000000-0008-0000-2100-00003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6" name="Flèche gauche 1">
          <a:hlinkClick xmlns:r="http://schemas.openxmlformats.org/officeDocument/2006/relationships" r:id="rId1"/>
          <a:extLst>
            <a:ext uri="{FF2B5EF4-FFF2-40B4-BE49-F238E27FC236}">
              <a16:creationId xmlns:a16="http://schemas.microsoft.com/office/drawing/2014/main" id="{00000000-0008-0000-2100-00003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7" name="Flèche gauche 1">
          <a:hlinkClick xmlns:r="http://schemas.openxmlformats.org/officeDocument/2006/relationships" r:id="rId1"/>
          <a:extLst>
            <a:ext uri="{FF2B5EF4-FFF2-40B4-BE49-F238E27FC236}">
              <a16:creationId xmlns:a16="http://schemas.microsoft.com/office/drawing/2014/main" id="{00000000-0008-0000-2100-00003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8" name="Flèche gauche 1">
          <a:hlinkClick xmlns:r="http://schemas.openxmlformats.org/officeDocument/2006/relationships" r:id="rId1"/>
          <a:extLst>
            <a:ext uri="{FF2B5EF4-FFF2-40B4-BE49-F238E27FC236}">
              <a16:creationId xmlns:a16="http://schemas.microsoft.com/office/drawing/2014/main" id="{00000000-0008-0000-2100-00003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9" name="Flèche gauche 1">
          <a:hlinkClick xmlns:r="http://schemas.openxmlformats.org/officeDocument/2006/relationships" r:id="rId2"/>
          <a:extLst>
            <a:ext uri="{FF2B5EF4-FFF2-40B4-BE49-F238E27FC236}">
              <a16:creationId xmlns:a16="http://schemas.microsoft.com/office/drawing/2014/main" id="{00000000-0008-0000-2100-00003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0" name="Flèche gauche 1">
          <a:hlinkClick xmlns:r="http://schemas.openxmlformats.org/officeDocument/2006/relationships" r:id="rId1"/>
          <a:extLst>
            <a:ext uri="{FF2B5EF4-FFF2-40B4-BE49-F238E27FC236}">
              <a16:creationId xmlns:a16="http://schemas.microsoft.com/office/drawing/2014/main" id="{00000000-0008-0000-2100-00003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1" name="Flèche gauche 1">
          <a:hlinkClick xmlns:r="http://schemas.openxmlformats.org/officeDocument/2006/relationships" r:id="rId1"/>
          <a:extLst>
            <a:ext uri="{FF2B5EF4-FFF2-40B4-BE49-F238E27FC236}">
              <a16:creationId xmlns:a16="http://schemas.microsoft.com/office/drawing/2014/main" id="{00000000-0008-0000-2100-00003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2" name="Flèche gauche 1">
          <a:hlinkClick xmlns:r="http://schemas.openxmlformats.org/officeDocument/2006/relationships" r:id="rId1"/>
          <a:extLst>
            <a:ext uri="{FF2B5EF4-FFF2-40B4-BE49-F238E27FC236}">
              <a16:creationId xmlns:a16="http://schemas.microsoft.com/office/drawing/2014/main" id="{00000000-0008-0000-2100-00003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3" name="Flèche gauche 1">
          <a:hlinkClick xmlns:r="http://schemas.openxmlformats.org/officeDocument/2006/relationships" r:id="rId2"/>
          <a:extLst>
            <a:ext uri="{FF2B5EF4-FFF2-40B4-BE49-F238E27FC236}">
              <a16:creationId xmlns:a16="http://schemas.microsoft.com/office/drawing/2014/main" id="{00000000-0008-0000-2100-00003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4" name="Flèche gauche 1">
          <a:hlinkClick xmlns:r="http://schemas.openxmlformats.org/officeDocument/2006/relationships" r:id="rId1"/>
          <a:extLst>
            <a:ext uri="{FF2B5EF4-FFF2-40B4-BE49-F238E27FC236}">
              <a16:creationId xmlns:a16="http://schemas.microsoft.com/office/drawing/2014/main" id="{00000000-0008-0000-2100-00003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5" name="Flèche gauche 1">
          <a:hlinkClick xmlns:r="http://schemas.openxmlformats.org/officeDocument/2006/relationships" r:id="rId1"/>
          <a:extLst>
            <a:ext uri="{FF2B5EF4-FFF2-40B4-BE49-F238E27FC236}">
              <a16:creationId xmlns:a16="http://schemas.microsoft.com/office/drawing/2014/main" id="{00000000-0008-0000-2100-00003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6" name="Flèche gauche 1">
          <a:hlinkClick xmlns:r="http://schemas.openxmlformats.org/officeDocument/2006/relationships" r:id="rId1"/>
          <a:extLst>
            <a:ext uri="{FF2B5EF4-FFF2-40B4-BE49-F238E27FC236}">
              <a16:creationId xmlns:a16="http://schemas.microsoft.com/office/drawing/2014/main" id="{00000000-0008-0000-2100-00003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7" name="Flèche gauche 1">
          <a:hlinkClick xmlns:r="http://schemas.openxmlformats.org/officeDocument/2006/relationships" r:id="rId2"/>
          <a:extLst>
            <a:ext uri="{FF2B5EF4-FFF2-40B4-BE49-F238E27FC236}">
              <a16:creationId xmlns:a16="http://schemas.microsoft.com/office/drawing/2014/main" id="{00000000-0008-0000-2100-00003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8" name="Flèche gauche 1">
          <a:hlinkClick xmlns:r="http://schemas.openxmlformats.org/officeDocument/2006/relationships" r:id="rId1"/>
          <a:extLst>
            <a:ext uri="{FF2B5EF4-FFF2-40B4-BE49-F238E27FC236}">
              <a16:creationId xmlns:a16="http://schemas.microsoft.com/office/drawing/2014/main" id="{00000000-0008-0000-2100-00003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9" name="Flèche gauche 1">
          <a:hlinkClick xmlns:r="http://schemas.openxmlformats.org/officeDocument/2006/relationships" r:id="rId1"/>
          <a:extLst>
            <a:ext uri="{FF2B5EF4-FFF2-40B4-BE49-F238E27FC236}">
              <a16:creationId xmlns:a16="http://schemas.microsoft.com/office/drawing/2014/main" id="{00000000-0008-0000-2100-00003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0" name="Flèche gauche 1">
          <a:hlinkClick xmlns:r="http://schemas.openxmlformats.org/officeDocument/2006/relationships" r:id="rId1"/>
          <a:extLst>
            <a:ext uri="{FF2B5EF4-FFF2-40B4-BE49-F238E27FC236}">
              <a16:creationId xmlns:a16="http://schemas.microsoft.com/office/drawing/2014/main" id="{00000000-0008-0000-2100-00004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1" name="Flèche gauche 1">
          <a:hlinkClick xmlns:r="http://schemas.openxmlformats.org/officeDocument/2006/relationships" r:id="rId2"/>
          <a:extLst>
            <a:ext uri="{FF2B5EF4-FFF2-40B4-BE49-F238E27FC236}">
              <a16:creationId xmlns:a16="http://schemas.microsoft.com/office/drawing/2014/main" id="{00000000-0008-0000-2100-00004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2" name="Flèche gauche 1">
          <a:hlinkClick xmlns:r="http://schemas.openxmlformats.org/officeDocument/2006/relationships" r:id="rId1"/>
          <a:extLst>
            <a:ext uri="{FF2B5EF4-FFF2-40B4-BE49-F238E27FC236}">
              <a16:creationId xmlns:a16="http://schemas.microsoft.com/office/drawing/2014/main" id="{00000000-0008-0000-2100-00004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3" name="Flèche gauche 1">
          <a:hlinkClick xmlns:r="http://schemas.openxmlformats.org/officeDocument/2006/relationships" r:id="rId1"/>
          <a:extLst>
            <a:ext uri="{FF2B5EF4-FFF2-40B4-BE49-F238E27FC236}">
              <a16:creationId xmlns:a16="http://schemas.microsoft.com/office/drawing/2014/main" id="{00000000-0008-0000-2100-00004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4" name="Flèche gauche 1">
          <a:hlinkClick xmlns:r="http://schemas.openxmlformats.org/officeDocument/2006/relationships" r:id="rId1"/>
          <a:extLst>
            <a:ext uri="{FF2B5EF4-FFF2-40B4-BE49-F238E27FC236}">
              <a16:creationId xmlns:a16="http://schemas.microsoft.com/office/drawing/2014/main" id="{00000000-0008-0000-2100-00004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5" name="Flèche gauche 1">
          <a:hlinkClick xmlns:r="http://schemas.openxmlformats.org/officeDocument/2006/relationships" r:id="rId2"/>
          <a:extLst>
            <a:ext uri="{FF2B5EF4-FFF2-40B4-BE49-F238E27FC236}">
              <a16:creationId xmlns:a16="http://schemas.microsoft.com/office/drawing/2014/main" id="{00000000-0008-0000-2100-00004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6" name="Flèche gauche 1">
          <a:hlinkClick xmlns:r="http://schemas.openxmlformats.org/officeDocument/2006/relationships" r:id="rId1"/>
          <a:extLst>
            <a:ext uri="{FF2B5EF4-FFF2-40B4-BE49-F238E27FC236}">
              <a16:creationId xmlns:a16="http://schemas.microsoft.com/office/drawing/2014/main" id="{00000000-0008-0000-2100-00004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7" name="Flèche gauche 1">
          <a:hlinkClick xmlns:r="http://schemas.openxmlformats.org/officeDocument/2006/relationships" r:id="rId1"/>
          <a:extLst>
            <a:ext uri="{FF2B5EF4-FFF2-40B4-BE49-F238E27FC236}">
              <a16:creationId xmlns:a16="http://schemas.microsoft.com/office/drawing/2014/main" id="{00000000-0008-0000-2100-00004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8" name="Flèche gauche 1">
          <a:hlinkClick xmlns:r="http://schemas.openxmlformats.org/officeDocument/2006/relationships" r:id="rId1"/>
          <a:extLst>
            <a:ext uri="{FF2B5EF4-FFF2-40B4-BE49-F238E27FC236}">
              <a16:creationId xmlns:a16="http://schemas.microsoft.com/office/drawing/2014/main" id="{00000000-0008-0000-2100-00004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9" name="Flèche gauche 1">
          <a:hlinkClick xmlns:r="http://schemas.openxmlformats.org/officeDocument/2006/relationships" r:id="rId2"/>
          <a:extLst>
            <a:ext uri="{FF2B5EF4-FFF2-40B4-BE49-F238E27FC236}">
              <a16:creationId xmlns:a16="http://schemas.microsoft.com/office/drawing/2014/main" id="{00000000-0008-0000-2100-00004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0" name="Flèche gauche 1">
          <a:hlinkClick xmlns:r="http://schemas.openxmlformats.org/officeDocument/2006/relationships" r:id="rId1"/>
          <a:extLst>
            <a:ext uri="{FF2B5EF4-FFF2-40B4-BE49-F238E27FC236}">
              <a16:creationId xmlns:a16="http://schemas.microsoft.com/office/drawing/2014/main" id="{00000000-0008-0000-2100-00004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1" name="Flèche gauche 1">
          <a:hlinkClick xmlns:r="http://schemas.openxmlformats.org/officeDocument/2006/relationships" r:id="rId1"/>
          <a:extLst>
            <a:ext uri="{FF2B5EF4-FFF2-40B4-BE49-F238E27FC236}">
              <a16:creationId xmlns:a16="http://schemas.microsoft.com/office/drawing/2014/main" id="{00000000-0008-0000-2100-00004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2" name="Flèche gauche 1">
          <a:hlinkClick xmlns:r="http://schemas.openxmlformats.org/officeDocument/2006/relationships" r:id="rId1"/>
          <a:extLst>
            <a:ext uri="{FF2B5EF4-FFF2-40B4-BE49-F238E27FC236}">
              <a16:creationId xmlns:a16="http://schemas.microsoft.com/office/drawing/2014/main" id="{00000000-0008-0000-2100-00004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3" name="Flèche gauche 1">
          <a:hlinkClick xmlns:r="http://schemas.openxmlformats.org/officeDocument/2006/relationships" r:id="rId2"/>
          <a:extLst>
            <a:ext uri="{FF2B5EF4-FFF2-40B4-BE49-F238E27FC236}">
              <a16:creationId xmlns:a16="http://schemas.microsoft.com/office/drawing/2014/main" id="{00000000-0008-0000-2100-00004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4" name="Flèche gauche 1">
          <a:hlinkClick xmlns:r="http://schemas.openxmlformats.org/officeDocument/2006/relationships" r:id="rId1"/>
          <a:extLst>
            <a:ext uri="{FF2B5EF4-FFF2-40B4-BE49-F238E27FC236}">
              <a16:creationId xmlns:a16="http://schemas.microsoft.com/office/drawing/2014/main" id="{00000000-0008-0000-2100-00004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5" name="Flèche gauche 1">
          <a:hlinkClick xmlns:r="http://schemas.openxmlformats.org/officeDocument/2006/relationships" r:id="rId1"/>
          <a:extLst>
            <a:ext uri="{FF2B5EF4-FFF2-40B4-BE49-F238E27FC236}">
              <a16:creationId xmlns:a16="http://schemas.microsoft.com/office/drawing/2014/main" id="{00000000-0008-0000-2100-00004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6" name="Flèche gauche 1">
          <a:hlinkClick xmlns:r="http://schemas.openxmlformats.org/officeDocument/2006/relationships" r:id="rId1"/>
          <a:extLst>
            <a:ext uri="{FF2B5EF4-FFF2-40B4-BE49-F238E27FC236}">
              <a16:creationId xmlns:a16="http://schemas.microsoft.com/office/drawing/2014/main" id="{00000000-0008-0000-2100-00005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7" name="Flèche gauche 1">
          <a:hlinkClick xmlns:r="http://schemas.openxmlformats.org/officeDocument/2006/relationships" r:id="rId2"/>
          <a:extLst>
            <a:ext uri="{FF2B5EF4-FFF2-40B4-BE49-F238E27FC236}">
              <a16:creationId xmlns:a16="http://schemas.microsoft.com/office/drawing/2014/main" id="{00000000-0008-0000-2100-00005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8" name="Flèche gauche 1">
          <a:hlinkClick xmlns:r="http://schemas.openxmlformats.org/officeDocument/2006/relationships" r:id="rId1"/>
          <a:extLst>
            <a:ext uri="{FF2B5EF4-FFF2-40B4-BE49-F238E27FC236}">
              <a16:creationId xmlns:a16="http://schemas.microsoft.com/office/drawing/2014/main" id="{00000000-0008-0000-2100-00005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9" name="Flèche gauche 1">
          <a:hlinkClick xmlns:r="http://schemas.openxmlformats.org/officeDocument/2006/relationships" r:id="rId1"/>
          <a:extLst>
            <a:ext uri="{FF2B5EF4-FFF2-40B4-BE49-F238E27FC236}">
              <a16:creationId xmlns:a16="http://schemas.microsoft.com/office/drawing/2014/main" id="{00000000-0008-0000-2100-00005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0" name="Flèche gauche 1">
          <a:hlinkClick xmlns:r="http://schemas.openxmlformats.org/officeDocument/2006/relationships" r:id="rId1"/>
          <a:extLst>
            <a:ext uri="{FF2B5EF4-FFF2-40B4-BE49-F238E27FC236}">
              <a16:creationId xmlns:a16="http://schemas.microsoft.com/office/drawing/2014/main" id="{00000000-0008-0000-2100-00005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1" name="Flèche gauche 1">
          <a:hlinkClick xmlns:r="http://schemas.openxmlformats.org/officeDocument/2006/relationships" r:id="rId2"/>
          <a:extLst>
            <a:ext uri="{FF2B5EF4-FFF2-40B4-BE49-F238E27FC236}">
              <a16:creationId xmlns:a16="http://schemas.microsoft.com/office/drawing/2014/main" id="{00000000-0008-0000-2100-00005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2" name="Flèche gauche 1">
          <a:hlinkClick xmlns:r="http://schemas.openxmlformats.org/officeDocument/2006/relationships" r:id="rId1"/>
          <a:extLst>
            <a:ext uri="{FF2B5EF4-FFF2-40B4-BE49-F238E27FC236}">
              <a16:creationId xmlns:a16="http://schemas.microsoft.com/office/drawing/2014/main" id="{00000000-0008-0000-2100-00005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3" name="Flèche gauche 1">
          <a:hlinkClick xmlns:r="http://schemas.openxmlformats.org/officeDocument/2006/relationships" r:id="rId1"/>
          <a:extLst>
            <a:ext uri="{FF2B5EF4-FFF2-40B4-BE49-F238E27FC236}">
              <a16:creationId xmlns:a16="http://schemas.microsoft.com/office/drawing/2014/main" id="{00000000-0008-0000-2100-00005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4" name="Flèche gauche 1">
          <a:hlinkClick xmlns:r="http://schemas.openxmlformats.org/officeDocument/2006/relationships" r:id="rId1"/>
          <a:extLst>
            <a:ext uri="{FF2B5EF4-FFF2-40B4-BE49-F238E27FC236}">
              <a16:creationId xmlns:a16="http://schemas.microsoft.com/office/drawing/2014/main" id="{00000000-0008-0000-2100-00005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5" name="Flèche gauche 1">
          <a:hlinkClick xmlns:r="http://schemas.openxmlformats.org/officeDocument/2006/relationships" r:id="rId2"/>
          <a:extLst>
            <a:ext uri="{FF2B5EF4-FFF2-40B4-BE49-F238E27FC236}">
              <a16:creationId xmlns:a16="http://schemas.microsoft.com/office/drawing/2014/main" id="{00000000-0008-0000-2100-00005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6" name="Flèche gauche 1">
          <a:hlinkClick xmlns:r="http://schemas.openxmlformats.org/officeDocument/2006/relationships" r:id="rId1"/>
          <a:extLst>
            <a:ext uri="{FF2B5EF4-FFF2-40B4-BE49-F238E27FC236}">
              <a16:creationId xmlns:a16="http://schemas.microsoft.com/office/drawing/2014/main" id="{00000000-0008-0000-2100-00005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7" name="Flèche gauche 1">
          <a:hlinkClick xmlns:r="http://schemas.openxmlformats.org/officeDocument/2006/relationships" r:id="rId1"/>
          <a:extLst>
            <a:ext uri="{FF2B5EF4-FFF2-40B4-BE49-F238E27FC236}">
              <a16:creationId xmlns:a16="http://schemas.microsoft.com/office/drawing/2014/main" id="{00000000-0008-0000-2100-00005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8" name="Flèche gauche 1">
          <a:hlinkClick xmlns:r="http://schemas.openxmlformats.org/officeDocument/2006/relationships" r:id="rId1"/>
          <a:extLst>
            <a:ext uri="{FF2B5EF4-FFF2-40B4-BE49-F238E27FC236}">
              <a16:creationId xmlns:a16="http://schemas.microsoft.com/office/drawing/2014/main" id="{00000000-0008-0000-2100-00005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9" name="Flèche gauche 1">
          <a:hlinkClick xmlns:r="http://schemas.openxmlformats.org/officeDocument/2006/relationships" r:id="rId2"/>
          <a:extLst>
            <a:ext uri="{FF2B5EF4-FFF2-40B4-BE49-F238E27FC236}">
              <a16:creationId xmlns:a16="http://schemas.microsoft.com/office/drawing/2014/main" id="{00000000-0008-0000-2100-00005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0" name="Flèche gauche 1">
          <a:hlinkClick xmlns:r="http://schemas.openxmlformats.org/officeDocument/2006/relationships" r:id="rId1"/>
          <a:extLst>
            <a:ext uri="{FF2B5EF4-FFF2-40B4-BE49-F238E27FC236}">
              <a16:creationId xmlns:a16="http://schemas.microsoft.com/office/drawing/2014/main" id="{00000000-0008-0000-2100-00005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1" name="Flèche gauche 1">
          <a:hlinkClick xmlns:r="http://schemas.openxmlformats.org/officeDocument/2006/relationships" r:id="rId1"/>
          <a:extLst>
            <a:ext uri="{FF2B5EF4-FFF2-40B4-BE49-F238E27FC236}">
              <a16:creationId xmlns:a16="http://schemas.microsoft.com/office/drawing/2014/main" id="{00000000-0008-0000-2100-00005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2" name="Flèche gauche 1">
          <a:hlinkClick xmlns:r="http://schemas.openxmlformats.org/officeDocument/2006/relationships" r:id="rId1"/>
          <a:extLst>
            <a:ext uri="{FF2B5EF4-FFF2-40B4-BE49-F238E27FC236}">
              <a16:creationId xmlns:a16="http://schemas.microsoft.com/office/drawing/2014/main" id="{00000000-0008-0000-2100-00006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3" name="Flèche gauche 1">
          <a:hlinkClick xmlns:r="http://schemas.openxmlformats.org/officeDocument/2006/relationships" r:id="rId2"/>
          <a:extLst>
            <a:ext uri="{FF2B5EF4-FFF2-40B4-BE49-F238E27FC236}">
              <a16:creationId xmlns:a16="http://schemas.microsoft.com/office/drawing/2014/main" id="{00000000-0008-0000-2100-00006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4" name="Flèche gauche 1">
          <a:hlinkClick xmlns:r="http://schemas.openxmlformats.org/officeDocument/2006/relationships" r:id="rId1"/>
          <a:extLst>
            <a:ext uri="{FF2B5EF4-FFF2-40B4-BE49-F238E27FC236}">
              <a16:creationId xmlns:a16="http://schemas.microsoft.com/office/drawing/2014/main" id="{00000000-0008-0000-2100-00006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5" name="Flèche gauche 1">
          <a:hlinkClick xmlns:r="http://schemas.openxmlformats.org/officeDocument/2006/relationships" r:id="rId1"/>
          <a:extLst>
            <a:ext uri="{FF2B5EF4-FFF2-40B4-BE49-F238E27FC236}">
              <a16:creationId xmlns:a16="http://schemas.microsoft.com/office/drawing/2014/main" id="{00000000-0008-0000-2100-00006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6" name="Flèche gauche 1">
          <a:hlinkClick xmlns:r="http://schemas.openxmlformats.org/officeDocument/2006/relationships" r:id="rId1"/>
          <a:extLst>
            <a:ext uri="{FF2B5EF4-FFF2-40B4-BE49-F238E27FC236}">
              <a16:creationId xmlns:a16="http://schemas.microsoft.com/office/drawing/2014/main" id="{00000000-0008-0000-2100-00006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7" name="Flèche gauche 1">
          <a:hlinkClick xmlns:r="http://schemas.openxmlformats.org/officeDocument/2006/relationships" r:id="rId2"/>
          <a:extLst>
            <a:ext uri="{FF2B5EF4-FFF2-40B4-BE49-F238E27FC236}">
              <a16:creationId xmlns:a16="http://schemas.microsoft.com/office/drawing/2014/main" id="{00000000-0008-0000-2100-00006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8" name="Flèche gauche 1">
          <a:hlinkClick xmlns:r="http://schemas.openxmlformats.org/officeDocument/2006/relationships" r:id="rId1"/>
          <a:extLst>
            <a:ext uri="{FF2B5EF4-FFF2-40B4-BE49-F238E27FC236}">
              <a16:creationId xmlns:a16="http://schemas.microsoft.com/office/drawing/2014/main" id="{00000000-0008-0000-2100-00006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9" name="Flèche gauche 1">
          <a:hlinkClick xmlns:r="http://schemas.openxmlformats.org/officeDocument/2006/relationships" r:id="rId1"/>
          <a:extLst>
            <a:ext uri="{FF2B5EF4-FFF2-40B4-BE49-F238E27FC236}">
              <a16:creationId xmlns:a16="http://schemas.microsoft.com/office/drawing/2014/main" id="{00000000-0008-0000-2100-00006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0" name="Flèche gauche 1">
          <a:hlinkClick xmlns:r="http://schemas.openxmlformats.org/officeDocument/2006/relationships" r:id="rId1"/>
          <a:extLst>
            <a:ext uri="{FF2B5EF4-FFF2-40B4-BE49-F238E27FC236}">
              <a16:creationId xmlns:a16="http://schemas.microsoft.com/office/drawing/2014/main" id="{00000000-0008-0000-2100-00006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1" name="Flèche gauche 1">
          <a:hlinkClick xmlns:r="http://schemas.openxmlformats.org/officeDocument/2006/relationships" r:id="rId2"/>
          <a:extLst>
            <a:ext uri="{FF2B5EF4-FFF2-40B4-BE49-F238E27FC236}">
              <a16:creationId xmlns:a16="http://schemas.microsoft.com/office/drawing/2014/main" id="{00000000-0008-0000-2100-00006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2" name="Flèche gauche 1">
          <a:hlinkClick xmlns:r="http://schemas.openxmlformats.org/officeDocument/2006/relationships" r:id="rId1"/>
          <a:extLst>
            <a:ext uri="{FF2B5EF4-FFF2-40B4-BE49-F238E27FC236}">
              <a16:creationId xmlns:a16="http://schemas.microsoft.com/office/drawing/2014/main" id="{00000000-0008-0000-2100-00006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3" name="Flèche gauche 1">
          <a:hlinkClick xmlns:r="http://schemas.openxmlformats.org/officeDocument/2006/relationships" r:id="rId1"/>
          <a:extLst>
            <a:ext uri="{FF2B5EF4-FFF2-40B4-BE49-F238E27FC236}">
              <a16:creationId xmlns:a16="http://schemas.microsoft.com/office/drawing/2014/main" id="{00000000-0008-0000-2100-00006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4" name="Flèche gauche 1">
          <a:hlinkClick xmlns:r="http://schemas.openxmlformats.org/officeDocument/2006/relationships" r:id="rId1"/>
          <a:extLst>
            <a:ext uri="{FF2B5EF4-FFF2-40B4-BE49-F238E27FC236}">
              <a16:creationId xmlns:a16="http://schemas.microsoft.com/office/drawing/2014/main" id="{00000000-0008-0000-2100-00006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5" name="Flèche gauche 1">
          <a:hlinkClick xmlns:r="http://schemas.openxmlformats.org/officeDocument/2006/relationships" r:id="rId2"/>
          <a:extLst>
            <a:ext uri="{FF2B5EF4-FFF2-40B4-BE49-F238E27FC236}">
              <a16:creationId xmlns:a16="http://schemas.microsoft.com/office/drawing/2014/main" id="{00000000-0008-0000-2100-00006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6" name="Flèche gauche 1">
          <a:hlinkClick xmlns:r="http://schemas.openxmlformats.org/officeDocument/2006/relationships" r:id="rId1"/>
          <a:extLst>
            <a:ext uri="{FF2B5EF4-FFF2-40B4-BE49-F238E27FC236}">
              <a16:creationId xmlns:a16="http://schemas.microsoft.com/office/drawing/2014/main" id="{00000000-0008-0000-2100-00006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7" name="Flèche gauche 1">
          <a:hlinkClick xmlns:r="http://schemas.openxmlformats.org/officeDocument/2006/relationships" r:id="rId1"/>
          <a:extLst>
            <a:ext uri="{FF2B5EF4-FFF2-40B4-BE49-F238E27FC236}">
              <a16:creationId xmlns:a16="http://schemas.microsoft.com/office/drawing/2014/main" id="{00000000-0008-0000-2100-00006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8" name="Flèche gauche 1">
          <a:hlinkClick xmlns:r="http://schemas.openxmlformats.org/officeDocument/2006/relationships" r:id="rId1"/>
          <a:extLst>
            <a:ext uri="{FF2B5EF4-FFF2-40B4-BE49-F238E27FC236}">
              <a16:creationId xmlns:a16="http://schemas.microsoft.com/office/drawing/2014/main" id="{00000000-0008-0000-2100-00007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9" name="Flèche gauche 1">
          <a:hlinkClick xmlns:r="http://schemas.openxmlformats.org/officeDocument/2006/relationships" r:id="rId2"/>
          <a:extLst>
            <a:ext uri="{FF2B5EF4-FFF2-40B4-BE49-F238E27FC236}">
              <a16:creationId xmlns:a16="http://schemas.microsoft.com/office/drawing/2014/main" id="{00000000-0008-0000-2100-00007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0" name="Flèche gauche 1">
          <a:hlinkClick xmlns:r="http://schemas.openxmlformats.org/officeDocument/2006/relationships" r:id="rId1"/>
          <a:extLst>
            <a:ext uri="{FF2B5EF4-FFF2-40B4-BE49-F238E27FC236}">
              <a16:creationId xmlns:a16="http://schemas.microsoft.com/office/drawing/2014/main" id="{00000000-0008-0000-2100-000072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1" name="Flèche gauche 1">
          <a:hlinkClick xmlns:r="http://schemas.openxmlformats.org/officeDocument/2006/relationships" r:id="rId1"/>
          <a:extLst>
            <a:ext uri="{FF2B5EF4-FFF2-40B4-BE49-F238E27FC236}">
              <a16:creationId xmlns:a16="http://schemas.microsoft.com/office/drawing/2014/main" id="{00000000-0008-0000-2100-000073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2" name="Flèche gauche 1">
          <a:hlinkClick xmlns:r="http://schemas.openxmlformats.org/officeDocument/2006/relationships" r:id="rId1"/>
          <a:extLst>
            <a:ext uri="{FF2B5EF4-FFF2-40B4-BE49-F238E27FC236}">
              <a16:creationId xmlns:a16="http://schemas.microsoft.com/office/drawing/2014/main" id="{00000000-0008-0000-2100-000074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3" name="Flèche gauche 1">
          <a:hlinkClick xmlns:r="http://schemas.openxmlformats.org/officeDocument/2006/relationships" r:id="rId2"/>
          <a:extLst>
            <a:ext uri="{FF2B5EF4-FFF2-40B4-BE49-F238E27FC236}">
              <a16:creationId xmlns:a16="http://schemas.microsoft.com/office/drawing/2014/main" id="{00000000-0008-0000-2100-000075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4" name="Flèche gauche 1">
          <a:hlinkClick xmlns:r="http://schemas.openxmlformats.org/officeDocument/2006/relationships" r:id="rId1"/>
          <a:extLst>
            <a:ext uri="{FF2B5EF4-FFF2-40B4-BE49-F238E27FC236}">
              <a16:creationId xmlns:a16="http://schemas.microsoft.com/office/drawing/2014/main" id="{00000000-0008-0000-2100-000076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5" name="Flèche gauche 1">
          <a:hlinkClick xmlns:r="http://schemas.openxmlformats.org/officeDocument/2006/relationships" r:id="rId1"/>
          <a:extLst>
            <a:ext uri="{FF2B5EF4-FFF2-40B4-BE49-F238E27FC236}">
              <a16:creationId xmlns:a16="http://schemas.microsoft.com/office/drawing/2014/main" id="{00000000-0008-0000-2100-000077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6" name="Flèche gauche 1">
          <a:hlinkClick xmlns:r="http://schemas.openxmlformats.org/officeDocument/2006/relationships" r:id="rId1"/>
          <a:extLst>
            <a:ext uri="{FF2B5EF4-FFF2-40B4-BE49-F238E27FC236}">
              <a16:creationId xmlns:a16="http://schemas.microsoft.com/office/drawing/2014/main" id="{00000000-0008-0000-2100-000078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7" name="Flèche gauche 1">
          <a:hlinkClick xmlns:r="http://schemas.openxmlformats.org/officeDocument/2006/relationships" r:id="rId2"/>
          <a:extLst>
            <a:ext uri="{FF2B5EF4-FFF2-40B4-BE49-F238E27FC236}">
              <a16:creationId xmlns:a16="http://schemas.microsoft.com/office/drawing/2014/main" id="{00000000-0008-0000-2100-000079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8" name="Flèche gauche 1">
          <a:hlinkClick xmlns:r="http://schemas.openxmlformats.org/officeDocument/2006/relationships" r:id="rId1"/>
          <a:extLst>
            <a:ext uri="{FF2B5EF4-FFF2-40B4-BE49-F238E27FC236}">
              <a16:creationId xmlns:a16="http://schemas.microsoft.com/office/drawing/2014/main" id="{00000000-0008-0000-2100-00007A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9" name="Flèche gauche 1">
          <a:hlinkClick xmlns:r="http://schemas.openxmlformats.org/officeDocument/2006/relationships" r:id="rId1"/>
          <a:extLst>
            <a:ext uri="{FF2B5EF4-FFF2-40B4-BE49-F238E27FC236}">
              <a16:creationId xmlns:a16="http://schemas.microsoft.com/office/drawing/2014/main" id="{00000000-0008-0000-2100-00007B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80" name="Flèche gauche 1">
          <a:hlinkClick xmlns:r="http://schemas.openxmlformats.org/officeDocument/2006/relationships" r:id="rId1"/>
          <a:extLst>
            <a:ext uri="{FF2B5EF4-FFF2-40B4-BE49-F238E27FC236}">
              <a16:creationId xmlns:a16="http://schemas.microsoft.com/office/drawing/2014/main" id="{00000000-0008-0000-2100-00007C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81" name="Flèche gauche 1">
          <a:hlinkClick xmlns:r="http://schemas.openxmlformats.org/officeDocument/2006/relationships" r:id="rId2"/>
          <a:extLst>
            <a:ext uri="{FF2B5EF4-FFF2-40B4-BE49-F238E27FC236}">
              <a16:creationId xmlns:a16="http://schemas.microsoft.com/office/drawing/2014/main" id="{00000000-0008-0000-2100-00007D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82" name="Flèche gauche 1">
          <a:hlinkClick xmlns:r="http://schemas.openxmlformats.org/officeDocument/2006/relationships" r:id="rId1"/>
          <a:extLst>
            <a:ext uri="{FF2B5EF4-FFF2-40B4-BE49-F238E27FC236}">
              <a16:creationId xmlns:a16="http://schemas.microsoft.com/office/drawing/2014/main" id="{00000000-0008-0000-2100-00007E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83" name="Flèche gauche 1">
          <a:hlinkClick xmlns:r="http://schemas.openxmlformats.org/officeDocument/2006/relationships" r:id="rId1"/>
          <a:extLst>
            <a:ext uri="{FF2B5EF4-FFF2-40B4-BE49-F238E27FC236}">
              <a16:creationId xmlns:a16="http://schemas.microsoft.com/office/drawing/2014/main" id="{00000000-0008-0000-2100-00007F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84" name="Flèche gauche 1">
          <a:hlinkClick xmlns:r="http://schemas.openxmlformats.org/officeDocument/2006/relationships" r:id="rId1"/>
          <a:extLst>
            <a:ext uri="{FF2B5EF4-FFF2-40B4-BE49-F238E27FC236}">
              <a16:creationId xmlns:a16="http://schemas.microsoft.com/office/drawing/2014/main" id="{00000000-0008-0000-2100-000080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85" name="Flèche gauche 1">
          <a:hlinkClick xmlns:r="http://schemas.openxmlformats.org/officeDocument/2006/relationships" r:id="rId2"/>
          <a:extLst>
            <a:ext uri="{FF2B5EF4-FFF2-40B4-BE49-F238E27FC236}">
              <a16:creationId xmlns:a16="http://schemas.microsoft.com/office/drawing/2014/main" id="{00000000-0008-0000-2100-000081010000}"/>
            </a:ext>
          </a:extLst>
        </xdr:cNvPr>
        <xdr:cNvSpPr/>
      </xdr:nvSpPr>
      <xdr:spPr bwMode="auto">
        <a:xfrm>
          <a:off x="76200" y="60960"/>
          <a:ext cx="381000" cy="2489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 name="Flèche gauche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 name="Flèche gauche 1">
          <a:hlinkClick xmlns:r="http://schemas.openxmlformats.org/officeDocument/2006/relationships" r:id="rId1"/>
          <a:extLst>
            <a:ext uri="{FF2B5EF4-FFF2-40B4-BE49-F238E27FC236}">
              <a16:creationId xmlns:a16="http://schemas.microsoft.com/office/drawing/2014/main" id="{00000000-0008-0000-2200-000003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 name="Flèche gauche 1">
          <a:hlinkClick xmlns:r="http://schemas.openxmlformats.org/officeDocument/2006/relationships" r:id="rId1"/>
          <a:extLst>
            <a:ext uri="{FF2B5EF4-FFF2-40B4-BE49-F238E27FC236}">
              <a16:creationId xmlns:a16="http://schemas.microsoft.com/office/drawing/2014/main" id="{00000000-0008-0000-2200-000004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 name="Flèche gauche 1">
          <a:hlinkClick xmlns:r="http://schemas.openxmlformats.org/officeDocument/2006/relationships" r:id="rId2"/>
          <a:extLst>
            <a:ext uri="{FF2B5EF4-FFF2-40B4-BE49-F238E27FC236}">
              <a16:creationId xmlns:a16="http://schemas.microsoft.com/office/drawing/2014/main" id="{00000000-0008-0000-2200-000005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 name="Flèche gauche 1">
          <a:hlinkClick xmlns:r="http://schemas.openxmlformats.org/officeDocument/2006/relationships" r:id="rId1"/>
          <a:extLst>
            <a:ext uri="{FF2B5EF4-FFF2-40B4-BE49-F238E27FC236}">
              <a16:creationId xmlns:a16="http://schemas.microsoft.com/office/drawing/2014/main" id="{00000000-0008-0000-2200-000006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 name="Flèche gauche 1">
          <a:hlinkClick xmlns:r="http://schemas.openxmlformats.org/officeDocument/2006/relationships" r:id="rId1"/>
          <a:extLst>
            <a:ext uri="{FF2B5EF4-FFF2-40B4-BE49-F238E27FC236}">
              <a16:creationId xmlns:a16="http://schemas.microsoft.com/office/drawing/2014/main" id="{00000000-0008-0000-2200-000007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 name="Flèche gauche 1">
          <a:hlinkClick xmlns:r="http://schemas.openxmlformats.org/officeDocument/2006/relationships" r:id="rId1"/>
          <a:extLst>
            <a:ext uri="{FF2B5EF4-FFF2-40B4-BE49-F238E27FC236}">
              <a16:creationId xmlns:a16="http://schemas.microsoft.com/office/drawing/2014/main" id="{00000000-0008-0000-2200-000008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 name="Flèche gauche 1">
          <a:hlinkClick xmlns:r="http://schemas.openxmlformats.org/officeDocument/2006/relationships" r:id="rId2"/>
          <a:extLst>
            <a:ext uri="{FF2B5EF4-FFF2-40B4-BE49-F238E27FC236}">
              <a16:creationId xmlns:a16="http://schemas.microsoft.com/office/drawing/2014/main" id="{00000000-0008-0000-2200-000009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 name="Flèche gauche 1">
          <a:hlinkClick xmlns:r="http://schemas.openxmlformats.org/officeDocument/2006/relationships" r:id="rId1"/>
          <a:extLst>
            <a:ext uri="{FF2B5EF4-FFF2-40B4-BE49-F238E27FC236}">
              <a16:creationId xmlns:a16="http://schemas.microsoft.com/office/drawing/2014/main" id="{00000000-0008-0000-2200-00000A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 name="Flèche gauche 1">
          <a:hlinkClick xmlns:r="http://schemas.openxmlformats.org/officeDocument/2006/relationships" r:id="rId1"/>
          <a:extLst>
            <a:ext uri="{FF2B5EF4-FFF2-40B4-BE49-F238E27FC236}">
              <a16:creationId xmlns:a16="http://schemas.microsoft.com/office/drawing/2014/main" id="{00000000-0008-0000-2200-00000B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 name="Flèche gauche 1">
          <a:hlinkClick xmlns:r="http://schemas.openxmlformats.org/officeDocument/2006/relationships" r:id="rId1"/>
          <a:extLst>
            <a:ext uri="{FF2B5EF4-FFF2-40B4-BE49-F238E27FC236}">
              <a16:creationId xmlns:a16="http://schemas.microsoft.com/office/drawing/2014/main" id="{00000000-0008-0000-2200-00000C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 name="Flèche gauche 1">
          <a:hlinkClick xmlns:r="http://schemas.openxmlformats.org/officeDocument/2006/relationships" r:id="rId2"/>
          <a:extLst>
            <a:ext uri="{FF2B5EF4-FFF2-40B4-BE49-F238E27FC236}">
              <a16:creationId xmlns:a16="http://schemas.microsoft.com/office/drawing/2014/main" id="{00000000-0008-0000-2200-00000D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 name="Flèche gauche 1">
          <a:hlinkClick xmlns:r="http://schemas.openxmlformats.org/officeDocument/2006/relationships" r:id="rId1"/>
          <a:extLst>
            <a:ext uri="{FF2B5EF4-FFF2-40B4-BE49-F238E27FC236}">
              <a16:creationId xmlns:a16="http://schemas.microsoft.com/office/drawing/2014/main" id="{00000000-0008-0000-2200-00000E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 name="Flèche gauche 1">
          <a:hlinkClick xmlns:r="http://schemas.openxmlformats.org/officeDocument/2006/relationships" r:id="rId1"/>
          <a:extLst>
            <a:ext uri="{FF2B5EF4-FFF2-40B4-BE49-F238E27FC236}">
              <a16:creationId xmlns:a16="http://schemas.microsoft.com/office/drawing/2014/main" id="{00000000-0008-0000-2200-00000F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 name="Flèche gauche 1">
          <a:hlinkClick xmlns:r="http://schemas.openxmlformats.org/officeDocument/2006/relationships" r:id="rId1"/>
          <a:extLst>
            <a:ext uri="{FF2B5EF4-FFF2-40B4-BE49-F238E27FC236}">
              <a16:creationId xmlns:a16="http://schemas.microsoft.com/office/drawing/2014/main" id="{00000000-0008-0000-2200-000010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 name="Flèche gauche 1">
          <a:hlinkClick xmlns:r="http://schemas.openxmlformats.org/officeDocument/2006/relationships" r:id="rId2"/>
          <a:extLst>
            <a:ext uri="{FF2B5EF4-FFF2-40B4-BE49-F238E27FC236}">
              <a16:creationId xmlns:a16="http://schemas.microsoft.com/office/drawing/2014/main" id="{00000000-0008-0000-2200-000011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 name="Flèche gauche 1">
          <a:hlinkClick xmlns:r="http://schemas.openxmlformats.org/officeDocument/2006/relationships" r:id="rId1"/>
          <a:extLst>
            <a:ext uri="{FF2B5EF4-FFF2-40B4-BE49-F238E27FC236}">
              <a16:creationId xmlns:a16="http://schemas.microsoft.com/office/drawing/2014/main" id="{00000000-0008-0000-2200-000012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 name="Flèche gauche 1">
          <a:hlinkClick xmlns:r="http://schemas.openxmlformats.org/officeDocument/2006/relationships" r:id="rId1"/>
          <a:extLst>
            <a:ext uri="{FF2B5EF4-FFF2-40B4-BE49-F238E27FC236}">
              <a16:creationId xmlns:a16="http://schemas.microsoft.com/office/drawing/2014/main" id="{00000000-0008-0000-2200-000013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 name="Flèche gauche 1">
          <a:hlinkClick xmlns:r="http://schemas.openxmlformats.org/officeDocument/2006/relationships" r:id="rId1"/>
          <a:extLst>
            <a:ext uri="{FF2B5EF4-FFF2-40B4-BE49-F238E27FC236}">
              <a16:creationId xmlns:a16="http://schemas.microsoft.com/office/drawing/2014/main" id="{00000000-0008-0000-2200-000014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 name="Flèche gauche 1">
          <a:hlinkClick xmlns:r="http://schemas.openxmlformats.org/officeDocument/2006/relationships" r:id="rId2"/>
          <a:extLst>
            <a:ext uri="{FF2B5EF4-FFF2-40B4-BE49-F238E27FC236}">
              <a16:creationId xmlns:a16="http://schemas.microsoft.com/office/drawing/2014/main" id="{00000000-0008-0000-2200-000015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 name="Flèche gauche 1">
          <a:hlinkClick xmlns:r="http://schemas.openxmlformats.org/officeDocument/2006/relationships" r:id="rId1"/>
          <a:extLst>
            <a:ext uri="{FF2B5EF4-FFF2-40B4-BE49-F238E27FC236}">
              <a16:creationId xmlns:a16="http://schemas.microsoft.com/office/drawing/2014/main" id="{00000000-0008-0000-2200-000016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 name="Flèche gauche 1">
          <a:hlinkClick xmlns:r="http://schemas.openxmlformats.org/officeDocument/2006/relationships" r:id="rId1"/>
          <a:extLst>
            <a:ext uri="{FF2B5EF4-FFF2-40B4-BE49-F238E27FC236}">
              <a16:creationId xmlns:a16="http://schemas.microsoft.com/office/drawing/2014/main" id="{00000000-0008-0000-2200-000017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 name="Flèche gauche 1">
          <a:hlinkClick xmlns:r="http://schemas.openxmlformats.org/officeDocument/2006/relationships" r:id="rId1"/>
          <a:extLst>
            <a:ext uri="{FF2B5EF4-FFF2-40B4-BE49-F238E27FC236}">
              <a16:creationId xmlns:a16="http://schemas.microsoft.com/office/drawing/2014/main" id="{00000000-0008-0000-2200-000018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 name="Flèche gauche 1">
          <a:hlinkClick xmlns:r="http://schemas.openxmlformats.org/officeDocument/2006/relationships" r:id="rId2"/>
          <a:extLst>
            <a:ext uri="{FF2B5EF4-FFF2-40B4-BE49-F238E27FC236}">
              <a16:creationId xmlns:a16="http://schemas.microsoft.com/office/drawing/2014/main" id="{00000000-0008-0000-2200-000019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 name="Flèche gauche 1">
          <a:hlinkClick xmlns:r="http://schemas.openxmlformats.org/officeDocument/2006/relationships" r:id="rId1"/>
          <a:extLst>
            <a:ext uri="{FF2B5EF4-FFF2-40B4-BE49-F238E27FC236}">
              <a16:creationId xmlns:a16="http://schemas.microsoft.com/office/drawing/2014/main" id="{00000000-0008-0000-2200-00001A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 name="Flèche gauche 1">
          <a:hlinkClick xmlns:r="http://schemas.openxmlformats.org/officeDocument/2006/relationships" r:id="rId1"/>
          <a:extLst>
            <a:ext uri="{FF2B5EF4-FFF2-40B4-BE49-F238E27FC236}">
              <a16:creationId xmlns:a16="http://schemas.microsoft.com/office/drawing/2014/main" id="{00000000-0008-0000-2200-00001B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 name="Flèche gauche 1">
          <a:hlinkClick xmlns:r="http://schemas.openxmlformats.org/officeDocument/2006/relationships" r:id="rId1"/>
          <a:extLst>
            <a:ext uri="{FF2B5EF4-FFF2-40B4-BE49-F238E27FC236}">
              <a16:creationId xmlns:a16="http://schemas.microsoft.com/office/drawing/2014/main" id="{00000000-0008-0000-2200-00001C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 name="Flèche gauche 1">
          <a:hlinkClick xmlns:r="http://schemas.openxmlformats.org/officeDocument/2006/relationships" r:id="rId2"/>
          <a:extLst>
            <a:ext uri="{FF2B5EF4-FFF2-40B4-BE49-F238E27FC236}">
              <a16:creationId xmlns:a16="http://schemas.microsoft.com/office/drawing/2014/main" id="{00000000-0008-0000-2200-00001D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 name="Flèche gauche 1">
          <a:hlinkClick xmlns:r="http://schemas.openxmlformats.org/officeDocument/2006/relationships" r:id="rId1"/>
          <a:extLst>
            <a:ext uri="{FF2B5EF4-FFF2-40B4-BE49-F238E27FC236}">
              <a16:creationId xmlns:a16="http://schemas.microsoft.com/office/drawing/2014/main" id="{00000000-0008-0000-2200-00001E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 name="Flèche gauche 1">
          <a:hlinkClick xmlns:r="http://schemas.openxmlformats.org/officeDocument/2006/relationships" r:id="rId1"/>
          <a:extLst>
            <a:ext uri="{FF2B5EF4-FFF2-40B4-BE49-F238E27FC236}">
              <a16:creationId xmlns:a16="http://schemas.microsoft.com/office/drawing/2014/main" id="{00000000-0008-0000-2200-00001F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 name="Flèche gauche 1">
          <a:hlinkClick xmlns:r="http://schemas.openxmlformats.org/officeDocument/2006/relationships" r:id="rId1"/>
          <a:extLst>
            <a:ext uri="{FF2B5EF4-FFF2-40B4-BE49-F238E27FC236}">
              <a16:creationId xmlns:a16="http://schemas.microsoft.com/office/drawing/2014/main" id="{00000000-0008-0000-2200-000020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 name="Flèche gauche 1">
          <a:hlinkClick xmlns:r="http://schemas.openxmlformats.org/officeDocument/2006/relationships" r:id="rId2"/>
          <a:extLst>
            <a:ext uri="{FF2B5EF4-FFF2-40B4-BE49-F238E27FC236}">
              <a16:creationId xmlns:a16="http://schemas.microsoft.com/office/drawing/2014/main" id="{00000000-0008-0000-2200-000021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 name="Flèche gauche 1">
          <a:hlinkClick xmlns:r="http://schemas.openxmlformats.org/officeDocument/2006/relationships" r:id="rId1"/>
          <a:extLst>
            <a:ext uri="{FF2B5EF4-FFF2-40B4-BE49-F238E27FC236}">
              <a16:creationId xmlns:a16="http://schemas.microsoft.com/office/drawing/2014/main" id="{00000000-0008-0000-2200-000022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 name="Flèche gauche 1">
          <a:hlinkClick xmlns:r="http://schemas.openxmlformats.org/officeDocument/2006/relationships" r:id="rId1"/>
          <a:extLst>
            <a:ext uri="{FF2B5EF4-FFF2-40B4-BE49-F238E27FC236}">
              <a16:creationId xmlns:a16="http://schemas.microsoft.com/office/drawing/2014/main" id="{00000000-0008-0000-2200-000023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 name="Flèche gauche 1">
          <a:hlinkClick xmlns:r="http://schemas.openxmlformats.org/officeDocument/2006/relationships" r:id="rId1"/>
          <a:extLst>
            <a:ext uri="{FF2B5EF4-FFF2-40B4-BE49-F238E27FC236}">
              <a16:creationId xmlns:a16="http://schemas.microsoft.com/office/drawing/2014/main" id="{00000000-0008-0000-2200-000024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 name="Flèche gauche 1">
          <a:hlinkClick xmlns:r="http://schemas.openxmlformats.org/officeDocument/2006/relationships" r:id="rId2"/>
          <a:extLst>
            <a:ext uri="{FF2B5EF4-FFF2-40B4-BE49-F238E27FC236}">
              <a16:creationId xmlns:a16="http://schemas.microsoft.com/office/drawing/2014/main" id="{00000000-0008-0000-2200-000025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8" name="Flèche gauche 1">
          <a:hlinkClick xmlns:r="http://schemas.openxmlformats.org/officeDocument/2006/relationships" r:id="rId1"/>
          <a:extLst>
            <a:ext uri="{FF2B5EF4-FFF2-40B4-BE49-F238E27FC236}">
              <a16:creationId xmlns:a16="http://schemas.microsoft.com/office/drawing/2014/main" id="{00000000-0008-0000-2200-000026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9" name="Flèche gauche 1">
          <a:hlinkClick xmlns:r="http://schemas.openxmlformats.org/officeDocument/2006/relationships" r:id="rId1"/>
          <a:extLst>
            <a:ext uri="{FF2B5EF4-FFF2-40B4-BE49-F238E27FC236}">
              <a16:creationId xmlns:a16="http://schemas.microsoft.com/office/drawing/2014/main" id="{00000000-0008-0000-2200-000027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0" name="Flèche gauche 1">
          <a:hlinkClick xmlns:r="http://schemas.openxmlformats.org/officeDocument/2006/relationships" r:id="rId1"/>
          <a:extLst>
            <a:ext uri="{FF2B5EF4-FFF2-40B4-BE49-F238E27FC236}">
              <a16:creationId xmlns:a16="http://schemas.microsoft.com/office/drawing/2014/main" id="{00000000-0008-0000-2200-000028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1" name="Flèche gauche 1">
          <a:hlinkClick xmlns:r="http://schemas.openxmlformats.org/officeDocument/2006/relationships" r:id="rId2"/>
          <a:extLst>
            <a:ext uri="{FF2B5EF4-FFF2-40B4-BE49-F238E27FC236}">
              <a16:creationId xmlns:a16="http://schemas.microsoft.com/office/drawing/2014/main" id="{00000000-0008-0000-2200-000029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2" name="Flèche gauche 1">
          <a:hlinkClick xmlns:r="http://schemas.openxmlformats.org/officeDocument/2006/relationships" r:id="rId1"/>
          <a:extLst>
            <a:ext uri="{FF2B5EF4-FFF2-40B4-BE49-F238E27FC236}">
              <a16:creationId xmlns:a16="http://schemas.microsoft.com/office/drawing/2014/main" id="{00000000-0008-0000-2200-00002A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3" name="Flèche gauche 1">
          <a:hlinkClick xmlns:r="http://schemas.openxmlformats.org/officeDocument/2006/relationships" r:id="rId1"/>
          <a:extLst>
            <a:ext uri="{FF2B5EF4-FFF2-40B4-BE49-F238E27FC236}">
              <a16:creationId xmlns:a16="http://schemas.microsoft.com/office/drawing/2014/main" id="{00000000-0008-0000-2200-00002B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4" name="Flèche gauche 1">
          <a:hlinkClick xmlns:r="http://schemas.openxmlformats.org/officeDocument/2006/relationships" r:id="rId1"/>
          <a:extLst>
            <a:ext uri="{FF2B5EF4-FFF2-40B4-BE49-F238E27FC236}">
              <a16:creationId xmlns:a16="http://schemas.microsoft.com/office/drawing/2014/main" id="{00000000-0008-0000-2200-00002C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5" name="Flèche gauche 1">
          <a:hlinkClick xmlns:r="http://schemas.openxmlformats.org/officeDocument/2006/relationships" r:id="rId2"/>
          <a:extLst>
            <a:ext uri="{FF2B5EF4-FFF2-40B4-BE49-F238E27FC236}">
              <a16:creationId xmlns:a16="http://schemas.microsoft.com/office/drawing/2014/main" id="{00000000-0008-0000-2200-00002D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6" name="Flèche gauche 1">
          <a:hlinkClick xmlns:r="http://schemas.openxmlformats.org/officeDocument/2006/relationships" r:id="rId1"/>
          <a:extLst>
            <a:ext uri="{FF2B5EF4-FFF2-40B4-BE49-F238E27FC236}">
              <a16:creationId xmlns:a16="http://schemas.microsoft.com/office/drawing/2014/main" id="{00000000-0008-0000-2200-00002E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7" name="Flèche gauche 1">
          <a:hlinkClick xmlns:r="http://schemas.openxmlformats.org/officeDocument/2006/relationships" r:id="rId1"/>
          <a:extLst>
            <a:ext uri="{FF2B5EF4-FFF2-40B4-BE49-F238E27FC236}">
              <a16:creationId xmlns:a16="http://schemas.microsoft.com/office/drawing/2014/main" id="{00000000-0008-0000-2200-00002F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8" name="Flèche gauche 1">
          <a:hlinkClick xmlns:r="http://schemas.openxmlformats.org/officeDocument/2006/relationships" r:id="rId1"/>
          <a:extLst>
            <a:ext uri="{FF2B5EF4-FFF2-40B4-BE49-F238E27FC236}">
              <a16:creationId xmlns:a16="http://schemas.microsoft.com/office/drawing/2014/main" id="{00000000-0008-0000-2200-000030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9" name="Flèche gauche 1">
          <a:hlinkClick xmlns:r="http://schemas.openxmlformats.org/officeDocument/2006/relationships" r:id="rId2"/>
          <a:extLst>
            <a:ext uri="{FF2B5EF4-FFF2-40B4-BE49-F238E27FC236}">
              <a16:creationId xmlns:a16="http://schemas.microsoft.com/office/drawing/2014/main" id="{00000000-0008-0000-2200-000031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0" name="Flèche gauche 1">
          <a:hlinkClick xmlns:r="http://schemas.openxmlformats.org/officeDocument/2006/relationships" r:id="rId1"/>
          <a:extLst>
            <a:ext uri="{FF2B5EF4-FFF2-40B4-BE49-F238E27FC236}">
              <a16:creationId xmlns:a16="http://schemas.microsoft.com/office/drawing/2014/main" id="{00000000-0008-0000-2200-000032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1" name="Flèche gauche 1">
          <a:hlinkClick xmlns:r="http://schemas.openxmlformats.org/officeDocument/2006/relationships" r:id="rId1"/>
          <a:extLst>
            <a:ext uri="{FF2B5EF4-FFF2-40B4-BE49-F238E27FC236}">
              <a16:creationId xmlns:a16="http://schemas.microsoft.com/office/drawing/2014/main" id="{00000000-0008-0000-2200-000033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 name="Flèche gauche 1">
          <a:hlinkClick xmlns:r="http://schemas.openxmlformats.org/officeDocument/2006/relationships" r:id="rId1"/>
          <a:extLst>
            <a:ext uri="{FF2B5EF4-FFF2-40B4-BE49-F238E27FC236}">
              <a16:creationId xmlns:a16="http://schemas.microsoft.com/office/drawing/2014/main" id="{00000000-0008-0000-2200-000034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 name="Flèche gauche 1">
          <a:hlinkClick xmlns:r="http://schemas.openxmlformats.org/officeDocument/2006/relationships" r:id="rId2"/>
          <a:extLst>
            <a:ext uri="{FF2B5EF4-FFF2-40B4-BE49-F238E27FC236}">
              <a16:creationId xmlns:a16="http://schemas.microsoft.com/office/drawing/2014/main" id="{00000000-0008-0000-2200-000035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 name="Flèche gauche 1">
          <a:hlinkClick xmlns:r="http://schemas.openxmlformats.org/officeDocument/2006/relationships" r:id="rId1"/>
          <a:extLst>
            <a:ext uri="{FF2B5EF4-FFF2-40B4-BE49-F238E27FC236}">
              <a16:creationId xmlns:a16="http://schemas.microsoft.com/office/drawing/2014/main" id="{00000000-0008-0000-2200-000036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 name="Flèche gauche 1">
          <a:hlinkClick xmlns:r="http://schemas.openxmlformats.org/officeDocument/2006/relationships" r:id="rId1"/>
          <a:extLst>
            <a:ext uri="{FF2B5EF4-FFF2-40B4-BE49-F238E27FC236}">
              <a16:creationId xmlns:a16="http://schemas.microsoft.com/office/drawing/2014/main" id="{00000000-0008-0000-2200-000037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 name="Flèche gauche 1">
          <a:hlinkClick xmlns:r="http://schemas.openxmlformats.org/officeDocument/2006/relationships" r:id="rId1"/>
          <a:extLst>
            <a:ext uri="{FF2B5EF4-FFF2-40B4-BE49-F238E27FC236}">
              <a16:creationId xmlns:a16="http://schemas.microsoft.com/office/drawing/2014/main" id="{00000000-0008-0000-2200-000038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 name="Flèche gauche 1">
          <a:hlinkClick xmlns:r="http://schemas.openxmlformats.org/officeDocument/2006/relationships" r:id="rId2"/>
          <a:extLst>
            <a:ext uri="{FF2B5EF4-FFF2-40B4-BE49-F238E27FC236}">
              <a16:creationId xmlns:a16="http://schemas.microsoft.com/office/drawing/2014/main" id="{00000000-0008-0000-2200-000039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 name="Flèche gauche 1">
          <a:hlinkClick xmlns:r="http://schemas.openxmlformats.org/officeDocument/2006/relationships" r:id="rId1"/>
          <a:extLst>
            <a:ext uri="{FF2B5EF4-FFF2-40B4-BE49-F238E27FC236}">
              <a16:creationId xmlns:a16="http://schemas.microsoft.com/office/drawing/2014/main" id="{00000000-0008-0000-2200-00003A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 name="Flèche gauche 1">
          <a:hlinkClick xmlns:r="http://schemas.openxmlformats.org/officeDocument/2006/relationships" r:id="rId1"/>
          <a:extLst>
            <a:ext uri="{FF2B5EF4-FFF2-40B4-BE49-F238E27FC236}">
              <a16:creationId xmlns:a16="http://schemas.microsoft.com/office/drawing/2014/main" id="{00000000-0008-0000-2200-00003B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 name="Flèche gauche 1">
          <a:hlinkClick xmlns:r="http://schemas.openxmlformats.org/officeDocument/2006/relationships" r:id="rId1"/>
          <a:extLst>
            <a:ext uri="{FF2B5EF4-FFF2-40B4-BE49-F238E27FC236}">
              <a16:creationId xmlns:a16="http://schemas.microsoft.com/office/drawing/2014/main" id="{00000000-0008-0000-2200-00003C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 name="Flèche gauche 1">
          <a:hlinkClick xmlns:r="http://schemas.openxmlformats.org/officeDocument/2006/relationships" r:id="rId2"/>
          <a:extLst>
            <a:ext uri="{FF2B5EF4-FFF2-40B4-BE49-F238E27FC236}">
              <a16:creationId xmlns:a16="http://schemas.microsoft.com/office/drawing/2014/main" id="{00000000-0008-0000-2200-00003D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 name="Flèche gauche 1">
          <a:hlinkClick xmlns:r="http://schemas.openxmlformats.org/officeDocument/2006/relationships" r:id="rId1"/>
          <a:extLst>
            <a:ext uri="{FF2B5EF4-FFF2-40B4-BE49-F238E27FC236}">
              <a16:creationId xmlns:a16="http://schemas.microsoft.com/office/drawing/2014/main" id="{00000000-0008-0000-2200-00003E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 name="Flèche gauche 1">
          <a:hlinkClick xmlns:r="http://schemas.openxmlformats.org/officeDocument/2006/relationships" r:id="rId1"/>
          <a:extLst>
            <a:ext uri="{FF2B5EF4-FFF2-40B4-BE49-F238E27FC236}">
              <a16:creationId xmlns:a16="http://schemas.microsoft.com/office/drawing/2014/main" id="{00000000-0008-0000-2200-00003F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 name="Flèche gauche 1">
          <a:hlinkClick xmlns:r="http://schemas.openxmlformats.org/officeDocument/2006/relationships" r:id="rId1"/>
          <a:extLst>
            <a:ext uri="{FF2B5EF4-FFF2-40B4-BE49-F238E27FC236}">
              <a16:creationId xmlns:a16="http://schemas.microsoft.com/office/drawing/2014/main" id="{00000000-0008-0000-2200-000040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 name="Flèche gauche 1">
          <a:hlinkClick xmlns:r="http://schemas.openxmlformats.org/officeDocument/2006/relationships" r:id="rId2"/>
          <a:extLst>
            <a:ext uri="{FF2B5EF4-FFF2-40B4-BE49-F238E27FC236}">
              <a16:creationId xmlns:a16="http://schemas.microsoft.com/office/drawing/2014/main" id="{00000000-0008-0000-2200-000041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 name="Flèche gauche 1">
          <a:hlinkClick xmlns:r="http://schemas.openxmlformats.org/officeDocument/2006/relationships" r:id="rId1"/>
          <a:extLst>
            <a:ext uri="{FF2B5EF4-FFF2-40B4-BE49-F238E27FC236}">
              <a16:creationId xmlns:a16="http://schemas.microsoft.com/office/drawing/2014/main" id="{00000000-0008-0000-2200-000042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 name="Flèche gauche 1">
          <a:hlinkClick xmlns:r="http://schemas.openxmlformats.org/officeDocument/2006/relationships" r:id="rId1"/>
          <a:extLst>
            <a:ext uri="{FF2B5EF4-FFF2-40B4-BE49-F238E27FC236}">
              <a16:creationId xmlns:a16="http://schemas.microsoft.com/office/drawing/2014/main" id="{00000000-0008-0000-2200-000043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 name="Flèche gauche 1">
          <a:hlinkClick xmlns:r="http://schemas.openxmlformats.org/officeDocument/2006/relationships" r:id="rId1"/>
          <a:extLst>
            <a:ext uri="{FF2B5EF4-FFF2-40B4-BE49-F238E27FC236}">
              <a16:creationId xmlns:a16="http://schemas.microsoft.com/office/drawing/2014/main" id="{00000000-0008-0000-2200-000044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 name="Flèche gauche 1">
          <a:hlinkClick xmlns:r="http://schemas.openxmlformats.org/officeDocument/2006/relationships" r:id="rId2"/>
          <a:extLst>
            <a:ext uri="{FF2B5EF4-FFF2-40B4-BE49-F238E27FC236}">
              <a16:creationId xmlns:a16="http://schemas.microsoft.com/office/drawing/2014/main" id="{00000000-0008-0000-2200-000045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 name="Flèche gauche 1">
          <a:hlinkClick xmlns:r="http://schemas.openxmlformats.org/officeDocument/2006/relationships" r:id="rId1"/>
          <a:extLst>
            <a:ext uri="{FF2B5EF4-FFF2-40B4-BE49-F238E27FC236}">
              <a16:creationId xmlns:a16="http://schemas.microsoft.com/office/drawing/2014/main" id="{00000000-0008-0000-2200-000046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 name="Flèche gauche 1">
          <a:hlinkClick xmlns:r="http://schemas.openxmlformats.org/officeDocument/2006/relationships" r:id="rId1"/>
          <a:extLst>
            <a:ext uri="{FF2B5EF4-FFF2-40B4-BE49-F238E27FC236}">
              <a16:creationId xmlns:a16="http://schemas.microsoft.com/office/drawing/2014/main" id="{00000000-0008-0000-2200-000047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 name="Flèche gauche 1">
          <a:hlinkClick xmlns:r="http://schemas.openxmlformats.org/officeDocument/2006/relationships" r:id="rId1"/>
          <a:extLst>
            <a:ext uri="{FF2B5EF4-FFF2-40B4-BE49-F238E27FC236}">
              <a16:creationId xmlns:a16="http://schemas.microsoft.com/office/drawing/2014/main" id="{00000000-0008-0000-2200-000048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 name="Flèche gauche 1">
          <a:hlinkClick xmlns:r="http://schemas.openxmlformats.org/officeDocument/2006/relationships" r:id="rId2"/>
          <a:extLst>
            <a:ext uri="{FF2B5EF4-FFF2-40B4-BE49-F238E27FC236}">
              <a16:creationId xmlns:a16="http://schemas.microsoft.com/office/drawing/2014/main" id="{00000000-0008-0000-2200-000049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 name="Flèche gauche 1">
          <a:hlinkClick xmlns:r="http://schemas.openxmlformats.org/officeDocument/2006/relationships" r:id="rId1"/>
          <a:extLst>
            <a:ext uri="{FF2B5EF4-FFF2-40B4-BE49-F238E27FC236}">
              <a16:creationId xmlns:a16="http://schemas.microsoft.com/office/drawing/2014/main" id="{00000000-0008-0000-2200-00004A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 name="Flèche gauche 1">
          <a:hlinkClick xmlns:r="http://schemas.openxmlformats.org/officeDocument/2006/relationships" r:id="rId1"/>
          <a:extLst>
            <a:ext uri="{FF2B5EF4-FFF2-40B4-BE49-F238E27FC236}">
              <a16:creationId xmlns:a16="http://schemas.microsoft.com/office/drawing/2014/main" id="{00000000-0008-0000-2200-00004B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 name="Flèche gauche 1">
          <a:hlinkClick xmlns:r="http://schemas.openxmlformats.org/officeDocument/2006/relationships" r:id="rId1"/>
          <a:extLst>
            <a:ext uri="{FF2B5EF4-FFF2-40B4-BE49-F238E27FC236}">
              <a16:creationId xmlns:a16="http://schemas.microsoft.com/office/drawing/2014/main" id="{00000000-0008-0000-2200-00004C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7" name="Flèche gauche 1">
          <a:hlinkClick xmlns:r="http://schemas.openxmlformats.org/officeDocument/2006/relationships" r:id="rId2"/>
          <a:extLst>
            <a:ext uri="{FF2B5EF4-FFF2-40B4-BE49-F238E27FC236}">
              <a16:creationId xmlns:a16="http://schemas.microsoft.com/office/drawing/2014/main" id="{00000000-0008-0000-2200-00004D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8" name="Flèche gauche 1">
          <a:hlinkClick xmlns:r="http://schemas.openxmlformats.org/officeDocument/2006/relationships" r:id="rId1"/>
          <a:extLst>
            <a:ext uri="{FF2B5EF4-FFF2-40B4-BE49-F238E27FC236}">
              <a16:creationId xmlns:a16="http://schemas.microsoft.com/office/drawing/2014/main" id="{00000000-0008-0000-2200-00004E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9" name="Flèche gauche 1">
          <a:hlinkClick xmlns:r="http://schemas.openxmlformats.org/officeDocument/2006/relationships" r:id="rId1"/>
          <a:extLst>
            <a:ext uri="{FF2B5EF4-FFF2-40B4-BE49-F238E27FC236}">
              <a16:creationId xmlns:a16="http://schemas.microsoft.com/office/drawing/2014/main" id="{00000000-0008-0000-2200-00004F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0" name="Flèche gauche 1">
          <a:hlinkClick xmlns:r="http://schemas.openxmlformats.org/officeDocument/2006/relationships" r:id="rId1"/>
          <a:extLst>
            <a:ext uri="{FF2B5EF4-FFF2-40B4-BE49-F238E27FC236}">
              <a16:creationId xmlns:a16="http://schemas.microsoft.com/office/drawing/2014/main" id="{00000000-0008-0000-2200-000050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1" name="Flèche gauche 1">
          <a:hlinkClick xmlns:r="http://schemas.openxmlformats.org/officeDocument/2006/relationships" r:id="rId2"/>
          <a:extLst>
            <a:ext uri="{FF2B5EF4-FFF2-40B4-BE49-F238E27FC236}">
              <a16:creationId xmlns:a16="http://schemas.microsoft.com/office/drawing/2014/main" id="{00000000-0008-0000-2200-000051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2" name="Flèche gauche 1">
          <a:hlinkClick xmlns:r="http://schemas.openxmlformats.org/officeDocument/2006/relationships" r:id="rId1"/>
          <a:extLst>
            <a:ext uri="{FF2B5EF4-FFF2-40B4-BE49-F238E27FC236}">
              <a16:creationId xmlns:a16="http://schemas.microsoft.com/office/drawing/2014/main" id="{00000000-0008-0000-2200-000052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3" name="Flèche gauche 1">
          <a:hlinkClick xmlns:r="http://schemas.openxmlformats.org/officeDocument/2006/relationships" r:id="rId1"/>
          <a:extLst>
            <a:ext uri="{FF2B5EF4-FFF2-40B4-BE49-F238E27FC236}">
              <a16:creationId xmlns:a16="http://schemas.microsoft.com/office/drawing/2014/main" id="{00000000-0008-0000-2200-000053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4" name="Flèche gauche 1">
          <a:hlinkClick xmlns:r="http://schemas.openxmlformats.org/officeDocument/2006/relationships" r:id="rId1"/>
          <a:extLst>
            <a:ext uri="{FF2B5EF4-FFF2-40B4-BE49-F238E27FC236}">
              <a16:creationId xmlns:a16="http://schemas.microsoft.com/office/drawing/2014/main" id="{00000000-0008-0000-2200-000054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5" name="Flèche gauche 1">
          <a:hlinkClick xmlns:r="http://schemas.openxmlformats.org/officeDocument/2006/relationships" r:id="rId2"/>
          <a:extLst>
            <a:ext uri="{FF2B5EF4-FFF2-40B4-BE49-F238E27FC236}">
              <a16:creationId xmlns:a16="http://schemas.microsoft.com/office/drawing/2014/main" id="{00000000-0008-0000-2200-000055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6" name="Flèche gauche 1">
          <a:hlinkClick xmlns:r="http://schemas.openxmlformats.org/officeDocument/2006/relationships" r:id="rId1"/>
          <a:extLst>
            <a:ext uri="{FF2B5EF4-FFF2-40B4-BE49-F238E27FC236}">
              <a16:creationId xmlns:a16="http://schemas.microsoft.com/office/drawing/2014/main" id="{00000000-0008-0000-2200-000056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7" name="Flèche gauche 1">
          <a:hlinkClick xmlns:r="http://schemas.openxmlformats.org/officeDocument/2006/relationships" r:id="rId1"/>
          <a:extLst>
            <a:ext uri="{FF2B5EF4-FFF2-40B4-BE49-F238E27FC236}">
              <a16:creationId xmlns:a16="http://schemas.microsoft.com/office/drawing/2014/main" id="{00000000-0008-0000-2200-000057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8" name="Flèche gauche 1">
          <a:hlinkClick xmlns:r="http://schemas.openxmlformats.org/officeDocument/2006/relationships" r:id="rId1"/>
          <a:extLst>
            <a:ext uri="{FF2B5EF4-FFF2-40B4-BE49-F238E27FC236}">
              <a16:creationId xmlns:a16="http://schemas.microsoft.com/office/drawing/2014/main" id="{00000000-0008-0000-2200-000058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9" name="Flèche gauche 1">
          <a:hlinkClick xmlns:r="http://schemas.openxmlformats.org/officeDocument/2006/relationships" r:id="rId2"/>
          <a:extLst>
            <a:ext uri="{FF2B5EF4-FFF2-40B4-BE49-F238E27FC236}">
              <a16:creationId xmlns:a16="http://schemas.microsoft.com/office/drawing/2014/main" id="{00000000-0008-0000-2200-000059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0" name="Flèche gauche 1">
          <a:hlinkClick xmlns:r="http://schemas.openxmlformats.org/officeDocument/2006/relationships" r:id="rId1"/>
          <a:extLst>
            <a:ext uri="{FF2B5EF4-FFF2-40B4-BE49-F238E27FC236}">
              <a16:creationId xmlns:a16="http://schemas.microsoft.com/office/drawing/2014/main" id="{00000000-0008-0000-2200-00005A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1" name="Flèche gauche 1">
          <a:hlinkClick xmlns:r="http://schemas.openxmlformats.org/officeDocument/2006/relationships" r:id="rId1"/>
          <a:extLst>
            <a:ext uri="{FF2B5EF4-FFF2-40B4-BE49-F238E27FC236}">
              <a16:creationId xmlns:a16="http://schemas.microsoft.com/office/drawing/2014/main" id="{00000000-0008-0000-2200-00005B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2" name="Flèche gauche 1">
          <a:hlinkClick xmlns:r="http://schemas.openxmlformats.org/officeDocument/2006/relationships" r:id="rId1"/>
          <a:extLst>
            <a:ext uri="{FF2B5EF4-FFF2-40B4-BE49-F238E27FC236}">
              <a16:creationId xmlns:a16="http://schemas.microsoft.com/office/drawing/2014/main" id="{00000000-0008-0000-2200-00005C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3" name="Flèche gauche 1">
          <a:hlinkClick xmlns:r="http://schemas.openxmlformats.org/officeDocument/2006/relationships" r:id="rId2"/>
          <a:extLst>
            <a:ext uri="{FF2B5EF4-FFF2-40B4-BE49-F238E27FC236}">
              <a16:creationId xmlns:a16="http://schemas.microsoft.com/office/drawing/2014/main" id="{00000000-0008-0000-2200-00005D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4" name="Flèche gauche 1">
          <a:hlinkClick xmlns:r="http://schemas.openxmlformats.org/officeDocument/2006/relationships" r:id="rId1"/>
          <a:extLst>
            <a:ext uri="{FF2B5EF4-FFF2-40B4-BE49-F238E27FC236}">
              <a16:creationId xmlns:a16="http://schemas.microsoft.com/office/drawing/2014/main" id="{00000000-0008-0000-2200-00005E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5" name="Flèche gauche 1">
          <a:hlinkClick xmlns:r="http://schemas.openxmlformats.org/officeDocument/2006/relationships" r:id="rId1"/>
          <a:extLst>
            <a:ext uri="{FF2B5EF4-FFF2-40B4-BE49-F238E27FC236}">
              <a16:creationId xmlns:a16="http://schemas.microsoft.com/office/drawing/2014/main" id="{00000000-0008-0000-2200-00005F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6" name="Flèche gauche 1">
          <a:hlinkClick xmlns:r="http://schemas.openxmlformats.org/officeDocument/2006/relationships" r:id="rId1"/>
          <a:extLst>
            <a:ext uri="{FF2B5EF4-FFF2-40B4-BE49-F238E27FC236}">
              <a16:creationId xmlns:a16="http://schemas.microsoft.com/office/drawing/2014/main" id="{00000000-0008-0000-2200-000060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7" name="Flèche gauche 1">
          <a:hlinkClick xmlns:r="http://schemas.openxmlformats.org/officeDocument/2006/relationships" r:id="rId2"/>
          <a:extLst>
            <a:ext uri="{FF2B5EF4-FFF2-40B4-BE49-F238E27FC236}">
              <a16:creationId xmlns:a16="http://schemas.microsoft.com/office/drawing/2014/main" id="{00000000-0008-0000-2200-000061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8" name="Flèche gauche 1">
          <a:hlinkClick xmlns:r="http://schemas.openxmlformats.org/officeDocument/2006/relationships" r:id="rId1"/>
          <a:extLst>
            <a:ext uri="{FF2B5EF4-FFF2-40B4-BE49-F238E27FC236}">
              <a16:creationId xmlns:a16="http://schemas.microsoft.com/office/drawing/2014/main" id="{00000000-0008-0000-2200-000062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9" name="Flèche gauche 1">
          <a:hlinkClick xmlns:r="http://schemas.openxmlformats.org/officeDocument/2006/relationships" r:id="rId1"/>
          <a:extLst>
            <a:ext uri="{FF2B5EF4-FFF2-40B4-BE49-F238E27FC236}">
              <a16:creationId xmlns:a16="http://schemas.microsoft.com/office/drawing/2014/main" id="{00000000-0008-0000-2200-000063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0" name="Flèche gauche 1">
          <a:hlinkClick xmlns:r="http://schemas.openxmlformats.org/officeDocument/2006/relationships" r:id="rId1"/>
          <a:extLst>
            <a:ext uri="{FF2B5EF4-FFF2-40B4-BE49-F238E27FC236}">
              <a16:creationId xmlns:a16="http://schemas.microsoft.com/office/drawing/2014/main" id="{00000000-0008-0000-2200-000064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1" name="Flèche gauche 1">
          <a:hlinkClick xmlns:r="http://schemas.openxmlformats.org/officeDocument/2006/relationships" r:id="rId2"/>
          <a:extLst>
            <a:ext uri="{FF2B5EF4-FFF2-40B4-BE49-F238E27FC236}">
              <a16:creationId xmlns:a16="http://schemas.microsoft.com/office/drawing/2014/main" id="{00000000-0008-0000-2200-000065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2" name="Flèche gauche 1">
          <a:hlinkClick xmlns:r="http://schemas.openxmlformats.org/officeDocument/2006/relationships" r:id="rId1"/>
          <a:extLst>
            <a:ext uri="{FF2B5EF4-FFF2-40B4-BE49-F238E27FC236}">
              <a16:creationId xmlns:a16="http://schemas.microsoft.com/office/drawing/2014/main" id="{00000000-0008-0000-2200-000066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3" name="Flèche gauche 1">
          <a:hlinkClick xmlns:r="http://schemas.openxmlformats.org/officeDocument/2006/relationships" r:id="rId1"/>
          <a:extLst>
            <a:ext uri="{FF2B5EF4-FFF2-40B4-BE49-F238E27FC236}">
              <a16:creationId xmlns:a16="http://schemas.microsoft.com/office/drawing/2014/main" id="{00000000-0008-0000-2200-000067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4" name="Flèche gauche 1">
          <a:hlinkClick xmlns:r="http://schemas.openxmlformats.org/officeDocument/2006/relationships" r:id="rId1"/>
          <a:extLst>
            <a:ext uri="{FF2B5EF4-FFF2-40B4-BE49-F238E27FC236}">
              <a16:creationId xmlns:a16="http://schemas.microsoft.com/office/drawing/2014/main" id="{00000000-0008-0000-2200-000068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5" name="Flèche gauche 1">
          <a:hlinkClick xmlns:r="http://schemas.openxmlformats.org/officeDocument/2006/relationships" r:id="rId2"/>
          <a:extLst>
            <a:ext uri="{FF2B5EF4-FFF2-40B4-BE49-F238E27FC236}">
              <a16:creationId xmlns:a16="http://schemas.microsoft.com/office/drawing/2014/main" id="{00000000-0008-0000-2200-000069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6" name="Flèche gauche 1">
          <a:hlinkClick xmlns:r="http://schemas.openxmlformats.org/officeDocument/2006/relationships" r:id="rId1"/>
          <a:extLst>
            <a:ext uri="{FF2B5EF4-FFF2-40B4-BE49-F238E27FC236}">
              <a16:creationId xmlns:a16="http://schemas.microsoft.com/office/drawing/2014/main" id="{00000000-0008-0000-2200-00006A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7" name="Flèche gauche 1">
          <a:hlinkClick xmlns:r="http://schemas.openxmlformats.org/officeDocument/2006/relationships" r:id="rId1"/>
          <a:extLst>
            <a:ext uri="{FF2B5EF4-FFF2-40B4-BE49-F238E27FC236}">
              <a16:creationId xmlns:a16="http://schemas.microsoft.com/office/drawing/2014/main" id="{00000000-0008-0000-2200-00006B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8" name="Flèche gauche 1">
          <a:hlinkClick xmlns:r="http://schemas.openxmlformats.org/officeDocument/2006/relationships" r:id="rId1"/>
          <a:extLst>
            <a:ext uri="{FF2B5EF4-FFF2-40B4-BE49-F238E27FC236}">
              <a16:creationId xmlns:a16="http://schemas.microsoft.com/office/drawing/2014/main" id="{00000000-0008-0000-2200-00006C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9" name="Flèche gauche 1">
          <a:hlinkClick xmlns:r="http://schemas.openxmlformats.org/officeDocument/2006/relationships" r:id="rId2"/>
          <a:extLst>
            <a:ext uri="{FF2B5EF4-FFF2-40B4-BE49-F238E27FC236}">
              <a16:creationId xmlns:a16="http://schemas.microsoft.com/office/drawing/2014/main" id="{00000000-0008-0000-2200-00006D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0" name="Flèche gauche 1">
          <a:hlinkClick xmlns:r="http://schemas.openxmlformats.org/officeDocument/2006/relationships" r:id="rId1"/>
          <a:extLst>
            <a:ext uri="{FF2B5EF4-FFF2-40B4-BE49-F238E27FC236}">
              <a16:creationId xmlns:a16="http://schemas.microsoft.com/office/drawing/2014/main" id="{00000000-0008-0000-2200-00006E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1" name="Flèche gauche 1">
          <a:hlinkClick xmlns:r="http://schemas.openxmlformats.org/officeDocument/2006/relationships" r:id="rId1"/>
          <a:extLst>
            <a:ext uri="{FF2B5EF4-FFF2-40B4-BE49-F238E27FC236}">
              <a16:creationId xmlns:a16="http://schemas.microsoft.com/office/drawing/2014/main" id="{00000000-0008-0000-2200-00006F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2" name="Flèche gauche 1">
          <a:hlinkClick xmlns:r="http://schemas.openxmlformats.org/officeDocument/2006/relationships" r:id="rId1"/>
          <a:extLst>
            <a:ext uri="{FF2B5EF4-FFF2-40B4-BE49-F238E27FC236}">
              <a16:creationId xmlns:a16="http://schemas.microsoft.com/office/drawing/2014/main" id="{00000000-0008-0000-2200-000070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3" name="Flèche gauche 1">
          <a:hlinkClick xmlns:r="http://schemas.openxmlformats.org/officeDocument/2006/relationships" r:id="rId2"/>
          <a:extLst>
            <a:ext uri="{FF2B5EF4-FFF2-40B4-BE49-F238E27FC236}">
              <a16:creationId xmlns:a16="http://schemas.microsoft.com/office/drawing/2014/main" id="{00000000-0008-0000-2200-000071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4" name="Flèche gauche 1">
          <a:hlinkClick xmlns:r="http://schemas.openxmlformats.org/officeDocument/2006/relationships" r:id="rId1"/>
          <a:extLst>
            <a:ext uri="{FF2B5EF4-FFF2-40B4-BE49-F238E27FC236}">
              <a16:creationId xmlns:a16="http://schemas.microsoft.com/office/drawing/2014/main" id="{00000000-0008-0000-2200-000072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5" name="Flèche gauche 1">
          <a:hlinkClick xmlns:r="http://schemas.openxmlformats.org/officeDocument/2006/relationships" r:id="rId1"/>
          <a:extLst>
            <a:ext uri="{FF2B5EF4-FFF2-40B4-BE49-F238E27FC236}">
              <a16:creationId xmlns:a16="http://schemas.microsoft.com/office/drawing/2014/main" id="{00000000-0008-0000-2200-000073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6" name="Flèche gauche 1">
          <a:hlinkClick xmlns:r="http://schemas.openxmlformats.org/officeDocument/2006/relationships" r:id="rId1"/>
          <a:extLst>
            <a:ext uri="{FF2B5EF4-FFF2-40B4-BE49-F238E27FC236}">
              <a16:creationId xmlns:a16="http://schemas.microsoft.com/office/drawing/2014/main" id="{00000000-0008-0000-2200-000074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7" name="Flèche gauche 1">
          <a:hlinkClick xmlns:r="http://schemas.openxmlformats.org/officeDocument/2006/relationships" r:id="rId2"/>
          <a:extLst>
            <a:ext uri="{FF2B5EF4-FFF2-40B4-BE49-F238E27FC236}">
              <a16:creationId xmlns:a16="http://schemas.microsoft.com/office/drawing/2014/main" id="{00000000-0008-0000-2200-000075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8" name="Flèche gauche 1">
          <a:hlinkClick xmlns:r="http://schemas.openxmlformats.org/officeDocument/2006/relationships" r:id="rId1"/>
          <a:extLst>
            <a:ext uri="{FF2B5EF4-FFF2-40B4-BE49-F238E27FC236}">
              <a16:creationId xmlns:a16="http://schemas.microsoft.com/office/drawing/2014/main" id="{00000000-0008-0000-2200-000076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9" name="Flèche gauche 1">
          <a:hlinkClick xmlns:r="http://schemas.openxmlformats.org/officeDocument/2006/relationships" r:id="rId1"/>
          <a:extLst>
            <a:ext uri="{FF2B5EF4-FFF2-40B4-BE49-F238E27FC236}">
              <a16:creationId xmlns:a16="http://schemas.microsoft.com/office/drawing/2014/main" id="{00000000-0008-0000-2200-000077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0" name="Flèche gauche 1">
          <a:hlinkClick xmlns:r="http://schemas.openxmlformats.org/officeDocument/2006/relationships" r:id="rId1"/>
          <a:extLst>
            <a:ext uri="{FF2B5EF4-FFF2-40B4-BE49-F238E27FC236}">
              <a16:creationId xmlns:a16="http://schemas.microsoft.com/office/drawing/2014/main" id="{00000000-0008-0000-2200-000078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1" name="Flèche gauche 1">
          <a:hlinkClick xmlns:r="http://schemas.openxmlformats.org/officeDocument/2006/relationships" r:id="rId2"/>
          <a:extLst>
            <a:ext uri="{FF2B5EF4-FFF2-40B4-BE49-F238E27FC236}">
              <a16:creationId xmlns:a16="http://schemas.microsoft.com/office/drawing/2014/main" id="{00000000-0008-0000-2200-000079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2" name="Flèche gauche 1">
          <a:hlinkClick xmlns:r="http://schemas.openxmlformats.org/officeDocument/2006/relationships" r:id="rId1"/>
          <a:extLst>
            <a:ext uri="{FF2B5EF4-FFF2-40B4-BE49-F238E27FC236}">
              <a16:creationId xmlns:a16="http://schemas.microsoft.com/office/drawing/2014/main" id="{00000000-0008-0000-2200-00007A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3" name="Flèche gauche 1">
          <a:hlinkClick xmlns:r="http://schemas.openxmlformats.org/officeDocument/2006/relationships" r:id="rId1"/>
          <a:extLst>
            <a:ext uri="{FF2B5EF4-FFF2-40B4-BE49-F238E27FC236}">
              <a16:creationId xmlns:a16="http://schemas.microsoft.com/office/drawing/2014/main" id="{00000000-0008-0000-2200-00007B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4" name="Flèche gauche 1">
          <a:hlinkClick xmlns:r="http://schemas.openxmlformats.org/officeDocument/2006/relationships" r:id="rId1"/>
          <a:extLst>
            <a:ext uri="{FF2B5EF4-FFF2-40B4-BE49-F238E27FC236}">
              <a16:creationId xmlns:a16="http://schemas.microsoft.com/office/drawing/2014/main" id="{00000000-0008-0000-2200-00007C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5" name="Flèche gauche 1">
          <a:hlinkClick xmlns:r="http://schemas.openxmlformats.org/officeDocument/2006/relationships" r:id="rId2"/>
          <a:extLst>
            <a:ext uri="{FF2B5EF4-FFF2-40B4-BE49-F238E27FC236}">
              <a16:creationId xmlns:a16="http://schemas.microsoft.com/office/drawing/2014/main" id="{00000000-0008-0000-2200-00007D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6" name="Flèche gauche 1">
          <a:hlinkClick xmlns:r="http://schemas.openxmlformats.org/officeDocument/2006/relationships" r:id="rId1"/>
          <a:extLst>
            <a:ext uri="{FF2B5EF4-FFF2-40B4-BE49-F238E27FC236}">
              <a16:creationId xmlns:a16="http://schemas.microsoft.com/office/drawing/2014/main" id="{00000000-0008-0000-2200-00007E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7" name="Flèche gauche 1">
          <a:hlinkClick xmlns:r="http://schemas.openxmlformats.org/officeDocument/2006/relationships" r:id="rId1"/>
          <a:extLst>
            <a:ext uri="{FF2B5EF4-FFF2-40B4-BE49-F238E27FC236}">
              <a16:creationId xmlns:a16="http://schemas.microsoft.com/office/drawing/2014/main" id="{00000000-0008-0000-2200-00007F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8" name="Flèche gauche 1">
          <a:hlinkClick xmlns:r="http://schemas.openxmlformats.org/officeDocument/2006/relationships" r:id="rId1"/>
          <a:extLst>
            <a:ext uri="{FF2B5EF4-FFF2-40B4-BE49-F238E27FC236}">
              <a16:creationId xmlns:a16="http://schemas.microsoft.com/office/drawing/2014/main" id="{00000000-0008-0000-2200-000080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9" name="Flèche gauche 1">
          <a:hlinkClick xmlns:r="http://schemas.openxmlformats.org/officeDocument/2006/relationships" r:id="rId2"/>
          <a:extLst>
            <a:ext uri="{FF2B5EF4-FFF2-40B4-BE49-F238E27FC236}">
              <a16:creationId xmlns:a16="http://schemas.microsoft.com/office/drawing/2014/main" id="{00000000-0008-0000-2200-000081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0" name="Flèche gauche 1">
          <a:hlinkClick xmlns:r="http://schemas.openxmlformats.org/officeDocument/2006/relationships" r:id="rId1"/>
          <a:extLst>
            <a:ext uri="{FF2B5EF4-FFF2-40B4-BE49-F238E27FC236}">
              <a16:creationId xmlns:a16="http://schemas.microsoft.com/office/drawing/2014/main" id="{00000000-0008-0000-2200-000082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1" name="Flèche gauche 1">
          <a:hlinkClick xmlns:r="http://schemas.openxmlformats.org/officeDocument/2006/relationships" r:id="rId1"/>
          <a:extLst>
            <a:ext uri="{FF2B5EF4-FFF2-40B4-BE49-F238E27FC236}">
              <a16:creationId xmlns:a16="http://schemas.microsoft.com/office/drawing/2014/main" id="{00000000-0008-0000-2200-000083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2" name="Flèche gauche 1">
          <a:hlinkClick xmlns:r="http://schemas.openxmlformats.org/officeDocument/2006/relationships" r:id="rId1"/>
          <a:extLst>
            <a:ext uri="{FF2B5EF4-FFF2-40B4-BE49-F238E27FC236}">
              <a16:creationId xmlns:a16="http://schemas.microsoft.com/office/drawing/2014/main" id="{00000000-0008-0000-2200-000084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3" name="Flèche gauche 1">
          <a:hlinkClick xmlns:r="http://schemas.openxmlformats.org/officeDocument/2006/relationships" r:id="rId2"/>
          <a:extLst>
            <a:ext uri="{FF2B5EF4-FFF2-40B4-BE49-F238E27FC236}">
              <a16:creationId xmlns:a16="http://schemas.microsoft.com/office/drawing/2014/main" id="{00000000-0008-0000-2200-000085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4" name="Flèche gauche 1">
          <a:hlinkClick xmlns:r="http://schemas.openxmlformats.org/officeDocument/2006/relationships" r:id="rId1"/>
          <a:extLst>
            <a:ext uri="{FF2B5EF4-FFF2-40B4-BE49-F238E27FC236}">
              <a16:creationId xmlns:a16="http://schemas.microsoft.com/office/drawing/2014/main" id="{00000000-0008-0000-2200-000086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5" name="Flèche gauche 1">
          <a:hlinkClick xmlns:r="http://schemas.openxmlformats.org/officeDocument/2006/relationships" r:id="rId1"/>
          <a:extLst>
            <a:ext uri="{FF2B5EF4-FFF2-40B4-BE49-F238E27FC236}">
              <a16:creationId xmlns:a16="http://schemas.microsoft.com/office/drawing/2014/main" id="{00000000-0008-0000-2200-000087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6" name="Flèche gauche 1">
          <a:hlinkClick xmlns:r="http://schemas.openxmlformats.org/officeDocument/2006/relationships" r:id="rId1"/>
          <a:extLst>
            <a:ext uri="{FF2B5EF4-FFF2-40B4-BE49-F238E27FC236}">
              <a16:creationId xmlns:a16="http://schemas.microsoft.com/office/drawing/2014/main" id="{00000000-0008-0000-2200-000088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7" name="Flèche gauche 1">
          <a:hlinkClick xmlns:r="http://schemas.openxmlformats.org/officeDocument/2006/relationships" r:id="rId2"/>
          <a:extLst>
            <a:ext uri="{FF2B5EF4-FFF2-40B4-BE49-F238E27FC236}">
              <a16:creationId xmlns:a16="http://schemas.microsoft.com/office/drawing/2014/main" id="{00000000-0008-0000-2200-000089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8" name="Flèche gauche 1">
          <a:hlinkClick xmlns:r="http://schemas.openxmlformats.org/officeDocument/2006/relationships" r:id="rId1"/>
          <a:extLst>
            <a:ext uri="{FF2B5EF4-FFF2-40B4-BE49-F238E27FC236}">
              <a16:creationId xmlns:a16="http://schemas.microsoft.com/office/drawing/2014/main" id="{00000000-0008-0000-2200-00008A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9" name="Flèche gauche 1">
          <a:hlinkClick xmlns:r="http://schemas.openxmlformats.org/officeDocument/2006/relationships" r:id="rId1"/>
          <a:extLst>
            <a:ext uri="{FF2B5EF4-FFF2-40B4-BE49-F238E27FC236}">
              <a16:creationId xmlns:a16="http://schemas.microsoft.com/office/drawing/2014/main" id="{00000000-0008-0000-2200-00008B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0" name="Flèche gauche 1">
          <a:hlinkClick xmlns:r="http://schemas.openxmlformats.org/officeDocument/2006/relationships" r:id="rId1"/>
          <a:extLst>
            <a:ext uri="{FF2B5EF4-FFF2-40B4-BE49-F238E27FC236}">
              <a16:creationId xmlns:a16="http://schemas.microsoft.com/office/drawing/2014/main" id="{00000000-0008-0000-2200-00008C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1" name="Flèche gauche 1">
          <a:hlinkClick xmlns:r="http://schemas.openxmlformats.org/officeDocument/2006/relationships" r:id="rId2"/>
          <a:extLst>
            <a:ext uri="{FF2B5EF4-FFF2-40B4-BE49-F238E27FC236}">
              <a16:creationId xmlns:a16="http://schemas.microsoft.com/office/drawing/2014/main" id="{00000000-0008-0000-2200-00008D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2" name="Flèche gauche 1">
          <a:hlinkClick xmlns:r="http://schemas.openxmlformats.org/officeDocument/2006/relationships" r:id="rId1"/>
          <a:extLst>
            <a:ext uri="{FF2B5EF4-FFF2-40B4-BE49-F238E27FC236}">
              <a16:creationId xmlns:a16="http://schemas.microsoft.com/office/drawing/2014/main" id="{00000000-0008-0000-2200-00008E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3" name="Flèche gauche 1">
          <a:hlinkClick xmlns:r="http://schemas.openxmlformats.org/officeDocument/2006/relationships" r:id="rId1"/>
          <a:extLst>
            <a:ext uri="{FF2B5EF4-FFF2-40B4-BE49-F238E27FC236}">
              <a16:creationId xmlns:a16="http://schemas.microsoft.com/office/drawing/2014/main" id="{00000000-0008-0000-2200-00008F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4" name="Flèche gauche 1">
          <a:hlinkClick xmlns:r="http://schemas.openxmlformats.org/officeDocument/2006/relationships" r:id="rId1"/>
          <a:extLst>
            <a:ext uri="{FF2B5EF4-FFF2-40B4-BE49-F238E27FC236}">
              <a16:creationId xmlns:a16="http://schemas.microsoft.com/office/drawing/2014/main" id="{00000000-0008-0000-2200-000090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5" name="Flèche gauche 1">
          <a:hlinkClick xmlns:r="http://schemas.openxmlformats.org/officeDocument/2006/relationships" r:id="rId2"/>
          <a:extLst>
            <a:ext uri="{FF2B5EF4-FFF2-40B4-BE49-F238E27FC236}">
              <a16:creationId xmlns:a16="http://schemas.microsoft.com/office/drawing/2014/main" id="{00000000-0008-0000-2200-000091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6" name="Flèche gauche 1">
          <a:hlinkClick xmlns:r="http://schemas.openxmlformats.org/officeDocument/2006/relationships" r:id="rId1"/>
          <a:extLst>
            <a:ext uri="{FF2B5EF4-FFF2-40B4-BE49-F238E27FC236}">
              <a16:creationId xmlns:a16="http://schemas.microsoft.com/office/drawing/2014/main" id="{00000000-0008-0000-2200-000092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7" name="Flèche gauche 1">
          <a:hlinkClick xmlns:r="http://schemas.openxmlformats.org/officeDocument/2006/relationships" r:id="rId1"/>
          <a:extLst>
            <a:ext uri="{FF2B5EF4-FFF2-40B4-BE49-F238E27FC236}">
              <a16:creationId xmlns:a16="http://schemas.microsoft.com/office/drawing/2014/main" id="{00000000-0008-0000-2200-000093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8" name="Flèche gauche 1">
          <a:hlinkClick xmlns:r="http://schemas.openxmlformats.org/officeDocument/2006/relationships" r:id="rId1"/>
          <a:extLst>
            <a:ext uri="{FF2B5EF4-FFF2-40B4-BE49-F238E27FC236}">
              <a16:creationId xmlns:a16="http://schemas.microsoft.com/office/drawing/2014/main" id="{00000000-0008-0000-2200-000094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9" name="Flèche gauche 1">
          <a:hlinkClick xmlns:r="http://schemas.openxmlformats.org/officeDocument/2006/relationships" r:id="rId2"/>
          <a:extLst>
            <a:ext uri="{FF2B5EF4-FFF2-40B4-BE49-F238E27FC236}">
              <a16:creationId xmlns:a16="http://schemas.microsoft.com/office/drawing/2014/main" id="{00000000-0008-0000-2200-000095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0" name="Flèche gauche 1">
          <a:hlinkClick xmlns:r="http://schemas.openxmlformats.org/officeDocument/2006/relationships" r:id="rId1"/>
          <a:extLst>
            <a:ext uri="{FF2B5EF4-FFF2-40B4-BE49-F238E27FC236}">
              <a16:creationId xmlns:a16="http://schemas.microsoft.com/office/drawing/2014/main" id="{00000000-0008-0000-2200-000096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1" name="Flèche gauche 1">
          <a:hlinkClick xmlns:r="http://schemas.openxmlformats.org/officeDocument/2006/relationships" r:id="rId1"/>
          <a:extLst>
            <a:ext uri="{FF2B5EF4-FFF2-40B4-BE49-F238E27FC236}">
              <a16:creationId xmlns:a16="http://schemas.microsoft.com/office/drawing/2014/main" id="{00000000-0008-0000-2200-000097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2" name="Flèche gauche 1">
          <a:hlinkClick xmlns:r="http://schemas.openxmlformats.org/officeDocument/2006/relationships" r:id="rId1"/>
          <a:extLst>
            <a:ext uri="{FF2B5EF4-FFF2-40B4-BE49-F238E27FC236}">
              <a16:creationId xmlns:a16="http://schemas.microsoft.com/office/drawing/2014/main" id="{00000000-0008-0000-2200-000098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3" name="Flèche gauche 1">
          <a:hlinkClick xmlns:r="http://schemas.openxmlformats.org/officeDocument/2006/relationships" r:id="rId2"/>
          <a:extLst>
            <a:ext uri="{FF2B5EF4-FFF2-40B4-BE49-F238E27FC236}">
              <a16:creationId xmlns:a16="http://schemas.microsoft.com/office/drawing/2014/main" id="{00000000-0008-0000-2200-000099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4" name="Flèche gauche 1">
          <a:hlinkClick xmlns:r="http://schemas.openxmlformats.org/officeDocument/2006/relationships" r:id="rId1"/>
          <a:extLst>
            <a:ext uri="{FF2B5EF4-FFF2-40B4-BE49-F238E27FC236}">
              <a16:creationId xmlns:a16="http://schemas.microsoft.com/office/drawing/2014/main" id="{00000000-0008-0000-2200-00009A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5" name="Flèche gauche 1">
          <a:hlinkClick xmlns:r="http://schemas.openxmlformats.org/officeDocument/2006/relationships" r:id="rId1"/>
          <a:extLst>
            <a:ext uri="{FF2B5EF4-FFF2-40B4-BE49-F238E27FC236}">
              <a16:creationId xmlns:a16="http://schemas.microsoft.com/office/drawing/2014/main" id="{00000000-0008-0000-2200-00009B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6" name="Flèche gauche 1">
          <a:hlinkClick xmlns:r="http://schemas.openxmlformats.org/officeDocument/2006/relationships" r:id="rId1"/>
          <a:extLst>
            <a:ext uri="{FF2B5EF4-FFF2-40B4-BE49-F238E27FC236}">
              <a16:creationId xmlns:a16="http://schemas.microsoft.com/office/drawing/2014/main" id="{00000000-0008-0000-2200-00009C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7" name="Flèche gauche 1">
          <a:hlinkClick xmlns:r="http://schemas.openxmlformats.org/officeDocument/2006/relationships" r:id="rId2"/>
          <a:extLst>
            <a:ext uri="{FF2B5EF4-FFF2-40B4-BE49-F238E27FC236}">
              <a16:creationId xmlns:a16="http://schemas.microsoft.com/office/drawing/2014/main" id="{00000000-0008-0000-2200-00009D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8" name="Flèche gauche 1">
          <a:hlinkClick xmlns:r="http://schemas.openxmlformats.org/officeDocument/2006/relationships" r:id="rId1"/>
          <a:extLst>
            <a:ext uri="{FF2B5EF4-FFF2-40B4-BE49-F238E27FC236}">
              <a16:creationId xmlns:a16="http://schemas.microsoft.com/office/drawing/2014/main" id="{00000000-0008-0000-2200-00009E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9" name="Flèche gauche 1">
          <a:hlinkClick xmlns:r="http://schemas.openxmlformats.org/officeDocument/2006/relationships" r:id="rId1"/>
          <a:extLst>
            <a:ext uri="{FF2B5EF4-FFF2-40B4-BE49-F238E27FC236}">
              <a16:creationId xmlns:a16="http://schemas.microsoft.com/office/drawing/2014/main" id="{00000000-0008-0000-2200-00009F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0" name="Flèche gauche 1">
          <a:hlinkClick xmlns:r="http://schemas.openxmlformats.org/officeDocument/2006/relationships" r:id="rId1"/>
          <a:extLst>
            <a:ext uri="{FF2B5EF4-FFF2-40B4-BE49-F238E27FC236}">
              <a16:creationId xmlns:a16="http://schemas.microsoft.com/office/drawing/2014/main" id="{00000000-0008-0000-2200-0000A0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1" name="Flèche gauche 1">
          <a:hlinkClick xmlns:r="http://schemas.openxmlformats.org/officeDocument/2006/relationships" r:id="rId2"/>
          <a:extLst>
            <a:ext uri="{FF2B5EF4-FFF2-40B4-BE49-F238E27FC236}">
              <a16:creationId xmlns:a16="http://schemas.microsoft.com/office/drawing/2014/main" id="{00000000-0008-0000-2200-0000A1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2" name="Flèche gauche 1">
          <a:hlinkClick xmlns:r="http://schemas.openxmlformats.org/officeDocument/2006/relationships" r:id="rId1"/>
          <a:extLst>
            <a:ext uri="{FF2B5EF4-FFF2-40B4-BE49-F238E27FC236}">
              <a16:creationId xmlns:a16="http://schemas.microsoft.com/office/drawing/2014/main" id="{00000000-0008-0000-2200-0000A2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3" name="Flèche gauche 1">
          <a:hlinkClick xmlns:r="http://schemas.openxmlformats.org/officeDocument/2006/relationships" r:id="rId1"/>
          <a:extLst>
            <a:ext uri="{FF2B5EF4-FFF2-40B4-BE49-F238E27FC236}">
              <a16:creationId xmlns:a16="http://schemas.microsoft.com/office/drawing/2014/main" id="{00000000-0008-0000-2200-0000A3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4" name="Flèche gauche 1">
          <a:hlinkClick xmlns:r="http://schemas.openxmlformats.org/officeDocument/2006/relationships" r:id="rId1"/>
          <a:extLst>
            <a:ext uri="{FF2B5EF4-FFF2-40B4-BE49-F238E27FC236}">
              <a16:creationId xmlns:a16="http://schemas.microsoft.com/office/drawing/2014/main" id="{00000000-0008-0000-2200-0000A4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5" name="Flèche gauche 1">
          <a:hlinkClick xmlns:r="http://schemas.openxmlformats.org/officeDocument/2006/relationships" r:id="rId2"/>
          <a:extLst>
            <a:ext uri="{FF2B5EF4-FFF2-40B4-BE49-F238E27FC236}">
              <a16:creationId xmlns:a16="http://schemas.microsoft.com/office/drawing/2014/main" id="{00000000-0008-0000-2200-0000A5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6" name="Flèche gauche 1">
          <a:hlinkClick xmlns:r="http://schemas.openxmlformats.org/officeDocument/2006/relationships" r:id="rId1"/>
          <a:extLst>
            <a:ext uri="{FF2B5EF4-FFF2-40B4-BE49-F238E27FC236}">
              <a16:creationId xmlns:a16="http://schemas.microsoft.com/office/drawing/2014/main" id="{00000000-0008-0000-2200-0000A6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7" name="Flèche gauche 1">
          <a:hlinkClick xmlns:r="http://schemas.openxmlformats.org/officeDocument/2006/relationships" r:id="rId1"/>
          <a:extLst>
            <a:ext uri="{FF2B5EF4-FFF2-40B4-BE49-F238E27FC236}">
              <a16:creationId xmlns:a16="http://schemas.microsoft.com/office/drawing/2014/main" id="{00000000-0008-0000-2200-0000A7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8" name="Flèche gauche 1">
          <a:hlinkClick xmlns:r="http://schemas.openxmlformats.org/officeDocument/2006/relationships" r:id="rId1"/>
          <a:extLst>
            <a:ext uri="{FF2B5EF4-FFF2-40B4-BE49-F238E27FC236}">
              <a16:creationId xmlns:a16="http://schemas.microsoft.com/office/drawing/2014/main" id="{00000000-0008-0000-2200-0000A8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9" name="Flèche gauche 1">
          <a:hlinkClick xmlns:r="http://schemas.openxmlformats.org/officeDocument/2006/relationships" r:id="rId2"/>
          <a:extLst>
            <a:ext uri="{FF2B5EF4-FFF2-40B4-BE49-F238E27FC236}">
              <a16:creationId xmlns:a16="http://schemas.microsoft.com/office/drawing/2014/main" id="{00000000-0008-0000-2200-0000A9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0" name="Flèche gauche 1">
          <a:hlinkClick xmlns:r="http://schemas.openxmlformats.org/officeDocument/2006/relationships" r:id="rId1"/>
          <a:extLst>
            <a:ext uri="{FF2B5EF4-FFF2-40B4-BE49-F238E27FC236}">
              <a16:creationId xmlns:a16="http://schemas.microsoft.com/office/drawing/2014/main" id="{00000000-0008-0000-2200-0000AA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1" name="Flèche gauche 1">
          <a:hlinkClick xmlns:r="http://schemas.openxmlformats.org/officeDocument/2006/relationships" r:id="rId1"/>
          <a:extLst>
            <a:ext uri="{FF2B5EF4-FFF2-40B4-BE49-F238E27FC236}">
              <a16:creationId xmlns:a16="http://schemas.microsoft.com/office/drawing/2014/main" id="{00000000-0008-0000-2200-0000AB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2" name="Flèche gauche 1">
          <a:hlinkClick xmlns:r="http://schemas.openxmlformats.org/officeDocument/2006/relationships" r:id="rId1"/>
          <a:extLst>
            <a:ext uri="{FF2B5EF4-FFF2-40B4-BE49-F238E27FC236}">
              <a16:creationId xmlns:a16="http://schemas.microsoft.com/office/drawing/2014/main" id="{00000000-0008-0000-2200-0000AC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3" name="Flèche gauche 1">
          <a:hlinkClick xmlns:r="http://schemas.openxmlformats.org/officeDocument/2006/relationships" r:id="rId2"/>
          <a:extLst>
            <a:ext uri="{FF2B5EF4-FFF2-40B4-BE49-F238E27FC236}">
              <a16:creationId xmlns:a16="http://schemas.microsoft.com/office/drawing/2014/main" id="{00000000-0008-0000-2200-0000AD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4" name="Flèche gauche 1">
          <a:hlinkClick xmlns:r="http://schemas.openxmlformats.org/officeDocument/2006/relationships" r:id="rId1"/>
          <a:extLst>
            <a:ext uri="{FF2B5EF4-FFF2-40B4-BE49-F238E27FC236}">
              <a16:creationId xmlns:a16="http://schemas.microsoft.com/office/drawing/2014/main" id="{00000000-0008-0000-2200-0000AE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5" name="Flèche gauche 1">
          <a:hlinkClick xmlns:r="http://schemas.openxmlformats.org/officeDocument/2006/relationships" r:id="rId1"/>
          <a:extLst>
            <a:ext uri="{FF2B5EF4-FFF2-40B4-BE49-F238E27FC236}">
              <a16:creationId xmlns:a16="http://schemas.microsoft.com/office/drawing/2014/main" id="{00000000-0008-0000-2200-0000AF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6" name="Flèche gauche 1">
          <a:hlinkClick xmlns:r="http://schemas.openxmlformats.org/officeDocument/2006/relationships" r:id="rId1"/>
          <a:extLst>
            <a:ext uri="{FF2B5EF4-FFF2-40B4-BE49-F238E27FC236}">
              <a16:creationId xmlns:a16="http://schemas.microsoft.com/office/drawing/2014/main" id="{00000000-0008-0000-2200-0000B0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7" name="Flèche gauche 1">
          <a:hlinkClick xmlns:r="http://schemas.openxmlformats.org/officeDocument/2006/relationships" r:id="rId2"/>
          <a:extLst>
            <a:ext uri="{FF2B5EF4-FFF2-40B4-BE49-F238E27FC236}">
              <a16:creationId xmlns:a16="http://schemas.microsoft.com/office/drawing/2014/main" id="{00000000-0008-0000-2200-0000B1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8" name="Flèche gauche 1">
          <a:hlinkClick xmlns:r="http://schemas.openxmlformats.org/officeDocument/2006/relationships" r:id="rId1"/>
          <a:extLst>
            <a:ext uri="{FF2B5EF4-FFF2-40B4-BE49-F238E27FC236}">
              <a16:creationId xmlns:a16="http://schemas.microsoft.com/office/drawing/2014/main" id="{00000000-0008-0000-2200-0000B2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9" name="Flèche gauche 1">
          <a:hlinkClick xmlns:r="http://schemas.openxmlformats.org/officeDocument/2006/relationships" r:id="rId1"/>
          <a:extLst>
            <a:ext uri="{FF2B5EF4-FFF2-40B4-BE49-F238E27FC236}">
              <a16:creationId xmlns:a16="http://schemas.microsoft.com/office/drawing/2014/main" id="{00000000-0008-0000-2200-0000B3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0" name="Flèche gauche 1">
          <a:hlinkClick xmlns:r="http://schemas.openxmlformats.org/officeDocument/2006/relationships" r:id="rId1"/>
          <a:extLst>
            <a:ext uri="{FF2B5EF4-FFF2-40B4-BE49-F238E27FC236}">
              <a16:creationId xmlns:a16="http://schemas.microsoft.com/office/drawing/2014/main" id="{00000000-0008-0000-2200-0000B4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1" name="Flèche gauche 1">
          <a:hlinkClick xmlns:r="http://schemas.openxmlformats.org/officeDocument/2006/relationships" r:id="rId2"/>
          <a:extLst>
            <a:ext uri="{FF2B5EF4-FFF2-40B4-BE49-F238E27FC236}">
              <a16:creationId xmlns:a16="http://schemas.microsoft.com/office/drawing/2014/main" id="{00000000-0008-0000-2200-0000B5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2" name="Flèche gauche 1">
          <a:hlinkClick xmlns:r="http://schemas.openxmlformats.org/officeDocument/2006/relationships" r:id="rId1"/>
          <a:extLst>
            <a:ext uri="{FF2B5EF4-FFF2-40B4-BE49-F238E27FC236}">
              <a16:creationId xmlns:a16="http://schemas.microsoft.com/office/drawing/2014/main" id="{00000000-0008-0000-2200-0000B6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3" name="Flèche gauche 1">
          <a:hlinkClick xmlns:r="http://schemas.openxmlformats.org/officeDocument/2006/relationships" r:id="rId1"/>
          <a:extLst>
            <a:ext uri="{FF2B5EF4-FFF2-40B4-BE49-F238E27FC236}">
              <a16:creationId xmlns:a16="http://schemas.microsoft.com/office/drawing/2014/main" id="{00000000-0008-0000-2200-0000B7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4" name="Flèche gauche 1">
          <a:hlinkClick xmlns:r="http://schemas.openxmlformats.org/officeDocument/2006/relationships" r:id="rId1"/>
          <a:extLst>
            <a:ext uri="{FF2B5EF4-FFF2-40B4-BE49-F238E27FC236}">
              <a16:creationId xmlns:a16="http://schemas.microsoft.com/office/drawing/2014/main" id="{00000000-0008-0000-2200-0000B8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5" name="Flèche gauche 1">
          <a:hlinkClick xmlns:r="http://schemas.openxmlformats.org/officeDocument/2006/relationships" r:id="rId2"/>
          <a:extLst>
            <a:ext uri="{FF2B5EF4-FFF2-40B4-BE49-F238E27FC236}">
              <a16:creationId xmlns:a16="http://schemas.microsoft.com/office/drawing/2014/main" id="{00000000-0008-0000-2200-0000B9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6" name="Flèche gauche 1">
          <a:hlinkClick xmlns:r="http://schemas.openxmlformats.org/officeDocument/2006/relationships" r:id="rId1"/>
          <a:extLst>
            <a:ext uri="{FF2B5EF4-FFF2-40B4-BE49-F238E27FC236}">
              <a16:creationId xmlns:a16="http://schemas.microsoft.com/office/drawing/2014/main" id="{00000000-0008-0000-2200-0000BA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7" name="Flèche gauche 1">
          <a:hlinkClick xmlns:r="http://schemas.openxmlformats.org/officeDocument/2006/relationships" r:id="rId1"/>
          <a:extLst>
            <a:ext uri="{FF2B5EF4-FFF2-40B4-BE49-F238E27FC236}">
              <a16:creationId xmlns:a16="http://schemas.microsoft.com/office/drawing/2014/main" id="{00000000-0008-0000-2200-0000BB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8" name="Flèche gauche 1">
          <a:hlinkClick xmlns:r="http://schemas.openxmlformats.org/officeDocument/2006/relationships" r:id="rId1"/>
          <a:extLst>
            <a:ext uri="{FF2B5EF4-FFF2-40B4-BE49-F238E27FC236}">
              <a16:creationId xmlns:a16="http://schemas.microsoft.com/office/drawing/2014/main" id="{00000000-0008-0000-2200-0000BC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9" name="Flèche gauche 1">
          <a:hlinkClick xmlns:r="http://schemas.openxmlformats.org/officeDocument/2006/relationships" r:id="rId2"/>
          <a:extLst>
            <a:ext uri="{FF2B5EF4-FFF2-40B4-BE49-F238E27FC236}">
              <a16:creationId xmlns:a16="http://schemas.microsoft.com/office/drawing/2014/main" id="{00000000-0008-0000-2200-0000BD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0" name="Flèche gauche 1">
          <a:hlinkClick xmlns:r="http://schemas.openxmlformats.org/officeDocument/2006/relationships" r:id="rId1"/>
          <a:extLst>
            <a:ext uri="{FF2B5EF4-FFF2-40B4-BE49-F238E27FC236}">
              <a16:creationId xmlns:a16="http://schemas.microsoft.com/office/drawing/2014/main" id="{00000000-0008-0000-2200-0000BE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1" name="Flèche gauche 1">
          <a:hlinkClick xmlns:r="http://schemas.openxmlformats.org/officeDocument/2006/relationships" r:id="rId1"/>
          <a:extLst>
            <a:ext uri="{FF2B5EF4-FFF2-40B4-BE49-F238E27FC236}">
              <a16:creationId xmlns:a16="http://schemas.microsoft.com/office/drawing/2014/main" id="{00000000-0008-0000-2200-0000BF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2" name="Flèche gauche 1">
          <a:hlinkClick xmlns:r="http://schemas.openxmlformats.org/officeDocument/2006/relationships" r:id="rId1"/>
          <a:extLst>
            <a:ext uri="{FF2B5EF4-FFF2-40B4-BE49-F238E27FC236}">
              <a16:creationId xmlns:a16="http://schemas.microsoft.com/office/drawing/2014/main" id="{00000000-0008-0000-2200-0000C0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3" name="Flèche gauche 1">
          <a:hlinkClick xmlns:r="http://schemas.openxmlformats.org/officeDocument/2006/relationships" r:id="rId2"/>
          <a:extLst>
            <a:ext uri="{FF2B5EF4-FFF2-40B4-BE49-F238E27FC236}">
              <a16:creationId xmlns:a16="http://schemas.microsoft.com/office/drawing/2014/main" id="{00000000-0008-0000-2200-0000C1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4" name="Flèche gauche 1">
          <a:hlinkClick xmlns:r="http://schemas.openxmlformats.org/officeDocument/2006/relationships" r:id="rId1"/>
          <a:extLst>
            <a:ext uri="{FF2B5EF4-FFF2-40B4-BE49-F238E27FC236}">
              <a16:creationId xmlns:a16="http://schemas.microsoft.com/office/drawing/2014/main" id="{00000000-0008-0000-2200-0000C2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5" name="Flèche gauche 1">
          <a:hlinkClick xmlns:r="http://schemas.openxmlformats.org/officeDocument/2006/relationships" r:id="rId1"/>
          <a:extLst>
            <a:ext uri="{FF2B5EF4-FFF2-40B4-BE49-F238E27FC236}">
              <a16:creationId xmlns:a16="http://schemas.microsoft.com/office/drawing/2014/main" id="{00000000-0008-0000-2200-0000C3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6" name="Flèche gauche 1">
          <a:hlinkClick xmlns:r="http://schemas.openxmlformats.org/officeDocument/2006/relationships" r:id="rId1"/>
          <a:extLst>
            <a:ext uri="{FF2B5EF4-FFF2-40B4-BE49-F238E27FC236}">
              <a16:creationId xmlns:a16="http://schemas.microsoft.com/office/drawing/2014/main" id="{00000000-0008-0000-2200-0000C4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7" name="Flèche gauche 1">
          <a:hlinkClick xmlns:r="http://schemas.openxmlformats.org/officeDocument/2006/relationships" r:id="rId2"/>
          <a:extLst>
            <a:ext uri="{FF2B5EF4-FFF2-40B4-BE49-F238E27FC236}">
              <a16:creationId xmlns:a16="http://schemas.microsoft.com/office/drawing/2014/main" id="{00000000-0008-0000-2200-0000C5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8" name="Flèche gauche 1">
          <a:hlinkClick xmlns:r="http://schemas.openxmlformats.org/officeDocument/2006/relationships" r:id="rId1"/>
          <a:extLst>
            <a:ext uri="{FF2B5EF4-FFF2-40B4-BE49-F238E27FC236}">
              <a16:creationId xmlns:a16="http://schemas.microsoft.com/office/drawing/2014/main" id="{00000000-0008-0000-2200-0000C6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9" name="Flèche gauche 1">
          <a:hlinkClick xmlns:r="http://schemas.openxmlformats.org/officeDocument/2006/relationships" r:id="rId1"/>
          <a:extLst>
            <a:ext uri="{FF2B5EF4-FFF2-40B4-BE49-F238E27FC236}">
              <a16:creationId xmlns:a16="http://schemas.microsoft.com/office/drawing/2014/main" id="{00000000-0008-0000-2200-0000C7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0" name="Flèche gauche 1">
          <a:hlinkClick xmlns:r="http://schemas.openxmlformats.org/officeDocument/2006/relationships" r:id="rId1"/>
          <a:extLst>
            <a:ext uri="{FF2B5EF4-FFF2-40B4-BE49-F238E27FC236}">
              <a16:creationId xmlns:a16="http://schemas.microsoft.com/office/drawing/2014/main" id="{00000000-0008-0000-2200-0000C8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1" name="Flèche gauche 1">
          <a:hlinkClick xmlns:r="http://schemas.openxmlformats.org/officeDocument/2006/relationships" r:id="rId2"/>
          <a:extLst>
            <a:ext uri="{FF2B5EF4-FFF2-40B4-BE49-F238E27FC236}">
              <a16:creationId xmlns:a16="http://schemas.microsoft.com/office/drawing/2014/main" id="{00000000-0008-0000-2200-0000C9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2" name="Flèche gauche 1">
          <a:hlinkClick xmlns:r="http://schemas.openxmlformats.org/officeDocument/2006/relationships" r:id="rId1"/>
          <a:extLst>
            <a:ext uri="{FF2B5EF4-FFF2-40B4-BE49-F238E27FC236}">
              <a16:creationId xmlns:a16="http://schemas.microsoft.com/office/drawing/2014/main" id="{00000000-0008-0000-2200-0000CA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3" name="Flèche gauche 1">
          <a:hlinkClick xmlns:r="http://schemas.openxmlformats.org/officeDocument/2006/relationships" r:id="rId1"/>
          <a:extLst>
            <a:ext uri="{FF2B5EF4-FFF2-40B4-BE49-F238E27FC236}">
              <a16:creationId xmlns:a16="http://schemas.microsoft.com/office/drawing/2014/main" id="{00000000-0008-0000-2200-0000CB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4" name="Flèche gauche 1">
          <a:hlinkClick xmlns:r="http://schemas.openxmlformats.org/officeDocument/2006/relationships" r:id="rId1"/>
          <a:extLst>
            <a:ext uri="{FF2B5EF4-FFF2-40B4-BE49-F238E27FC236}">
              <a16:creationId xmlns:a16="http://schemas.microsoft.com/office/drawing/2014/main" id="{00000000-0008-0000-2200-0000CC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5" name="Flèche gauche 1">
          <a:hlinkClick xmlns:r="http://schemas.openxmlformats.org/officeDocument/2006/relationships" r:id="rId2"/>
          <a:extLst>
            <a:ext uri="{FF2B5EF4-FFF2-40B4-BE49-F238E27FC236}">
              <a16:creationId xmlns:a16="http://schemas.microsoft.com/office/drawing/2014/main" id="{00000000-0008-0000-2200-0000CD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6" name="Flèche gauche 1">
          <a:hlinkClick xmlns:r="http://schemas.openxmlformats.org/officeDocument/2006/relationships" r:id="rId1"/>
          <a:extLst>
            <a:ext uri="{FF2B5EF4-FFF2-40B4-BE49-F238E27FC236}">
              <a16:creationId xmlns:a16="http://schemas.microsoft.com/office/drawing/2014/main" id="{00000000-0008-0000-2200-0000CE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7" name="Flèche gauche 1">
          <a:hlinkClick xmlns:r="http://schemas.openxmlformats.org/officeDocument/2006/relationships" r:id="rId1"/>
          <a:extLst>
            <a:ext uri="{FF2B5EF4-FFF2-40B4-BE49-F238E27FC236}">
              <a16:creationId xmlns:a16="http://schemas.microsoft.com/office/drawing/2014/main" id="{00000000-0008-0000-2200-0000CF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8" name="Flèche gauche 1">
          <a:hlinkClick xmlns:r="http://schemas.openxmlformats.org/officeDocument/2006/relationships" r:id="rId1"/>
          <a:extLst>
            <a:ext uri="{FF2B5EF4-FFF2-40B4-BE49-F238E27FC236}">
              <a16:creationId xmlns:a16="http://schemas.microsoft.com/office/drawing/2014/main" id="{00000000-0008-0000-2200-0000D0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9" name="Flèche gauche 1">
          <a:hlinkClick xmlns:r="http://schemas.openxmlformats.org/officeDocument/2006/relationships" r:id="rId2"/>
          <a:extLst>
            <a:ext uri="{FF2B5EF4-FFF2-40B4-BE49-F238E27FC236}">
              <a16:creationId xmlns:a16="http://schemas.microsoft.com/office/drawing/2014/main" id="{00000000-0008-0000-2200-0000D1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0" name="Flèche gauche 1">
          <a:hlinkClick xmlns:r="http://schemas.openxmlformats.org/officeDocument/2006/relationships" r:id="rId1"/>
          <a:extLst>
            <a:ext uri="{FF2B5EF4-FFF2-40B4-BE49-F238E27FC236}">
              <a16:creationId xmlns:a16="http://schemas.microsoft.com/office/drawing/2014/main" id="{00000000-0008-0000-2200-0000D2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1" name="Flèche gauche 1">
          <a:hlinkClick xmlns:r="http://schemas.openxmlformats.org/officeDocument/2006/relationships" r:id="rId1"/>
          <a:extLst>
            <a:ext uri="{FF2B5EF4-FFF2-40B4-BE49-F238E27FC236}">
              <a16:creationId xmlns:a16="http://schemas.microsoft.com/office/drawing/2014/main" id="{00000000-0008-0000-2200-0000D3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2" name="Flèche gauche 1">
          <a:hlinkClick xmlns:r="http://schemas.openxmlformats.org/officeDocument/2006/relationships" r:id="rId1"/>
          <a:extLst>
            <a:ext uri="{FF2B5EF4-FFF2-40B4-BE49-F238E27FC236}">
              <a16:creationId xmlns:a16="http://schemas.microsoft.com/office/drawing/2014/main" id="{00000000-0008-0000-2200-0000D4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3" name="Flèche gauche 1">
          <a:hlinkClick xmlns:r="http://schemas.openxmlformats.org/officeDocument/2006/relationships" r:id="rId2"/>
          <a:extLst>
            <a:ext uri="{FF2B5EF4-FFF2-40B4-BE49-F238E27FC236}">
              <a16:creationId xmlns:a16="http://schemas.microsoft.com/office/drawing/2014/main" id="{00000000-0008-0000-2200-0000D5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4" name="Flèche gauche 1">
          <a:hlinkClick xmlns:r="http://schemas.openxmlformats.org/officeDocument/2006/relationships" r:id="rId1"/>
          <a:extLst>
            <a:ext uri="{FF2B5EF4-FFF2-40B4-BE49-F238E27FC236}">
              <a16:creationId xmlns:a16="http://schemas.microsoft.com/office/drawing/2014/main" id="{00000000-0008-0000-2200-0000D6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5" name="Flèche gauche 1">
          <a:hlinkClick xmlns:r="http://schemas.openxmlformats.org/officeDocument/2006/relationships" r:id="rId1"/>
          <a:extLst>
            <a:ext uri="{FF2B5EF4-FFF2-40B4-BE49-F238E27FC236}">
              <a16:creationId xmlns:a16="http://schemas.microsoft.com/office/drawing/2014/main" id="{00000000-0008-0000-2200-0000D7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6" name="Flèche gauche 1">
          <a:hlinkClick xmlns:r="http://schemas.openxmlformats.org/officeDocument/2006/relationships" r:id="rId1"/>
          <a:extLst>
            <a:ext uri="{FF2B5EF4-FFF2-40B4-BE49-F238E27FC236}">
              <a16:creationId xmlns:a16="http://schemas.microsoft.com/office/drawing/2014/main" id="{00000000-0008-0000-2200-0000D8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7" name="Flèche gauche 1">
          <a:hlinkClick xmlns:r="http://schemas.openxmlformats.org/officeDocument/2006/relationships" r:id="rId2"/>
          <a:extLst>
            <a:ext uri="{FF2B5EF4-FFF2-40B4-BE49-F238E27FC236}">
              <a16:creationId xmlns:a16="http://schemas.microsoft.com/office/drawing/2014/main" id="{00000000-0008-0000-2200-0000D9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8" name="Flèche gauche 1">
          <a:hlinkClick xmlns:r="http://schemas.openxmlformats.org/officeDocument/2006/relationships" r:id="rId1"/>
          <a:extLst>
            <a:ext uri="{FF2B5EF4-FFF2-40B4-BE49-F238E27FC236}">
              <a16:creationId xmlns:a16="http://schemas.microsoft.com/office/drawing/2014/main" id="{00000000-0008-0000-2200-0000DA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9" name="Flèche gauche 1">
          <a:hlinkClick xmlns:r="http://schemas.openxmlformats.org/officeDocument/2006/relationships" r:id="rId1"/>
          <a:extLst>
            <a:ext uri="{FF2B5EF4-FFF2-40B4-BE49-F238E27FC236}">
              <a16:creationId xmlns:a16="http://schemas.microsoft.com/office/drawing/2014/main" id="{00000000-0008-0000-2200-0000DB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0" name="Flèche gauche 1">
          <a:hlinkClick xmlns:r="http://schemas.openxmlformats.org/officeDocument/2006/relationships" r:id="rId1"/>
          <a:extLst>
            <a:ext uri="{FF2B5EF4-FFF2-40B4-BE49-F238E27FC236}">
              <a16:creationId xmlns:a16="http://schemas.microsoft.com/office/drawing/2014/main" id="{00000000-0008-0000-2200-0000DC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1" name="Flèche gauche 1">
          <a:hlinkClick xmlns:r="http://schemas.openxmlformats.org/officeDocument/2006/relationships" r:id="rId2"/>
          <a:extLst>
            <a:ext uri="{FF2B5EF4-FFF2-40B4-BE49-F238E27FC236}">
              <a16:creationId xmlns:a16="http://schemas.microsoft.com/office/drawing/2014/main" id="{00000000-0008-0000-2200-0000DD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2" name="Flèche gauche 1">
          <a:hlinkClick xmlns:r="http://schemas.openxmlformats.org/officeDocument/2006/relationships" r:id="rId1"/>
          <a:extLst>
            <a:ext uri="{FF2B5EF4-FFF2-40B4-BE49-F238E27FC236}">
              <a16:creationId xmlns:a16="http://schemas.microsoft.com/office/drawing/2014/main" id="{00000000-0008-0000-2200-0000DE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3" name="Flèche gauche 1">
          <a:hlinkClick xmlns:r="http://schemas.openxmlformats.org/officeDocument/2006/relationships" r:id="rId1"/>
          <a:extLst>
            <a:ext uri="{FF2B5EF4-FFF2-40B4-BE49-F238E27FC236}">
              <a16:creationId xmlns:a16="http://schemas.microsoft.com/office/drawing/2014/main" id="{00000000-0008-0000-2200-0000DF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4" name="Flèche gauche 1">
          <a:hlinkClick xmlns:r="http://schemas.openxmlformats.org/officeDocument/2006/relationships" r:id="rId1"/>
          <a:extLst>
            <a:ext uri="{FF2B5EF4-FFF2-40B4-BE49-F238E27FC236}">
              <a16:creationId xmlns:a16="http://schemas.microsoft.com/office/drawing/2014/main" id="{00000000-0008-0000-2200-0000E0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5" name="Flèche gauche 1">
          <a:hlinkClick xmlns:r="http://schemas.openxmlformats.org/officeDocument/2006/relationships" r:id="rId2"/>
          <a:extLst>
            <a:ext uri="{FF2B5EF4-FFF2-40B4-BE49-F238E27FC236}">
              <a16:creationId xmlns:a16="http://schemas.microsoft.com/office/drawing/2014/main" id="{00000000-0008-0000-2200-0000E1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6" name="Flèche gauche 1">
          <a:hlinkClick xmlns:r="http://schemas.openxmlformats.org/officeDocument/2006/relationships" r:id="rId1"/>
          <a:extLst>
            <a:ext uri="{FF2B5EF4-FFF2-40B4-BE49-F238E27FC236}">
              <a16:creationId xmlns:a16="http://schemas.microsoft.com/office/drawing/2014/main" id="{00000000-0008-0000-2200-0000E2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7" name="Flèche gauche 1">
          <a:hlinkClick xmlns:r="http://schemas.openxmlformats.org/officeDocument/2006/relationships" r:id="rId1"/>
          <a:extLst>
            <a:ext uri="{FF2B5EF4-FFF2-40B4-BE49-F238E27FC236}">
              <a16:creationId xmlns:a16="http://schemas.microsoft.com/office/drawing/2014/main" id="{00000000-0008-0000-2200-0000E3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8" name="Flèche gauche 1">
          <a:hlinkClick xmlns:r="http://schemas.openxmlformats.org/officeDocument/2006/relationships" r:id="rId1"/>
          <a:extLst>
            <a:ext uri="{FF2B5EF4-FFF2-40B4-BE49-F238E27FC236}">
              <a16:creationId xmlns:a16="http://schemas.microsoft.com/office/drawing/2014/main" id="{00000000-0008-0000-2200-0000E4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9" name="Flèche gauche 1">
          <a:hlinkClick xmlns:r="http://schemas.openxmlformats.org/officeDocument/2006/relationships" r:id="rId2"/>
          <a:extLst>
            <a:ext uri="{FF2B5EF4-FFF2-40B4-BE49-F238E27FC236}">
              <a16:creationId xmlns:a16="http://schemas.microsoft.com/office/drawing/2014/main" id="{00000000-0008-0000-2200-0000E5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0" name="Flèche gauche 1">
          <a:hlinkClick xmlns:r="http://schemas.openxmlformats.org/officeDocument/2006/relationships" r:id="rId1"/>
          <a:extLst>
            <a:ext uri="{FF2B5EF4-FFF2-40B4-BE49-F238E27FC236}">
              <a16:creationId xmlns:a16="http://schemas.microsoft.com/office/drawing/2014/main" id="{00000000-0008-0000-2200-0000E6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1" name="Flèche gauche 1">
          <a:hlinkClick xmlns:r="http://schemas.openxmlformats.org/officeDocument/2006/relationships" r:id="rId1"/>
          <a:extLst>
            <a:ext uri="{FF2B5EF4-FFF2-40B4-BE49-F238E27FC236}">
              <a16:creationId xmlns:a16="http://schemas.microsoft.com/office/drawing/2014/main" id="{00000000-0008-0000-2200-0000E7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2" name="Flèche gauche 1">
          <a:hlinkClick xmlns:r="http://schemas.openxmlformats.org/officeDocument/2006/relationships" r:id="rId1"/>
          <a:extLst>
            <a:ext uri="{FF2B5EF4-FFF2-40B4-BE49-F238E27FC236}">
              <a16:creationId xmlns:a16="http://schemas.microsoft.com/office/drawing/2014/main" id="{00000000-0008-0000-2200-0000E8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3" name="Flèche gauche 1">
          <a:hlinkClick xmlns:r="http://schemas.openxmlformats.org/officeDocument/2006/relationships" r:id="rId2"/>
          <a:extLst>
            <a:ext uri="{FF2B5EF4-FFF2-40B4-BE49-F238E27FC236}">
              <a16:creationId xmlns:a16="http://schemas.microsoft.com/office/drawing/2014/main" id="{00000000-0008-0000-2200-0000E9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4" name="Flèche gauche 1">
          <a:hlinkClick xmlns:r="http://schemas.openxmlformats.org/officeDocument/2006/relationships" r:id="rId1"/>
          <a:extLst>
            <a:ext uri="{FF2B5EF4-FFF2-40B4-BE49-F238E27FC236}">
              <a16:creationId xmlns:a16="http://schemas.microsoft.com/office/drawing/2014/main" id="{00000000-0008-0000-2200-0000EA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5" name="Flèche gauche 1">
          <a:hlinkClick xmlns:r="http://schemas.openxmlformats.org/officeDocument/2006/relationships" r:id="rId1"/>
          <a:extLst>
            <a:ext uri="{FF2B5EF4-FFF2-40B4-BE49-F238E27FC236}">
              <a16:creationId xmlns:a16="http://schemas.microsoft.com/office/drawing/2014/main" id="{00000000-0008-0000-2200-0000EB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6" name="Flèche gauche 1">
          <a:hlinkClick xmlns:r="http://schemas.openxmlformats.org/officeDocument/2006/relationships" r:id="rId1"/>
          <a:extLst>
            <a:ext uri="{FF2B5EF4-FFF2-40B4-BE49-F238E27FC236}">
              <a16:creationId xmlns:a16="http://schemas.microsoft.com/office/drawing/2014/main" id="{00000000-0008-0000-2200-0000EC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7" name="Flèche gauche 1">
          <a:hlinkClick xmlns:r="http://schemas.openxmlformats.org/officeDocument/2006/relationships" r:id="rId2"/>
          <a:extLst>
            <a:ext uri="{FF2B5EF4-FFF2-40B4-BE49-F238E27FC236}">
              <a16:creationId xmlns:a16="http://schemas.microsoft.com/office/drawing/2014/main" id="{00000000-0008-0000-2200-0000ED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8" name="Flèche gauche 1">
          <a:hlinkClick xmlns:r="http://schemas.openxmlformats.org/officeDocument/2006/relationships" r:id="rId1"/>
          <a:extLst>
            <a:ext uri="{FF2B5EF4-FFF2-40B4-BE49-F238E27FC236}">
              <a16:creationId xmlns:a16="http://schemas.microsoft.com/office/drawing/2014/main" id="{00000000-0008-0000-2200-0000EE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9" name="Flèche gauche 1">
          <a:hlinkClick xmlns:r="http://schemas.openxmlformats.org/officeDocument/2006/relationships" r:id="rId1"/>
          <a:extLst>
            <a:ext uri="{FF2B5EF4-FFF2-40B4-BE49-F238E27FC236}">
              <a16:creationId xmlns:a16="http://schemas.microsoft.com/office/drawing/2014/main" id="{00000000-0008-0000-2200-0000EF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0" name="Flèche gauche 1">
          <a:hlinkClick xmlns:r="http://schemas.openxmlformats.org/officeDocument/2006/relationships" r:id="rId1"/>
          <a:extLst>
            <a:ext uri="{FF2B5EF4-FFF2-40B4-BE49-F238E27FC236}">
              <a16:creationId xmlns:a16="http://schemas.microsoft.com/office/drawing/2014/main" id="{00000000-0008-0000-2200-0000F0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1" name="Flèche gauche 1">
          <a:hlinkClick xmlns:r="http://schemas.openxmlformats.org/officeDocument/2006/relationships" r:id="rId2"/>
          <a:extLst>
            <a:ext uri="{FF2B5EF4-FFF2-40B4-BE49-F238E27FC236}">
              <a16:creationId xmlns:a16="http://schemas.microsoft.com/office/drawing/2014/main" id="{00000000-0008-0000-2200-0000F1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2" name="Flèche gauche 1">
          <a:hlinkClick xmlns:r="http://schemas.openxmlformats.org/officeDocument/2006/relationships" r:id="rId1"/>
          <a:extLst>
            <a:ext uri="{FF2B5EF4-FFF2-40B4-BE49-F238E27FC236}">
              <a16:creationId xmlns:a16="http://schemas.microsoft.com/office/drawing/2014/main" id="{00000000-0008-0000-2200-0000F2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3" name="Flèche gauche 1">
          <a:hlinkClick xmlns:r="http://schemas.openxmlformats.org/officeDocument/2006/relationships" r:id="rId1"/>
          <a:extLst>
            <a:ext uri="{FF2B5EF4-FFF2-40B4-BE49-F238E27FC236}">
              <a16:creationId xmlns:a16="http://schemas.microsoft.com/office/drawing/2014/main" id="{00000000-0008-0000-2200-0000F3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4" name="Flèche gauche 1">
          <a:hlinkClick xmlns:r="http://schemas.openxmlformats.org/officeDocument/2006/relationships" r:id="rId1"/>
          <a:extLst>
            <a:ext uri="{FF2B5EF4-FFF2-40B4-BE49-F238E27FC236}">
              <a16:creationId xmlns:a16="http://schemas.microsoft.com/office/drawing/2014/main" id="{00000000-0008-0000-2200-0000F4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5" name="Flèche gauche 1">
          <a:hlinkClick xmlns:r="http://schemas.openxmlformats.org/officeDocument/2006/relationships" r:id="rId2"/>
          <a:extLst>
            <a:ext uri="{FF2B5EF4-FFF2-40B4-BE49-F238E27FC236}">
              <a16:creationId xmlns:a16="http://schemas.microsoft.com/office/drawing/2014/main" id="{00000000-0008-0000-2200-0000F5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6" name="Flèche gauche 1">
          <a:hlinkClick xmlns:r="http://schemas.openxmlformats.org/officeDocument/2006/relationships" r:id="rId1"/>
          <a:extLst>
            <a:ext uri="{FF2B5EF4-FFF2-40B4-BE49-F238E27FC236}">
              <a16:creationId xmlns:a16="http://schemas.microsoft.com/office/drawing/2014/main" id="{00000000-0008-0000-2200-0000F6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7" name="Flèche gauche 1">
          <a:hlinkClick xmlns:r="http://schemas.openxmlformats.org/officeDocument/2006/relationships" r:id="rId1"/>
          <a:extLst>
            <a:ext uri="{FF2B5EF4-FFF2-40B4-BE49-F238E27FC236}">
              <a16:creationId xmlns:a16="http://schemas.microsoft.com/office/drawing/2014/main" id="{00000000-0008-0000-2200-0000F7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8" name="Flèche gauche 1">
          <a:hlinkClick xmlns:r="http://schemas.openxmlformats.org/officeDocument/2006/relationships" r:id="rId1"/>
          <a:extLst>
            <a:ext uri="{FF2B5EF4-FFF2-40B4-BE49-F238E27FC236}">
              <a16:creationId xmlns:a16="http://schemas.microsoft.com/office/drawing/2014/main" id="{00000000-0008-0000-2200-0000F8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9" name="Flèche gauche 1">
          <a:hlinkClick xmlns:r="http://schemas.openxmlformats.org/officeDocument/2006/relationships" r:id="rId2"/>
          <a:extLst>
            <a:ext uri="{FF2B5EF4-FFF2-40B4-BE49-F238E27FC236}">
              <a16:creationId xmlns:a16="http://schemas.microsoft.com/office/drawing/2014/main" id="{00000000-0008-0000-2200-0000F9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0" name="Flèche gauche 1">
          <a:hlinkClick xmlns:r="http://schemas.openxmlformats.org/officeDocument/2006/relationships" r:id="rId1"/>
          <a:extLst>
            <a:ext uri="{FF2B5EF4-FFF2-40B4-BE49-F238E27FC236}">
              <a16:creationId xmlns:a16="http://schemas.microsoft.com/office/drawing/2014/main" id="{00000000-0008-0000-2200-0000FA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1" name="Flèche gauche 1">
          <a:hlinkClick xmlns:r="http://schemas.openxmlformats.org/officeDocument/2006/relationships" r:id="rId1"/>
          <a:extLst>
            <a:ext uri="{FF2B5EF4-FFF2-40B4-BE49-F238E27FC236}">
              <a16:creationId xmlns:a16="http://schemas.microsoft.com/office/drawing/2014/main" id="{00000000-0008-0000-2200-0000FB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2" name="Flèche gauche 1">
          <a:hlinkClick xmlns:r="http://schemas.openxmlformats.org/officeDocument/2006/relationships" r:id="rId1"/>
          <a:extLst>
            <a:ext uri="{FF2B5EF4-FFF2-40B4-BE49-F238E27FC236}">
              <a16:creationId xmlns:a16="http://schemas.microsoft.com/office/drawing/2014/main" id="{00000000-0008-0000-2200-0000FC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3" name="Flèche gauche 1">
          <a:hlinkClick xmlns:r="http://schemas.openxmlformats.org/officeDocument/2006/relationships" r:id="rId2"/>
          <a:extLst>
            <a:ext uri="{FF2B5EF4-FFF2-40B4-BE49-F238E27FC236}">
              <a16:creationId xmlns:a16="http://schemas.microsoft.com/office/drawing/2014/main" id="{00000000-0008-0000-2200-0000FD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4" name="Flèche gauche 1">
          <a:hlinkClick xmlns:r="http://schemas.openxmlformats.org/officeDocument/2006/relationships" r:id="rId1"/>
          <a:extLst>
            <a:ext uri="{FF2B5EF4-FFF2-40B4-BE49-F238E27FC236}">
              <a16:creationId xmlns:a16="http://schemas.microsoft.com/office/drawing/2014/main" id="{00000000-0008-0000-2200-0000FE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5" name="Flèche gauche 1">
          <a:hlinkClick xmlns:r="http://schemas.openxmlformats.org/officeDocument/2006/relationships" r:id="rId1"/>
          <a:extLst>
            <a:ext uri="{FF2B5EF4-FFF2-40B4-BE49-F238E27FC236}">
              <a16:creationId xmlns:a16="http://schemas.microsoft.com/office/drawing/2014/main" id="{00000000-0008-0000-2200-0000FF00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6" name="Flèche gauche 1">
          <a:hlinkClick xmlns:r="http://schemas.openxmlformats.org/officeDocument/2006/relationships" r:id="rId1"/>
          <a:extLst>
            <a:ext uri="{FF2B5EF4-FFF2-40B4-BE49-F238E27FC236}">
              <a16:creationId xmlns:a16="http://schemas.microsoft.com/office/drawing/2014/main" id="{00000000-0008-0000-2200-00000001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7" name="Flèche gauche 1">
          <a:hlinkClick xmlns:r="http://schemas.openxmlformats.org/officeDocument/2006/relationships" r:id="rId2"/>
          <a:extLst>
            <a:ext uri="{FF2B5EF4-FFF2-40B4-BE49-F238E27FC236}">
              <a16:creationId xmlns:a16="http://schemas.microsoft.com/office/drawing/2014/main" id="{00000000-0008-0000-2200-000001010000}"/>
            </a:ext>
          </a:extLst>
        </xdr:cNvPr>
        <xdr:cNvSpPr/>
      </xdr:nvSpPr>
      <xdr:spPr bwMode="auto">
        <a:xfrm>
          <a:off x="76200" y="60960"/>
          <a:ext cx="381000" cy="2425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 name="Flèche gauche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 name="Flèche gauche 1">
          <a:hlinkClick xmlns:r="http://schemas.openxmlformats.org/officeDocument/2006/relationships" r:id="rId1"/>
          <a:extLst>
            <a:ext uri="{FF2B5EF4-FFF2-40B4-BE49-F238E27FC236}">
              <a16:creationId xmlns:a16="http://schemas.microsoft.com/office/drawing/2014/main" id="{00000000-0008-0000-2300-000003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 name="Flèche gauche 1">
          <a:hlinkClick xmlns:r="http://schemas.openxmlformats.org/officeDocument/2006/relationships" r:id="rId1"/>
          <a:extLst>
            <a:ext uri="{FF2B5EF4-FFF2-40B4-BE49-F238E27FC236}">
              <a16:creationId xmlns:a16="http://schemas.microsoft.com/office/drawing/2014/main" id="{00000000-0008-0000-2300-000004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 name="Flèche gauche 1">
          <a:hlinkClick xmlns:r="http://schemas.openxmlformats.org/officeDocument/2006/relationships" r:id="rId2"/>
          <a:extLst>
            <a:ext uri="{FF2B5EF4-FFF2-40B4-BE49-F238E27FC236}">
              <a16:creationId xmlns:a16="http://schemas.microsoft.com/office/drawing/2014/main" id="{00000000-0008-0000-2300-000005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 name="Flèche gauche 1">
          <a:hlinkClick xmlns:r="http://schemas.openxmlformats.org/officeDocument/2006/relationships" r:id="rId1"/>
          <a:extLst>
            <a:ext uri="{FF2B5EF4-FFF2-40B4-BE49-F238E27FC236}">
              <a16:creationId xmlns:a16="http://schemas.microsoft.com/office/drawing/2014/main" id="{00000000-0008-0000-2300-000006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 name="Flèche gauche 1">
          <a:hlinkClick xmlns:r="http://schemas.openxmlformats.org/officeDocument/2006/relationships" r:id="rId1"/>
          <a:extLst>
            <a:ext uri="{FF2B5EF4-FFF2-40B4-BE49-F238E27FC236}">
              <a16:creationId xmlns:a16="http://schemas.microsoft.com/office/drawing/2014/main" id="{00000000-0008-0000-2300-000007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 name="Flèche gauche 1">
          <a:hlinkClick xmlns:r="http://schemas.openxmlformats.org/officeDocument/2006/relationships" r:id="rId1"/>
          <a:extLst>
            <a:ext uri="{FF2B5EF4-FFF2-40B4-BE49-F238E27FC236}">
              <a16:creationId xmlns:a16="http://schemas.microsoft.com/office/drawing/2014/main" id="{00000000-0008-0000-2300-000008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 name="Flèche gauche 1">
          <a:hlinkClick xmlns:r="http://schemas.openxmlformats.org/officeDocument/2006/relationships" r:id="rId2"/>
          <a:extLst>
            <a:ext uri="{FF2B5EF4-FFF2-40B4-BE49-F238E27FC236}">
              <a16:creationId xmlns:a16="http://schemas.microsoft.com/office/drawing/2014/main" id="{00000000-0008-0000-2300-000009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 name="Flèche gauche 1">
          <a:hlinkClick xmlns:r="http://schemas.openxmlformats.org/officeDocument/2006/relationships" r:id="rId1"/>
          <a:extLst>
            <a:ext uri="{FF2B5EF4-FFF2-40B4-BE49-F238E27FC236}">
              <a16:creationId xmlns:a16="http://schemas.microsoft.com/office/drawing/2014/main" id="{00000000-0008-0000-2300-00000A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 name="Flèche gauche 1">
          <a:hlinkClick xmlns:r="http://schemas.openxmlformats.org/officeDocument/2006/relationships" r:id="rId1"/>
          <a:extLst>
            <a:ext uri="{FF2B5EF4-FFF2-40B4-BE49-F238E27FC236}">
              <a16:creationId xmlns:a16="http://schemas.microsoft.com/office/drawing/2014/main" id="{00000000-0008-0000-2300-00000B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 name="Flèche gauche 1">
          <a:hlinkClick xmlns:r="http://schemas.openxmlformats.org/officeDocument/2006/relationships" r:id="rId1"/>
          <a:extLst>
            <a:ext uri="{FF2B5EF4-FFF2-40B4-BE49-F238E27FC236}">
              <a16:creationId xmlns:a16="http://schemas.microsoft.com/office/drawing/2014/main" id="{00000000-0008-0000-2300-00000C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 name="Flèche gauche 1">
          <a:hlinkClick xmlns:r="http://schemas.openxmlformats.org/officeDocument/2006/relationships" r:id="rId2"/>
          <a:extLst>
            <a:ext uri="{FF2B5EF4-FFF2-40B4-BE49-F238E27FC236}">
              <a16:creationId xmlns:a16="http://schemas.microsoft.com/office/drawing/2014/main" id="{00000000-0008-0000-2300-00000D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 name="Flèche gauche 1">
          <a:hlinkClick xmlns:r="http://schemas.openxmlformats.org/officeDocument/2006/relationships" r:id="rId1"/>
          <a:extLst>
            <a:ext uri="{FF2B5EF4-FFF2-40B4-BE49-F238E27FC236}">
              <a16:creationId xmlns:a16="http://schemas.microsoft.com/office/drawing/2014/main" id="{00000000-0008-0000-2300-00000E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 name="Flèche gauche 1">
          <a:hlinkClick xmlns:r="http://schemas.openxmlformats.org/officeDocument/2006/relationships" r:id="rId1"/>
          <a:extLst>
            <a:ext uri="{FF2B5EF4-FFF2-40B4-BE49-F238E27FC236}">
              <a16:creationId xmlns:a16="http://schemas.microsoft.com/office/drawing/2014/main" id="{00000000-0008-0000-2300-00000F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 name="Flèche gauche 1">
          <a:hlinkClick xmlns:r="http://schemas.openxmlformats.org/officeDocument/2006/relationships" r:id="rId1"/>
          <a:extLst>
            <a:ext uri="{FF2B5EF4-FFF2-40B4-BE49-F238E27FC236}">
              <a16:creationId xmlns:a16="http://schemas.microsoft.com/office/drawing/2014/main" id="{00000000-0008-0000-2300-000010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 name="Flèche gauche 1">
          <a:hlinkClick xmlns:r="http://schemas.openxmlformats.org/officeDocument/2006/relationships" r:id="rId2"/>
          <a:extLst>
            <a:ext uri="{FF2B5EF4-FFF2-40B4-BE49-F238E27FC236}">
              <a16:creationId xmlns:a16="http://schemas.microsoft.com/office/drawing/2014/main" id="{00000000-0008-0000-2300-000011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 name="Flèche gauche 1">
          <a:hlinkClick xmlns:r="http://schemas.openxmlformats.org/officeDocument/2006/relationships" r:id="rId1"/>
          <a:extLst>
            <a:ext uri="{FF2B5EF4-FFF2-40B4-BE49-F238E27FC236}">
              <a16:creationId xmlns:a16="http://schemas.microsoft.com/office/drawing/2014/main" id="{00000000-0008-0000-2300-000012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 name="Flèche gauche 1">
          <a:hlinkClick xmlns:r="http://schemas.openxmlformats.org/officeDocument/2006/relationships" r:id="rId1"/>
          <a:extLst>
            <a:ext uri="{FF2B5EF4-FFF2-40B4-BE49-F238E27FC236}">
              <a16:creationId xmlns:a16="http://schemas.microsoft.com/office/drawing/2014/main" id="{00000000-0008-0000-2300-000013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 name="Flèche gauche 1">
          <a:hlinkClick xmlns:r="http://schemas.openxmlformats.org/officeDocument/2006/relationships" r:id="rId1"/>
          <a:extLst>
            <a:ext uri="{FF2B5EF4-FFF2-40B4-BE49-F238E27FC236}">
              <a16:creationId xmlns:a16="http://schemas.microsoft.com/office/drawing/2014/main" id="{00000000-0008-0000-2300-000014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 name="Flèche gauche 1">
          <a:hlinkClick xmlns:r="http://schemas.openxmlformats.org/officeDocument/2006/relationships" r:id="rId2"/>
          <a:extLst>
            <a:ext uri="{FF2B5EF4-FFF2-40B4-BE49-F238E27FC236}">
              <a16:creationId xmlns:a16="http://schemas.microsoft.com/office/drawing/2014/main" id="{00000000-0008-0000-2300-000015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 name="Flèche gauche 1">
          <a:hlinkClick xmlns:r="http://schemas.openxmlformats.org/officeDocument/2006/relationships" r:id="rId1"/>
          <a:extLst>
            <a:ext uri="{FF2B5EF4-FFF2-40B4-BE49-F238E27FC236}">
              <a16:creationId xmlns:a16="http://schemas.microsoft.com/office/drawing/2014/main" id="{00000000-0008-0000-2300-000016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 name="Flèche gauche 1">
          <a:hlinkClick xmlns:r="http://schemas.openxmlformats.org/officeDocument/2006/relationships" r:id="rId1"/>
          <a:extLst>
            <a:ext uri="{FF2B5EF4-FFF2-40B4-BE49-F238E27FC236}">
              <a16:creationId xmlns:a16="http://schemas.microsoft.com/office/drawing/2014/main" id="{00000000-0008-0000-2300-000017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 name="Flèche gauche 1">
          <a:hlinkClick xmlns:r="http://schemas.openxmlformats.org/officeDocument/2006/relationships" r:id="rId1"/>
          <a:extLst>
            <a:ext uri="{FF2B5EF4-FFF2-40B4-BE49-F238E27FC236}">
              <a16:creationId xmlns:a16="http://schemas.microsoft.com/office/drawing/2014/main" id="{00000000-0008-0000-2300-000018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 name="Flèche gauche 1">
          <a:hlinkClick xmlns:r="http://schemas.openxmlformats.org/officeDocument/2006/relationships" r:id="rId2"/>
          <a:extLst>
            <a:ext uri="{FF2B5EF4-FFF2-40B4-BE49-F238E27FC236}">
              <a16:creationId xmlns:a16="http://schemas.microsoft.com/office/drawing/2014/main" id="{00000000-0008-0000-2300-000019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 name="Flèche gauche 1">
          <a:hlinkClick xmlns:r="http://schemas.openxmlformats.org/officeDocument/2006/relationships" r:id="rId1"/>
          <a:extLst>
            <a:ext uri="{FF2B5EF4-FFF2-40B4-BE49-F238E27FC236}">
              <a16:creationId xmlns:a16="http://schemas.microsoft.com/office/drawing/2014/main" id="{00000000-0008-0000-2300-00001A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 name="Flèche gauche 1">
          <a:hlinkClick xmlns:r="http://schemas.openxmlformats.org/officeDocument/2006/relationships" r:id="rId1"/>
          <a:extLst>
            <a:ext uri="{FF2B5EF4-FFF2-40B4-BE49-F238E27FC236}">
              <a16:creationId xmlns:a16="http://schemas.microsoft.com/office/drawing/2014/main" id="{00000000-0008-0000-2300-00001B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 name="Flèche gauche 1">
          <a:hlinkClick xmlns:r="http://schemas.openxmlformats.org/officeDocument/2006/relationships" r:id="rId1"/>
          <a:extLst>
            <a:ext uri="{FF2B5EF4-FFF2-40B4-BE49-F238E27FC236}">
              <a16:creationId xmlns:a16="http://schemas.microsoft.com/office/drawing/2014/main" id="{00000000-0008-0000-2300-00001C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 name="Flèche gauche 1">
          <a:hlinkClick xmlns:r="http://schemas.openxmlformats.org/officeDocument/2006/relationships" r:id="rId2"/>
          <a:extLst>
            <a:ext uri="{FF2B5EF4-FFF2-40B4-BE49-F238E27FC236}">
              <a16:creationId xmlns:a16="http://schemas.microsoft.com/office/drawing/2014/main" id="{00000000-0008-0000-2300-00001D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 name="Flèche gauche 1">
          <a:hlinkClick xmlns:r="http://schemas.openxmlformats.org/officeDocument/2006/relationships" r:id="rId1"/>
          <a:extLst>
            <a:ext uri="{FF2B5EF4-FFF2-40B4-BE49-F238E27FC236}">
              <a16:creationId xmlns:a16="http://schemas.microsoft.com/office/drawing/2014/main" id="{00000000-0008-0000-2300-00001E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 name="Flèche gauche 1">
          <a:hlinkClick xmlns:r="http://schemas.openxmlformats.org/officeDocument/2006/relationships" r:id="rId1"/>
          <a:extLst>
            <a:ext uri="{FF2B5EF4-FFF2-40B4-BE49-F238E27FC236}">
              <a16:creationId xmlns:a16="http://schemas.microsoft.com/office/drawing/2014/main" id="{00000000-0008-0000-2300-00001F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 name="Flèche gauche 1">
          <a:hlinkClick xmlns:r="http://schemas.openxmlformats.org/officeDocument/2006/relationships" r:id="rId1"/>
          <a:extLst>
            <a:ext uri="{FF2B5EF4-FFF2-40B4-BE49-F238E27FC236}">
              <a16:creationId xmlns:a16="http://schemas.microsoft.com/office/drawing/2014/main" id="{00000000-0008-0000-2300-000020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 name="Flèche gauche 1">
          <a:hlinkClick xmlns:r="http://schemas.openxmlformats.org/officeDocument/2006/relationships" r:id="rId2"/>
          <a:extLst>
            <a:ext uri="{FF2B5EF4-FFF2-40B4-BE49-F238E27FC236}">
              <a16:creationId xmlns:a16="http://schemas.microsoft.com/office/drawing/2014/main" id="{00000000-0008-0000-2300-000021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 name="Flèche gauche 1">
          <a:hlinkClick xmlns:r="http://schemas.openxmlformats.org/officeDocument/2006/relationships" r:id="rId1"/>
          <a:extLst>
            <a:ext uri="{FF2B5EF4-FFF2-40B4-BE49-F238E27FC236}">
              <a16:creationId xmlns:a16="http://schemas.microsoft.com/office/drawing/2014/main" id="{00000000-0008-0000-2300-000022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 name="Flèche gauche 1">
          <a:hlinkClick xmlns:r="http://schemas.openxmlformats.org/officeDocument/2006/relationships" r:id="rId1"/>
          <a:extLst>
            <a:ext uri="{FF2B5EF4-FFF2-40B4-BE49-F238E27FC236}">
              <a16:creationId xmlns:a16="http://schemas.microsoft.com/office/drawing/2014/main" id="{00000000-0008-0000-2300-000023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 name="Flèche gauche 1">
          <a:hlinkClick xmlns:r="http://schemas.openxmlformats.org/officeDocument/2006/relationships" r:id="rId1"/>
          <a:extLst>
            <a:ext uri="{FF2B5EF4-FFF2-40B4-BE49-F238E27FC236}">
              <a16:creationId xmlns:a16="http://schemas.microsoft.com/office/drawing/2014/main" id="{00000000-0008-0000-2300-000024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 name="Flèche gauche 1">
          <a:hlinkClick xmlns:r="http://schemas.openxmlformats.org/officeDocument/2006/relationships" r:id="rId2"/>
          <a:extLst>
            <a:ext uri="{FF2B5EF4-FFF2-40B4-BE49-F238E27FC236}">
              <a16:creationId xmlns:a16="http://schemas.microsoft.com/office/drawing/2014/main" id="{00000000-0008-0000-2300-000025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8" name="Flèche gauche 1">
          <a:hlinkClick xmlns:r="http://schemas.openxmlformats.org/officeDocument/2006/relationships" r:id="rId1"/>
          <a:extLst>
            <a:ext uri="{FF2B5EF4-FFF2-40B4-BE49-F238E27FC236}">
              <a16:creationId xmlns:a16="http://schemas.microsoft.com/office/drawing/2014/main" id="{00000000-0008-0000-2300-000026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9" name="Flèche gauche 1">
          <a:hlinkClick xmlns:r="http://schemas.openxmlformats.org/officeDocument/2006/relationships" r:id="rId1"/>
          <a:extLst>
            <a:ext uri="{FF2B5EF4-FFF2-40B4-BE49-F238E27FC236}">
              <a16:creationId xmlns:a16="http://schemas.microsoft.com/office/drawing/2014/main" id="{00000000-0008-0000-2300-000027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0" name="Flèche gauche 1">
          <a:hlinkClick xmlns:r="http://schemas.openxmlformats.org/officeDocument/2006/relationships" r:id="rId1"/>
          <a:extLst>
            <a:ext uri="{FF2B5EF4-FFF2-40B4-BE49-F238E27FC236}">
              <a16:creationId xmlns:a16="http://schemas.microsoft.com/office/drawing/2014/main" id="{00000000-0008-0000-2300-000028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1" name="Flèche gauche 1">
          <a:hlinkClick xmlns:r="http://schemas.openxmlformats.org/officeDocument/2006/relationships" r:id="rId2"/>
          <a:extLst>
            <a:ext uri="{FF2B5EF4-FFF2-40B4-BE49-F238E27FC236}">
              <a16:creationId xmlns:a16="http://schemas.microsoft.com/office/drawing/2014/main" id="{00000000-0008-0000-2300-000029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2" name="Flèche gauche 1">
          <a:hlinkClick xmlns:r="http://schemas.openxmlformats.org/officeDocument/2006/relationships" r:id="rId1"/>
          <a:extLst>
            <a:ext uri="{FF2B5EF4-FFF2-40B4-BE49-F238E27FC236}">
              <a16:creationId xmlns:a16="http://schemas.microsoft.com/office/drawing/2014/main" id="{00000000-0008-0000-2300-00002A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3" name="Flèche gauche 1">
          <a:hlinkClick xmlns:r="http://schemas.openxmlformats.org/officeDocument/2006/relationships" r:id="rId1"/>
          <a:extLst>
            <a:ext uri="{FF2B5EF4-FFF2-40B4-BE49-F238E27FC236}">
              <a16:creationId xmlns:a16="http://schemas.microsoft.com/office/drawing/2014/main" id="{00000000-0008-0000-2300-00002B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4" name="Flèche gauche 1">
          <a:hlinkClick xmlns:r="http://schemas.openxmlformats.org/officeDocument/2006/relationships" r:id="rId1"/>
          <a:extLst>
            <a:ext uri="{FF2B5EF4-FFF2-40B4-BE49-F238E27FC236}">
              <a16:creationId xmlns:a16="http://schemas.microsoft.com/office/drawing/2014/main" id="{00000000-0008-0000-2300-00002C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5" name="Flèche gauche 1">
          <a:hlinkClick xmlns:r="http://schemas.openxmlformats.org/officeDocument/2006/relationships" r:id="rId2"/>
          <a:extLst>
            <a:ext uri="{FF2B5EF4-FFF2-40B4-BE49-F238E27FC236}">
              <a16:creationId xmlns:a16="http://schemas.microsoft.com/office/drawing/2014/main" id="{00000000-0008-0000-2300-00002D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6" name="Flèche gauche 1">
          <a:hlinkClick xmlns:r="http://schemas.openxmlformats.org/officeDocument/2006/relationships" r:id="rId1"/>
          <a:extLst>
            <a:ext uri="{FF2B5EF4-FFF2-40B4-BE49-F238E27FC236}">
              <a16:creationId xmlns:a16="http://schemas.microsoft.com/office/drawing/2014/main" id="{00000000-0008-0000-2300-00002E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7" name="Flèche gauche 1">
          <a:hlinkClick xmlns:r="http://schemas.openxmlformats.org/officeDocument/2006/relationships" r:id="rId1"/>
          <a:extLst>
            <a:ext uri="{FF2B5EF4-FFF2-40B4-BE49-F238E27FC236}">
              <a16:creationId xmlns:a16="http://schemas.microsoft.com/office/drawing/2014/main" id="{00000000-0008-0000-2300-00002F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8" name="Flèche gauche 1">
          <a:hlinkClick xmlns:r="http://schemas.openxmlformats.org/officeDocument/2006/relationships" r:id="rId1"/>
          <a:extLst>
            <a:ext uri="{FF2B5EF4-FFF2-40B4-BE49-F238E27FC236}">
              <a16:creationId xmlns:a16="http://schemas.microsoft.com/office/drawing/2014/main" id="{00000000-0008-0000-2300-000030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9" name="Flèche gauche 1">
          <a:hlinkClick xmlns:r="http://schemas.openxmlformats.org/officeDocument/2006/relationships" r:id="rId2"/>
          <a:extLst>
            <a:ext uri="{FF2B5EF4-FFF2-40B4-BE49-F238E27FC236}">
              <a16:creationId xmlns:a16="http://schemas.microsoft.com/office/drawing/2014/main" id="{00000000-0008-0000-2300-000031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0" name="Flèche gauche 1">
          <a:hlinkClick xmlns:r="http://schemas.openxmlformats.org/officeDocument/2006/relationships" r:id="rId1"/>
          <a:extLst>
            <a:ext uri="{FF2B5EF4-FFF2-40B4-BE49-F238E27FC236}">
              <a16:creationId xmlns:a16="http://schemas.microsoft.com/office/drawing/2014/main" id="{00000000-0008-0000-2300-000032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1" name="Flèche gauche 1">
          <a:hlinkClick xmlns:r="http://schemas.openxmlformats.org/officeDocument/2006/relationships" r:id="rId1"/>
          <a:extLst>
            <a:ext uri="{FF2B5EF4-FFF2-40B4-BE49-F238E27FC236}">
              <a16:creationId xmlns:a16="http://schemas.microsoft.com/office/drawing/2014/main" id="{00000000-0008-0000-2300-000033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 name="Flèche gauche 1">
          <a:hlinkClick xmlns:r="http://schemas.openxmlformats.org/officeDocument/2006/relationships" r:id="rId1"/>
          <a:extLst>
            <a:ext uri="{FF2B5EF4-FFF2-40B4-BE49-F238E27FC236}">
              <a16:creationId xmlns:a16="http://schemas.microsoft.com/office/drawing/2014/main" id="{00000000-0008-0000-2300-000034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 name="Flèche gauche 1">
          <a:hlinkClick xmlns:r="http://schemas.openxmlformats.org/officeDocument/2006/relationships" r:id="rId2"/>
          <a:extLst>
            <a:ext uri="{FF2B5EF4-FFF2-40B4-BE49-F238E27FC236}">
              <a16:creationId xmlns:a16="http://schemas.microsoft.com/office/drawing/2014/main" id="{00000000-0008-0000-2300-000035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 name="Flèche gauche 1">
          <a:hlinkClick xmlns:r="http://schemas.openxmlformats.org/officeDocument/2006/relationships" r:id="rId1"/>
          <a:extLst>
            <a:ext uri="{FF2B5EF4-FFF2-40B4-BE49-F238E27FC236}">
              <a16:creationId xmlns:a16="http://schemas.microsoft.com/office/drawing/2014/main" id="{00000000-0008-0000-2300-000036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 name="Flèche gauche 1">
          <a:hlinkClick xmlns:r="http://schemas.openxmlformats.org/officeDocument/2006/relationships" r:id="rId1"/>
          <a:extLst>
            <a:ext uri="{FF2B5EF4-FFF2-40B4-BE49-F238E27FC236}">
              <a16:creationId xmlns:a16="http://schemas.microsoft.com/office/drawing/2014/main" id="{00000000-0008-0000-2300-000037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 name="Flèche gauche 1">
          <a:hlinkClick xmlns:r="http://schemas.openxmlformats.org/officeDocument/2006/relationships" r:id="rId1"/>
          <a:extLst>
            <a:ext uri="{FF2B5EF4-FFF2-40B4-BE49-F238E27FC236}">
              <a16:creationId xmlns:a16="http://schemas.microsoft.com/office/drawing/2014/main" id="{00000000-0008-0000-2300-000038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 name="Flèche gauche 1">
          <a:hlinkClick xmlns:r="http://schemas.openxmlformats.org/officeDocument/2006/relationships" r:id="rId2"/>
          <a:extLst>
            <a:ext uri="{FF2B5EF4-FFF2-40B4-BE49-F238E27FC236}">
              <a16:creationId xmlns:a16="http://schemas.microsoft.com/office/drawing/2014/main" id="{00000000-0008-0000-2300-000039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 name="Flèche gauche 1">
          <a:hlinkClick xmlns:r="http://schemas.openxmlformats.org/officeDocument/2006/relationships" r:id="rId1"/>
          <a:extLst>
            <a:ext uri="{FF2B5EF4-FFF2-40B4-BE49-F238E27FC236}">
              <a16:creationId xmlns:a16="http://schemas.microsoft.com/office/drawing/2014/main" id="{00000000-0008-0000-2300-00003A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 name="Flèche gauche 1">
          <a:hlinkClick xmlns:r="http://schemas.openxmlformats.org/officeDocument/2006/relationships" r:id="rId1"/>
          <a:extLst>
            <a:ext uri="{FF2B5EF4-FFF2-40B4-BE49-F238E27FC236}">
              <a16:creationId xmlns:a16="http://schemas.microsoft.com/office/drawing/2014/main" id="{00000000-0008-0000-2300-00003B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 name="Flèche gauche 1">
          <a:hlinkClick xmlns:r="http://schemas.openxmlformats.org/officeDocument/2006/relationships" r:id="rId1"/>
          <a:extLst>
            <a:ext uri="{FF2B5EF4-FFF2-40B4-BE49-F238E27FC236}">
              <a16:creationId xmlns:a16="http://schemas.microsoft.com/office/drawing/2014/main" id="{00000000-0008-0000-2300-00003C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 name="Flèche gauche 1">
          <a:hlinkClick xmlns:r="http://schemas.openxmlformats.org/officeDocument/2006/relationships" r:id="rId2"/>
          <a:extLst>
            <a:ext uri="{FF2B5EF4-FFF2-40B4-BE49-F238E27FC236}">
              <a16:creationId xmlns:a16="http://schemas.microsoft.com/office/drawing/2014/main" id="{00000000-0008-0000-2300-00003D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 name="Flèche gauche 1">
          <a:hlinkClick xmlns:r="http://schemas.openxmlformats.org/officeDocument/2006/relationships" r:id="rId1"/>
          <a:extLst>
            <a:ext uri="{FF2B5EF4-FFF2-40B4-BE49-F238E27FC236}">
              <a16:creationId xmlns:a16="http://schemas.microsoft.com/office/drawing/2014/main" id="{00000000-0008-0000-2300-00003E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 name="Flèche gauche 1">
          <a:hlinkClick xmlns:r="http://schemas.openxmlformats.org/officeDocument/2006/relationships" r:id="rId1"/>
          <a:extLst>
            <a:ext uri="{FF2B5EF4-FFF2-40B4-BE49-F238E27FC236}">
              <a16:creationId xmlns:a16="http://schemas.microsoft.com/office/drawing/2014/main" id="{00000000-0008-0000-2300-00003F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 name="Flèche gauche 1">
          <a:hlinkClick xmlns:r="http://schemas.openxmlformats.org/officeDocument/2006/relationships" r:id="rId1"/>
          <a:extLst>
            <a:ext uri="{FF2B5EF4-FFF2-40B4-BE49-F238E27FC236}">
              <a16:creationId xmlns:a16="http://schemas.microsoft.com/office/drawing/2014/main" id="{00000000-0008-0000-2300-000040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 name="Flèche gauche 1">
          <a:hlinkClick xmlns:r="http://schemas.openxmlformats.org/officeDocument/2006/relationships" r:id="rId2"/>
          <a:extLst>
            <a:ext uri="{FF2B5EF4-FFF2-40B4-BE49-F238E27FC236}">
              <a16:creationId xmlns:a16="http://schemas.microsoft.com/office/drawing/2014/main" id="{00000000-0008-0000-2300-000041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 name="Flèche gauche 1">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 name="Flèche gauche 1">
          <a:hlinkClick xmlns:r="http://schemas.openxmlformats.org/officeDocument/2006/relationships" r:id="rId1"/>
          <a:extLst>
            <a:ext uri="{FF2B5EF4-FFF2-40B4-BE49-F238E27FC236}">
              <a16:creationId xmlns:a16="http://schemas.microsoft.com/office/drawing/2014/main" id="{00000000-0008-0000-2400-000003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 name="Flèche gauche 1">
          <a:hlinkClick xmlns:r="http://schemas.openxmlformats.org/officeDocument/2006/relationships" r:id="rId1"/>
          <a:extLst>
            <a:ext uri="{FF2B5EF4-FFF2-40B4-BE49-F238E27FC236}">
              <a16:creationId xmlns:a16="http://schemas.microsoft.com/office/drawing/2014/main" id="{00000000-0008-0000-2400-000004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 name="Flèche gauche 1">
          <a:hlinkClick xmlns:r="http://schemas.openxmlformats.org/officeDocument/2006/relationships" r:id="rId2"/>
          <a:extLst>
            <a:ext uri="{FF2B5EF4-FFF2-40B4-BE49-F238E27FC236}">
              <a16:creationId xmlns:a16="http://schemas.microsoft.com/office/drawing/2014/main" id="{00000000-0008-0000-2400-000005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 name="Flèche gauche 1">
          <a:hlinkClick xmlns:r="http://schemas.openxmlformats.org/officeDocument/2006/relationships" r:id="rId1"/>
          <a:extLst>
            <a:ext uri="{FF2B5EF4-FFF2-40B4-BE49-F238E27FC236}">
              <a16:creationId xmlns:a16="http://schemas.microsoft.com/office/drawing/2014/main" id="{00000000-0008-0000-2400-000006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 name="Flèche gauche 1">
          <a:hlinkClick xmlns:r="http://schemas.openxmlformats.org/officeDocument/2006/relationships" r:id="rId1"/>
          <a:extLst>
            <a:ext uri="{FF2B5EF4-FFF2-40B4-BE49-F238E27FC236}">
              <a16:creationId xmlns:a16="http://schemas.microsoft.com/office/drawing/2014/main" id="{00000000-0008-0000-2400-000007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 name="Flèche gauche 1">
          <a:hlinkClick xmlns:r="http://schemas.openxmlformats.org/officeDocument/2006/relationships" r:id="rId1"/>
          <a:extLst>
            <a:ext uri="{FF2B5EF4-FFF2-40B4-BE49-F238E27FC236}">
              <a16:creationId xmlns:a16="http://schemas.microsoft.com/office/drawing/2014/main" id="{00000000-0008-0000-2400-000008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 name="Flèche gauche 1">
          <a:hlinkClick xmlns:r="http://schemas.openxmlformats.org/officeDocument/2006/relationships" r:id="rId2"/>
          <a:extLst>
            <a:ext uri="{FF2B5EF4-FFF2-40B4-BE49-F238E27FC236}">
              <a16:creationId xmlns:a16="http://schemas.microsoft.com/office/drawing/2014/main" id="{00000000-0008-0000-2400-000009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 name="Flèche gauche 1">
          <a:hlinkClick xmlns:r="http://schemas.openxmlformats.org/officeDocument/2006/relationships" r:id="rId1"/>
          <a:extLst>
            <a:ext uri="{FF2B5EF4-FFF2-40B4-BE49-F238E27FC236}">
              <a16:creationId xmlns:a16="http://schemas.microsoft.com/office/drawing/2014/main" id="{00000000-0008-0000-2400-00000A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 name="Flèche gauche 1">
          <a:hlinkClick xmlns:r="http://schemas.openxmlformats.org/officeDocument/2006/relationships" r:id="rId1"/>
          <a:extLst>
            <a:ext uri="{FF2B5EF4-FFF2-40B4-BE49-F238E27FC236}">
              <a16:creationId xmlns:a16="http://schemas.microsoft.com/office/drawing/2014/main" id="{00000000-0008-0000-2400-00000B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 name="Flèche gauche 1">
          <a:hlinkClick xmlns:r="http://schemas.openxmlformats.org/officeDocument/2006/relationships" r:id="rId1"/>
          <a:extLst>
            <a:ext uri="{FF2B5EF4-FFF2-40B4-BE49-F238E27FC236}">
              <a16:creationId xmlns:a16="http://schemas.microsoft.com/office/drawing/2014/main" id="{00000000-0008-0000-2400-00000C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 name="Flèche gauche 1">
          <a:hlinkClick xmlns:r="http://schemas.openxmlformats.org/officeDocument/2006/relationships" r:id="rId2"/>
          <a:extLst>
            <a:ext uri="{FF2B5EF4-FFF2-40B4-BE49-F238E27FC236}">
              <a16:creationId xmlns:a16="http://schemas.microsoft.com/office/drawing/2014/main" id="{00000000-0008-0000-2400-00000D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4" name="Flèche gauche 1">
          <a:hlinkClick xmlns:r="http://schemas.openxmlformats.org/officeDocument/2006/relationships" r:id="rId1"/>
          <a:extLst>
            <a:ext uri="{FF2B5EF4-FFF2-40B4-BE49-F238E27FC236}">
              <a16:creationId xmlns:a16="http://schemas.microsoft.com/office/drawing/2014/main" id="{00000000-0008-0000-2400-00000E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5" name="Flèche gauche 1">
          <a:hlinkClick xmlns:r="http://schemas.openxmlformats.org/officeDocument/2006/relationships" r:id="rId1"/>
          <a:extLst>
            <a:ext uri="{FF2B5EF4-FFF2-40B4-BE49-F238E27FC236}">
              <a16:creationId xmlns:a16="http://schemas.microsoft.com/office/drawing/2014/main" id="{00000000-0008-0000-2400-00000F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6" name="Flèche gauche 1">
          <a:hlinkClick xmlns:r="http://schemas.openxmlformats.org/officeDocument/2006/relationships" r:id="rId1"/>
          <a:extLst>
            <a:ext uri="{FF2B5EF4-FFF2-40B4-BE49-F238E27FC236}">
              <a16:creationId xmlns:a16="http://schemas.microsoft.com/office/drawing/2014/main" id="{00000000-0008-0000-2400-000010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7" name="Flèche gauche 1">
          <a:hlinkClick xmlns:r="http://schemas.openxmlformats.org/officeDocument/2006/relationships" r:id="rId2"/>
          <a:extLst>
            <a:ext uri="{FF2B5EF4-FFF2-40B4-BE49-F238E27FC236}">
              <a16:creationId xmlns:a16="http://schemas.microsoft.com/office/drawing/2014/main" id="{00000000-0008-0000-2400-000011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8" name="Flèche gauche 1">
          <a:hlinkClick xmlns:r="http://schemas.openxmlformats.org/officeDocument/2006/relationships" r:id="rId1"/>
          <a:extLst>
            <a:ext uri="{FF2B5EF4-FFF2-40B4-BE49-F238E27FC236}">
              <a16:creationId xmlns:a16="http://schemas.microsoft.com/office/drawing/2014/main" id="{00000000-0008-0000-2400-000012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9" name="Flèche gauche 1">
          <a:hlinkClick xmlns:r="http://schemas.openxmlformats.org/officeDocument/2006/relationships" r:id="rId1"/>
          <a:extLst>
            <a:ext uri="{FF2B5EF4-FFF2-40B4-BE49-F238E27FC236}">
              <a16:creationId xmlns:a16="http://schemas.microsoft.com/office/drawing/2014/main" id="{00000000-0008-0000-2400-000013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0" name="Flèche gauche 1">
          <a:hlinkClick xmlns:r="http://schemas.openxmlformats.org/officeDocument/2006/relationships" r:id="rId1"/>
          <a:extLst>
            <a:ext uri="{FF2B5EF4-FFF2-40B4-BE49-F238E27FC236}">
              <a16:creationId xmlns:a16="http://schemas.microsoft.com/office/drawing/2014/main" id="{00000000-0008-0000-2400-000014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1" name="Flèche gauche 1">
          <a:hlinkClick xmlns:r="http://schemas.openxmlformats.org/officeDocument/2006/relationships" r:id="rId2"/>
          <a:extLst>
            <a:ext uri="{FF2B5EF4-FFF2-40B4-BE49-F238E27FC236}">
              <a16:creationId xmlns:a16="http://schemas.microsoft.com/office/drawing/2014/main" id="{00000000-0008-0000-2400-000015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2" name="Flèche gauche 1">
          <a:hlinkClick xmlns:r="http://schemas.openxmlformats.org/officeDocument/2006/relationships" r:id="rId1"/>
          <a:extLst>
            <a:ext uri="{FF2B5EF4-FFF2-40B4-BE49-F238E27FC236}">
              <a16:creationId xmlns:a16="http://schemas.microsoft.com/office/drawing/2014/main" id="{00000000-0008-0000-2400-000016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3" name="Flèche gauche 1">
          <a:hlinkClick xmlns:r="http://schemas.openxmlformats.org/officeDocument/2006/relationships" r:id="rId1"/>
          <a:extLst>
            <a:ext uri="{FF2B5EF4-FFF2-40B4-BE49-F238E27FC236}">
              <a16:creationId xmlns:a16="http://schemas.microsoft.com/office/drawing/2014/main" id="{00000000-0008-0000-2400-000017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4" name="Flèche gauche 1">
          <a:hlinkClick xmlns:r="http://schemas.openxmlformats.org/officeDocument/2006/relationships" r:id="rId1"/>
          <a:extLst>
            <a:ext uri="{FF2B5EF4-FFF2-40B4-BE49-F238E27FC236}">
              <a16:creationId xmlns:a16="http://schemas.microsoft.com/office/drawing/2014/main" id="{00000000-0008-0000-2400-000018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5" name="Flèche gauche 1">
          <a:hlinkClick xmlns:r="http://schemas.openxmlformats.org/officeDocument/2006/relationships" r:id="rId2"/>
          <a:extLst>
            <a:ext uri="{FF2B5EF4-FFF2-40B4-BE49-F238E27FC236}">
              <a16:creationId xmlns:a16="http://schemas.microsoft.com/office/drawing/2014/main" id="{00000000-0008-0000-2400-000019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6" name="Flèche gauche 1">
          <a:hlinkClick xmlns:r="http://schemas.openxmlformats.org/officeDocument/2006/relationships" r:id="rId1"/>
          <a:extLst>
            <a:ext uri="{FF2B5EF4-FFF2-40B4-BE49-F238E27FC236}">
              <a16:creationId xmlns:a16="http://schemas.microsoft.com/office/drawing/2014/main" id="{00000000-0008-0000-2400-00001A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7" name="Flèche gauche 1">
          <a:hlinkClick xmlns:r="http://schemas.openxmlformats.org/officeDocument/2006/relationships" r:id="rId1"/>
          <a:extLst>
            <a:ext uri="{FF2B5EF4-FFF2-40B4-BE49-F238E27FC236}">
              <a16:creationId xmlns:a16="http://schemas.microsoft.com/office/drawing/2014/main" id="{00000000-0008-0000-2400-00001B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8" name="Flèche gauche 1">
          <a:hlinkClick xmlns:r="http://schemas.openxmlformats.org/officeDocument/2006/relationships" r:id="rId1"/>
          <a:extLst>
            <a:ext uri="{FF2B5EF4-FFF2-40B4-BE49-F238E27FC236}">
              <a16:creationId xmlns:a16="http://schemas.microsoft.com/office/drawing/2014/main" id="{00000000-0008-0000-2400-00001C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29" name="Flèche gauche 1">
          <a:hlinkClick xmlns:r="http://schemas.openxmlformats.org/officeDocument/2006/relationships" r:id="rId2"/>
          <a:extLst>
            <a:ext uri="{FF2B5EF4-FFF2-40B4-BE49-F238E27FC236}">
              <a16:creationId xmlns:a16="http://schemas.microsoft.com/office/drawing/2014/main" id="{00000000-0008-0000-2400-00001D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0" name="Flèche gauche 1">
          <a:hlinkClick xmlns:r="http://schemas.openxmlformats.org/officeDocument/2006/relationships" r:id="rId1"/>
          <a:extLst>
            <a:ext uri="{FF2B5EF4-FFF2-40B4-BE49-F238E27FC236}">
              <a16:creationId xmlns:a16="http://schemas.microsoft.com/office/drawing/2014/main" id="{00000000-0008-0000-2400-00001E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1" name="Flèche gauche 1">
          <a:hlinkClick xmlns:r="http://schemas.openxmlformats.org/officeDocument/2006/relationships" r:id="rId1"/>
          <a:extLst>
            <a:ext uri="{FF2B5EF4-FFF2-40B4-BE49-F238E27FC236}">
              <a16:creationId xmlns:a16="http://schemas.microsoft.com/office/drawing/2014/main" id="{00000000-0008-0000-2400-00001F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2" name="Flèche gauche 1">
          <a:hlinkClick xmlns:r="http://schemas.openxmlformats.org/officeDocument/2006/relationships" r:id="rId1"/>
          <a:extLst>
            <a:ext uri="{FF2B5EF4-FFF2-40B4-BE49-F238E27FC236}">
              <a16:creationId xmlns:a16="http://schemas.microsoft.com/office/drawing/2014/main" id="{00000000-0008-0000-2400-000020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3" name="Flèche gauche 1">
          <a:hlinkClick xmlns:r="http://schemas.openxmlformats.org/officeDocument/2006/relationships" r:id="rId2"/>
          <a:extLst>
            <a:ext uri="{FF2B5EF4-FFF2-40B4-BE49-F238E27FC236}">
              <a16:creationId xmlns:a16="http://schemas.microsoft.com/office/drawing/2014/main" id="{00000000-0008-0000-2400-000021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4" name="Flèche gauche 1">
          <a:hlinkClick xmlns:r="http://schemas.openxmlformats.org/officeDocument/2006/relationships" r:id="rId1"/>
          <a:extLst>
            <a:ext uri="{FF2B5EF4-FFF2-40B4-BE49-F238E27FC236}">
              <a16:creationId xmlns:a16="http://schemas.microsoft.com/office/drawing/2014/main" id="{00000000-0008-0000-2400-000022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5" name="Flèche gauche 1">
          <a:hlinkClick xmlns:r="http://schemas.openxmlformats.org/officeDocument/2006/relationships" r:id="rId1"/>
          <a:extLst>
            <a:ext uri="{FF2B5EF4-FFF2-40B4-BE49-F238E27FC236}">
              <a16:creationId xmlns:a16="http://schemas.microsoft.com/office/drawing/2014/main" id="{00000000-0008-0000-2400-000023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6" name="Flèche gauche 1">
          <a:hlinkClick xmlns:r="http://schemas.openxmlformats.org/officeDocument/2006/relationships" r:id="rId1"/>
          <a:extLst>
            <a:ext uri="{FF2B5EF4-FFF2-40B4-BE49-F238E27FC236}">
              <a16:creationId xmlns:a16="http://schemas.microsoft.com/office/drawing/2014/main" id="{00000000-0008-0000-2400-000024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7" name="Flèche gauche 1">
          <a:hlinkClick xmlns:r="http://schemas.openxmlformats.org/officeDocument/2006/relationships" r:id="rId2"/>
          <a:extLst>
            <a:ext uri="{FF2B5EF4-FFF2-40B4-BE49-F238E27FC236}">
              <a16:creationId xmlns:a16="http://schemas.microsoft.com/office/drawing/2014/main" id="{00000000-0008-0000-2400-000025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8" name="Flèche gauche 1">
          <a:hlinkClick xmlns:r="http://schemas.openxmlformats.org/officeDocument/2006/relationships" r:id="rId1"/>
          <a:extLst>
            <a:ext uri="{FF2B5EF4-FFF2-40B4-BE49-F238E27FC236}">
              <a16:creationId xmlns:a16="http://schemas.microsoft.com/office/drawing/2014/main" id="{00000000-0008-0000-2400-000026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39" name="Flèche gauche 1">
          <a:hlinkClick xmlns:r="http://schemas.openxmlformats.org/officeDocument/2006/relationships" r:id="rId1"/>
          <a:extLst>
            <a:ext uri="{FF2B5EF4-FFF2-40B4-BE49-F238E27FC236}">
              <a16:creationId xmlns:a16="http://schemas.microsoft.com/office/drawing/2014/main" id="{00000000-0008-0000-2400-000027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0" name="Flèche gauche 1">
          <a:hlinkClick xmlns:r="http://schemas.openxmlformats.org/officeDocument/2006/relationships" r:id="rId1"/>
          <a:extLst>
            <a:ext uri="{FF2B5EF4-FFF2-40B4-BE49-F238E27FC236}">
              <a16:creationId xmlns:a16="http://schemas.microsoft.com/office/drawing/2014/main" id="{00000000-0008-0000-2400-000028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1" name="Flèche gauche 1">
          <a:hlinkClick xmlns:r="http://schemas.openxmlformats.org/officeDocument/2006/relationships" r:id="rId2"/>
          <a:extLst>
            <a:ext uri="{FF2B5EF4-FFF2-40B4-BE49-F238E27FC236}">
              <a16:creationId xmlns:a16="http://schemas.microsoft.com/office/drawing/2014/main" id="{00000000-0008-0000-2400-000029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2" name="Flèche gauche 1">
          <a:hlinkClick xmlns:r="http://schemas.openxmlformats.org/officeDocument/2006/relationships" r:id="rId1"/>
          <a:extLst>
            <a:ext uri="{FF2B5EF4-FFF2-40B4-BE49-F238E27FC236}">
              <a16:creationId xmlns:a16="http://schemas.microsoft.com/office/drawing/2014/main" id="{00000000-0008-0000-2400-00002A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3" name="Flèche gauche 1">
          <a:hlinkClick xmlns:r="http://schemas.openxmlformats.org/officeDocument/2006/relationships" r:id="rId1"/>
          <a:extLst>
            <a:ext uri="{FF2B5EF4-FFF2-40B4-BE49-F238E27FC236}">
              <a16:creationId xmlns:a16="http://schemas.microsoft.com/office/drawing/2014/main" id="{00000000-0008-0000-2400-00002B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4" name="Flèche gauche 1">
          <a:hlinkClick xmlns:r="http://schemas.openxmlformats.org/officeDocument/2006/relationships" r:id="rId1"/>
          <a:extLst>
            <a:ext uri="{FF2B5EF4-FFF2-40B4-BE49-F238E27FC236}">
              <a16:creationId xmlns:a16="http://schemas.microsoft.com/office/drawing/2014/main" id="{00000000-0008-0000-2400-00002C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5" name="Flèche gauche 1">
          <a:hlinkClick xmlns:r="http://schemas.openxmlformats.org/officeDocument/2006/relationships" r:id="rId2"/>
          <a:extLst>
            <a:ext uri="{FF2B5EF4-FFF2-40B4-BE49-F238E27FC236}">
              <a16:creationId xmlns:a16="http://schemas.microsoft.com/office/drawing/2014/main" id="{00000000-0008-0000-2400-00002D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6" name="Flèche gauche 1">
          <a:hlinkClick xmlns:r="http://schemas.openxmlformats.org/officeDocument/2006/relationships" r:id="rId1"/>
          <a:extLst>
            <a:ext uri="{FF2B5EF4-FFF2-40B4-BE49-F238E27FC236}">
              <a16:creationId xmlns:a16="http://schemas.microsoft.com/office/drawing/2014/main" id="{00000000-0008-0000-2400-00002E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7" name="Flèche gauche 1">
          <a:hlinkClick xmlns:r="http://schemas.openxmlformats.org/officeDocument/2006/relationships" r:id="rId1"/>
          <a:extLst>
            <a:ext uri="{FF2B5EF4-FFF2-40B4-BE49-F238E27FC236}">
              <a16:creationId xmlns:a16="http://schemas.microsoft.com/office/drawing/2014/main" id="{00000000-0008-0000-2400-00002F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8" name="Flèche gauche 1">
          <a:hlinkClick xmlns:r="http://schemas.openxmlformats.org/officeDocument/2006/relationships" r:id="rId1"/>
          <a:extLst>
            <a:ext uri="{FF2B5EF4-FFF2-40B4-BE49-F238E27FC236}">
              <a16:creationId xmlns:a16="http://schemas.microsoft.com/office/drawing/2014/main" id="{00000000-0008-0000-2400-000030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9" name="Flèche gauche 1">
          <a:hlinkClick xmlns:r="http://schemas.openxmlformats.org/officeDocument/2006/relationships" r:id="rId2"/>
          <a:extLst>
            <a:ext uri="{FF2B5EF4-FFF2-40B4-BE49-F238E27FC236}">
              <a16:creationId xmlns:a16="http://schemas.microsoft.com/office/drawing/2014/main" id="{00000000-0008-0000-2400-000031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0" name="Flèche gauche 1">
          <a:hlinkClick xmlns:r="http://schemas.openxmlformats.org/officeDocument/2006/relationships" r:id="rId1"/>
          <a:extLst>
            <a:ext uri="{FF2B5EF4-FFF2-40B4-BE49-F238E27FC236}">
              <a16:creationId xmlns:a16="http://schemas.microsoft.com/office/drawing/2014/main" id="{00000000-0008-0000-2400-000032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1" name="Flèche gauche 1">
          <a:hlinkClick xmlns:r="http://schemas.openxmlformats.org/officeDocument/2006/relationships" r:id="rId1"/>
          <a:extLst>
            <a:ext uri="{FF2B5EF4-FFF2-40B4-BE49-F238E27FC236}">
              <a16:creationId xmlns:a16="http://schemas.microsoft.com/office/drawing/2014/main" id="{00000000-0008-0000-2400-000033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2" name="Flèche gauche 1">
          <a:hlinkClick xmlns:r="http://schemas.openxmlformats.org/officeDocument/2006/relationships" r:id="rId1"/>
          <a:extLst>
            <a:ext uri="{FF2B5EF4-FFF2-40B4-BE49-F238E27FC236}">
              <a16:creationId xmlns:a16="http://schemas.microsoft.com/office/drawing/2014/main" id="{00000000-0008-0000-2400-000034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3" name="Flèche gauche 1">
          <a:hlinkClick xmlns:r="http://schemas.openxmlformats.org/officeDocument/2006/relationships" r:id="rId2"/>
          <a:extLst>
            <a:ext uri="{FF2B5EF4-FFF2-40B4-BE49-F238E27FC236}">
              <a16:creationId xmlns:a16="http://schemas.microsoft.com/office/drawing/2014/main" id="{00000000-0008-0000-2400-000035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4" name="Flèche gauche 1">
          <a:hlinkClick xmlns:r="http://schemas.openxmlformats.org/officeDocument/2006/relationships" r:id="rId1"/>
          <a:extLst>
            <a:ext uri="{FF2B5EF4-FFF2-40B4-BE49-F238E27FC236}">
              <a16:creationId xmlns:a16="http://schemas.microsoft.com/office/drawing/2014/main" id="{00000000-0008-0000-2400-000036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5" name="Flèche gauche 1">
          <a:hlinkClick xmlns:r="http://schemas.openxmlformats.org/officeDocument/2006/relationships" r:id="rId1"/>
          <a:extLst>
            <a:ext uri="{FF2B5EF4-FFF2-40B4-BE49-F238E27FC236}">
              <a16:creationId xmlns:a16="http://schemas.microsoft.com/office/drawing/2014/main" id="{00000000-0008-0000-2400-000037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6" name="Flèche gauche 1">
          <a:hlinkClick xmlns:r="http://schemas.openxmlformats.org/officeDocument/2006/relationships" r:id="rId1"/>
          <a:extLst>
            <a:ext uri="{FF2B5EF4-FFF2-40B4-BE49-F238E27FC236}">
              <a16:creationId xmlns:a16="http://schemas.microsoft.com/office/drawing/2014/main" id="{00000000-0008-0000-2400-000038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7" name="Flèche gauche 1">
          <a:hlinkClick xmlns:r="http://schemas.openxmlformats.org/officeDocument/2006/relationships" r:id="rId2"/>
          <a:extLst>
            <a:ext uri="{FF2B5EF4-FFF2-40B4-BE49-F238E27FC236}">
              <a16:creationId xmlns:a16="http://schemas.microsoft.com/office/drawing/2014/main" id="{00000000-0008-0000-2400-000039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8" name="Flèche gauche 1">
          <a:hlinkClick xmlns:r="http://schemas.openxmlformats.org/officeDocument/2006/relationships" r:id="rId1"/>
          <a:extLst>
            <a:ext uri="{FF2B5EF4-FFF2-40B4-BE49-F238E27FC236}">
              <a16:creationId xmlns:a16="http://schemas.microsoft.com/office/drawing/2014/main" id="{00000000-0008-0000-2400-00003A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9" name="Flèche gauche 1">
          <a:hlinkClick xmlns:r="http://schemas.openxmlformats.org/officeDocument/2006/relationships" r:id="rId1"/>
          <a:extLst>
            <a:ext uri="{FF2B5EF4-FFF2-40B4-BE49-F238E27FC236}">
              <a16:creationId xmlns:a16="http://schemas.microsoft.com/office/drawing/2014/main" id="{00000000-0008-0000-2400-00003B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0" name="Flèche gauche 1">
          <a:hlinkClick xmlns:r="http://schemas.openxmlformats.org/officeDocument/2006/relationships" r:id="rId1"/>
          <a:extLst>
            <a:ext uri="{FF2B5EF4-FFF2-40B4-BE49-F238E27FC236}">
              <a16:creationId xmlns:a16="http://schemas.microsoft.com/office/drawing/2014/main" id="{00000000-0008-0000-2400-00003C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1" name="Flèche gauche 1">
          <a:hlinkClick xmlns:r="http://schemas.openxmlformats.org/officeDocument/2006/relationships" r:id="rId2"/>
          <a:extLst>
            <a:ext uri="{FF2B5EF4-FFF2-40B4-BE49-F238E27FC236}">
              <a16:creationId xmlns:a16="http://schemas.microsoft.com/office/drawing/2014/main" id="{00000000-0008-0000-2400-00003D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2" name="Flèche gauche 1">
          <a:hlinkClick xmlns:r="http://schemas.openxmlformats.org/officeDocument/2006/relationships" r:id="rId1"/>
          <a:extLst>
            <a:ext uri="{FF2B5EF4-FFF2-40B4-BE49-F238E27FC236}">
              <a16:creationId xmlns:a16="http://schemas.microsoft.com/office/drawing/2014/main" id="{00000000-0008-0000-2400-00003E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3" name="Flèche gauche 1">
          <a:hlinkClick xmlns:r="http://schemas.openxmlformats.org/officeDocument/2006/relationships" r:id="rId1"/>
          <a:extLst>
            <a:ext uri="{FF2B5EF4-FFF2-40B4-BE49-F238E27FC236}">
              <a16:creationId xmlns:a16="http://schemas.microsoft.com/office/drawing/2014/main" id="{00000000-0008-0000-2400-00003F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4" name="Flèche gauche 1">
          <a:hlinkClick xmlns:r="http://schemas.openxmlformats.org/officeDocument/2006/relationships" r:id="rId1"/>
          <a:extLst>
            <a:ext uri="{FF2B5EF4-FFF2-40B4-BE49-F238E27FC236}">
              <a16:creationId xmlns:a16="http://schemas.microsoft.com/office/drawing/2014/main" id="{00000000-0008-0000-2400-000040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5" name="Flèche gauche 1">
          <a:hlinkClick xmlns:r="http://schemas.openxmlformats.org/officeDocument/2006/relationships" r:id="rId2"/>
          <a:extLst>
            <a:ext uri="{FF2B5EF4-FFF2-40B4-BE49-F238E27FC236}">
              <a16:creationId xmlns:a16="http://schemas.microsoft.com/office/drawing/2014/main" id="{00000000-0008-0000-2400-000041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6" name="Flèche gauche 1">
          <a:hlinkClick xmlns:r="http://schemas.openxmlformats.org/officeDocument/2006/relationships" r:id="rId1"/>
          <a:extLst>
            <a:ext uri="{FF2B5EF4-FFF2-40B4-BE49-F238E27FC236}">
              <a16:creationId xmlns:a16="http://schemas.microsoft.com/office/drawing/2014/main" id="{00000000-0008-0000-2400-000042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7" name="Flèche gauche 1">
          <a:hlinkClick xmlns:r="http://schemas.openxmlformats.org/officeDocument/2006/relationships" r:id="rId1"/>
          <a:extLst>
            <a:ext uri="{FF2B5EF4-FFF2-40B4-BE49-F238E27FC236}">
              <a16:creationId xmlns:a16="http://schemas.microsoft.com/office/drawing/2014/main" id="{00000000-0008-0000-2400-000043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8" name="Flèche gauche 1">
          <a:hlinkClick xmlns:r="http://schemas.openxmlformats.org/officeDocument/2006/relationships" r:id="rId1"/>
          <a:extLst>
            <a:ext uri="{FF2B5EF4-FFF2-40B4-BE49-F238E27FC236}">
              <a16:creationId xmlns:a16="http://schemas.microsoft.com/office/drawing/2014/main" id="{00000000-0008-0000-2400-000044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9" name="Flèche gauche 1">
          <a:hlinkClick xmlns:r="http://schemas.openxmlformats.org/officeDocument/2006/relationships" r:id="rId2"/>
          <a:extLst>
            <a:ext uri="{FF2B5EF4-FFF2-40B4-BE49-F238E27FC236}">
              <a16:creationId xmlns:a16="http://schemas.microsoft.com/office/drawing/2014/main" id="{00000000-0008-0000-2400-000045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0" name="Flèche gauche 1">
          <a:hlinkClick xmlns:r="http://schemas.openxmlformats.org/officeDocument/2006/relationships" r:id="rId1"/>
          <a:extLst>
            <a:ext uri="{FF2B5EF4-FFF2-40B4-BE49-F238E27FC236}">
              <a16:creationId xmlns:a16="http://schemas.microsoft.com/office/drawing/2014/main" id="{00000000-0008-0000-2400-000046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1" name="Flèche gauche 1">
          <a:hlinkClick xmlns:r="http://schemas.openxmlformats.org/officeDocument/2006/relationships" r:id="rId1"/>
          <a:extLst>
            <a:ext uri="{FF2B5EF4-FFF2-40B4-BE49-F238E27FC236}">
              <a16:creationId xmlns:a16="http://schemas.microsoft.com/office/drawing/2014/main" id="{00000000-0008-0000-2400-000047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2" name="Flèche gauche 1">
          <a:hlinkClick xmlns:r="http://schemas.openxmlformats.org/officeDocument/2006/relationships" r:id="rId1"/>
          <a:extLst>
            <a:ext uri="{FF2B5EF4-FFF2-40B4-BE49-F238E27FC236}">
              <a16:creationId xmlns:a16="http://schemas.microsoft.com/office/drawing/2014/main" id="{00000000-0008-0000-2400-000048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3" name="Flèche gauche 1">
          <a:hlinkClick xmlns:r="http://schemas.openxmlformats.org/officeDocument/2006/relationships" r:id="rId2"/>
          <a:extLst>
            <a:ext uri="{FF2B5EF4-FFF2-40B4-BE49-F238E27FC236}">
              <a16:creationId xmlns:a16="http://schemas.microsoft.com/office/drawing/2014/main" id="{00000000-0008-0000-2400-000049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4" name="Flèche gauche 1">
          <a:hlinkClick xmlns:r="http://schemas.openxmlformats.org/officeDocument/2006/relationships" r:id="rId1"/>
          <a:extLst>
            <a:ext uri="{FF2B5EF4-FFF2-40B4-BE49-F238E27FC236}">
              <a16:creationId xmlns:a16="http://schemas.microsoft.com/office/drawing/2014/main" id="{00000000-0008-0000-2400-00004A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5" name="Flèche gauche 1">
          <a:hlinkClick xmlns:r="http://schemas.openxmlformats.org/officeDocument/2006/relationships" r:id="rId1"/>
          <a:extLst>
            <a:ext uri="{FF2B5EF4-FFF2-40B4-BE49-F238E27FC236}">
              <a16:creationId xmlns:a16="http://schemas.microsoft.com/office/drawing/2014/main" id="{00000000-0008-0000-2400-00004B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6" name="Flèche gauche 1">
          <a:hlinkClick xmlns:r="http://schemas.openxmlformats.org/officeDocument/2006/relationships" r:id="rId1"/>
          <a:extLst>
            <a:ext uri="{FF2B5EF4-FFF2-40B4-BE49-F238E27FC236}">
              <a16:creationId xmlns:a16="http://schemas.microsoft.com/office/drawing/2014/main" id="{00000000-0008-0000-2400-00004C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7" name="Flèche gauche 1">
          <a:hlinkClick xmlns:r="http://schemas.openxmlformats.org/officeDocument/2006/relationships" r:id="rId2"/>
          <a:extLst>
            <a:ext uri="{FF2B5EF4-FFF2-40B4-BE49-F238E27FC236}">
              <a16:creationId xmlns:a16="http://schemas.microsoft.com/office/drawing/2014/main" id="{00000000-0008-0000-2400-00004D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8" name="Flèche gauche 1">
          <a:hlinkClick xmlns:r="http://schemas.openxmlformats.org/officeDocument/2006/relationships" r:id="rId1"/>
          <a:extLst>
            <a:ext uri="{FF2B5EF4-FFF2-40B4-BE49-F238E27FC236}">
              <a16:creationId xmlns:a16="http://schemas.microsoft.com/office/drawing/2014/main" id="{00000000-0008-0000-2400-00004E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9" name="Flèche gauche 1">
          <a:hlinkClick xmlns:r="http://schemas.openxmlformats.org/officeDocument/2006/relationships" r:id="rId1"/>
          <a:extLst>
            <a:ext uri="{FF2B5EF4-FFF2-40B4-BE49-F238E27FC236}">
              <a16:creationId xmlns:a16="http://schemas.microsoft.com/office/drawing/2014/main" id="{00000000-0008-0000-2400-00004F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0" name="Flèche gauche 1">
          <a:hlinkClick xmlns:r="http://schemas.openxmlformats.org/officeDocument/2006/relationships" r:id="rId1"/>
          <a:extLst>
            <a:ext uri="{FF2B5EF4-FFF2-40B4-BE49-F238E27FC236}">
              <a16:creationId xmlns:a16="http://schemas.microsoft.com/office/drawing/2014/main" id="{00000000-0008-0000-2400-000050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1" name="Flèche gauche 1">
          <a:hlinkClick xmlns:r="http://schemas.openxmlformats.org/officeDocument/2006/relationships" r:id="rId2"/>
          <a:extLst>
            <a:ext uri="{FF2B5EF4-FFF2-40B4-BE49-F238E27FC236}">
              <a16:creationId xmlns:a16="http://schemas.microsoft.com/office/drawing/2014/main" id="{00000000-0008-0000-2400-000051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2" name="Flèche gauche 1">
          <a:hlinkClick xmlns:r="http://schemas.openxmlformats.org/officeDocument/2006/relationships" r:id="rId1"/>
          <a:extLst>
            <a:ext uri="{FF2B5EF4-FFF2-40B4-BE49-F238E27FC236}">
              <a16:creationId xmlns:a16="http://schemas.microsoft.com/office/drawing/2014/main" id="{00000000-0008-0000-2400-000052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3" name="Flèche gauche 1">
          <a:hlinkClick xmlns:r="http://schemas.openxmlformats.org/officeDocument/2006/relationships" r:id="rId1"/>
          <a:extLst>
            <a:ext uri="{FF2B5EF4-FFF2-40B4-BE49-F238E27FC236}">
              <a16:creationId xmlns:a16="http://schemas.microsoft.com/office/drawing/2014/main" id="{00000000-0008-0000-2400-000053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4" name="Flèche gauche 1">
          <a:hlinkClick xmlns:r="http://schemas.openxmlformats.org/officeDocument/2006/relationships" r:id="rId1"/>
          <a:extLst>
            <a:ext uri="{FF2B5EF4-FFF2-40B4-BE49-F238E27FC236}">
              <a16:creationId xmlns:a16="http://schemas.microsoft.com/office/drawing/2014/main" id="{00000000-0008-0000-2400-000054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5" name="Flèche gauche 1">
          <a:hlinkClick xmlns:r="http://schemas.openxmlformats.org/officeDocument/2006/relationships" r:id="rId2"/>
          <a:extLst>
            <a:ext uri="{FF2B5EF4-FFF2-40B4-BE49-F238E27FC236}">
              <a16:creationId xmlns:a16="http://schemas.microsoft.com/office/drawing/2014/main" id="{00000000-0008-0000-2400-000055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6" name="Flèche gauche 1">
          <a:hlinkClick xmlns:r="http://schemas.openxmlformats.org/officeDocument/2006/relationships" r:id="rId1"/>
          <a:extLst>
            <a:ext uri="{FF2B5EF4-FFF2-40B4-BE49-F238E27FC236}">
              <a16:creationId xmlns:a16="http://schemas.microsoft.com/office/drawing/2014/main" id="{00000000-0008-0000-2400-000056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7" name="Flèche gauche 1">
          <a:hlinkClick xmlns:r="http://schemas.openxmlformats.org/officeDocument/2006/relationships" r:id="rId1"/>
          <a:extLst>
            <a:ext uri="{FF2B5EF4-FFF2-40B4-BE49-F238E27FC236}">
              <a16:creationId xmlns:a16="http://schemas.microsoft.com/office/drawing/2014/main" id="{00000000-0008-0000-2400-000057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8" name="Flèche gauche 1">
          <a:hlinkClick xmlns:r="http://schemas.openxmlformats.org/officeDocument/2006/relationships" r:id="rId1"/>
          <a:extLst>
            <a:ext uri="{FF2B5EF4-FFF2-40B4-BE49-F238E27FC236}">
              <a16:creationId xmlns:a16="http://schemas.microsoft.com/office/drawing/2014/main" id="{00000000-0008-0000-2400-000058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89" name="Flèche gauche 1">
          <a:hlinkClick xmlns:r="http://schemas.openxmlformats.org/officeDocument/2006/relationships" r:id="rId2"/>
          <a:extLst>
            <a:ext uri="{FF2B5EF4-FFF2-40B4-BE49-F238E27FC236}">
              <a16:creationId xmlns:a16="http://schemas.microsoft.com/office/drawing/2014/main" id="{00000000-0008-0000-2400-000059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0" name="Flèche gauche 1">
          <a:hlinkClick xmlns:r="http://schemas.openxmlformats.org/officeDocument/2006/relationships" r:id="rId1"/>
          <a:extLst>
            <a:ext uri="{FF2B5EF4-FFF2-40B4-BE49-F238E27FC236}">
              <a16:creationId xmlns:a16="http://schemas.microsoft.com/office/drawing/2014/main" id="{00000000-0008-0000-2400-00005A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1" name="Flèche gauche 1">
          <a:hlinkClick xmlns:r="http://schemas.openxmlformats.org/officeDocument/2006/relationships" r:id="rId1"/>
          <a:extLst>
            <a:ext uri="{FF2B5EF4-FFF2-40B4-BE49-F238E27FC236}">
              <a16:creationId xmlns:a16="http://schemas.microsoft.com/office/drawing/2014/main" id="{00000000-0008-0000-2400-00005B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2" name="Flèche gauche 1">
          <a:hlinkClick xmlns:r="http://schemas.openxmlformats.org/officeDocument/2006/relationships" r:id="rId1"/>
          <a:extLst>
            <a:ext uri="{FF2B5EF4-FFF2-40B4-BE49-F238E27FC236}">
              <a16:creationId xmlns:a16="http://schemas.microsoft.com/office/drawing/2014/main" id="{00000000-0008-0000-2400-00005C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3" name="Flèche gauche 1">
          <a:hlinkClick xmlns:r="http://schemas.openxmlformats.org/officeDocument/2006/relationships" r:id="rId2"/>
          <a:extLst>
            <a:ext uri="{FF2B5EF4-FFF2-40B4-BE49-F238E27FC236}">
              <a16:creationId xmlns:a16="http://schemas.microsoft.com/office/drawing/2014/main" id="{00000000-0008-0000-2400-00005D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4" name="Flèche gauche 1">
          <a:hlinkClick xmlns:r="http://schemas.openxmlformats.org/officeDocument/2006/relationships" r:id="rId1"/>
          <a:extLst>
            <a:ext uri="{FF2B5EF4-FFF2-40B4-BE49-F238E27FC236}">
              <a16:creationId xmlns:a16="http://schemas.microsoft.com/office/drawing/2014/main" id="{00000000-0008-0000-2400-00005E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5" name="Flèche gauche 1">
          <a:hlinkClick xmlns:r="http://schemas.openxmlformats.org/officeDocument/2006/relationships" r:id="rId1"/>
          <a:extLst>
            <a:ext uri="{FF2B5EF4-FFF2-40B4-BE49-F238E27FC236}">
              <a16:creationId xmlns:a16="http://schemas.microsoft.com/office/drawing/2014/main" id="{00000000-0008-0000-2400-00005F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6" name="Flèche gauche 1">
          <a:hlinkClick xmlns:r="http://schemas.openxmlformats.org/officeDocument/2006/relationships" r:id="rId1"/>
          <a:extLst>
            <a:ext uri="{FF2B5EF4-FFF2-40B4-BE49-F238E27FC236}">
              <a16:creationId xmlns:a16="http://schemas.microsoft.com/office/drawing/2014/main" id="{00000000-0008-0000-2400-000060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7" name="Flèche gauche 1">
          <a:hlinkClick xmlns:r="http://schemas.openxmlformats.org/officeDocument/2006/relationships" r:id="rId2"/>
          <a:extLst>
            <a:ext uri="{FF2B5EF4-FFF2-40B4-BE49-F238E27FC236}">
              <a16:creationId xmlns:a16="http://schemas.microsoft.com/office/drawing/2014/main" id="{00000000-0008-0000-2400-000061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8" name="Flèche gauche 1">
          <a:hlinkClick xmlns:r="http://schemas.openxmlformats.org/officeDocument/2006/relationships" r:id="rId1"/>
          <a:extLst>
            <a:ext uri="{FF2B5EF4-FFF2-40B4-BE49-F238E27FC236}">
              <a16:creationId xmlns:a16="http://schemas.microsoft.com/office/drawing/2014/main" id="{00000000-0008-0000-2400-000062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99" name="Flèche gauche 1">
          <a:hlinkClick xmlns:r="http://schemas.openxmlformats.org/officeDocument/2006/relationships" r:id="rId1"/>
          <a:extLst>
            <a:ext uri="{FF2B5EF4-FFF2-40B4-BE49-F238E27FC236}">
              <a16:creationId xmlns:a16="http://schemas.microsoft.com/office/drawing/2014/main" id="{00000000-0008-0000-2400-000063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0" name="Flèche gauche 1">
          <a:hlinkClick xmlns:r="http://schemas.openxmlformats.org/officeDocument/2006/relationships" r:id="rId1"/>
          <a:extLst>
            <a:ext uri="{FF2B5EF4-FFF2-40B4-BE49-F238E27FC236}">
              <a16:creationId xmlns:a16="http://schemas.microsoft.com/office/drawing/2014/main" id="{00000000-0008-0000-2400-000064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1" name="Flèche gauche 1">
          <a:hlinkClick xmlns:r="http://schemas.openxmlformats.org/officeDocument/2006/relationships" r:id="rId2"/>
          <a:extLst>
            <a:ext uri="{FF2B5EF4-FFF2-40B4-BE49-F238E27FC236}">
              <a16:creationId xmlns:a16="http://schemas.microsoft.com/office/drawing/2014/main" id="{00000000-0008-0000-2400-000065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2" name="Flèche gauche 1">
          <a:hlinkClick xmlns:r="http://schemas.openxmlformats.org/officeDocument/2006/relationships" r:id="rId1"/>
          <a:extLst>
            <a:ext uri="{FF2B5EF4-FFF2-40B4-BE49-F238E27FC236}">
              <a16:creationId xmlns:a16="http://schemas.microsoft.com/office/drawing/2014/main" id="{00000000-0008-0000-2400-000066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3" name="Flèche gauche 1">
          <a:hlinkClick xmlns:r="http://schemas.openxmlformats.org/officeDocument/2006/relationships" r:id="rId1"/>
          <a:extLst>
            <a:ext uri="{FF2B5EF4-FFF2-40B4-BE49-F238E27FC236}">
              <a16:creationId xmlns:a16="http://schemas.microsoft.com/office/drawing/2014/main" id="{00000000-0008-0000-2400-000067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4" name="Flèche gauche 1">
          <a:hlinkClick xmlns:r="http://schemas.openxmlformats.org/officeDocument/2006/relationships" r:id="rId1"/>
          <a:extLst>
            <a:ext uri="{FF2B5EF4-FFF2-40B4-BE49-F238E27FC236}">
              <a16:creationId xmlns:a16="http://schemas.microsoft.com/office/drawing/2014/main" id="{00000000-0008-0000-2400-000068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5" name="Flèche gauche 1">
          <a:hlinkClick xmlns:r="http://schemas.openxmlformats.org/officeDocument/2006/relationships" r:id="rId2"/>
          <a:extLst>
            <a:ext uri="{FF2B5EF4-FFF2-40B4-BE49-F238E27FC236}">
              <a16:creationId xmlns:a16="http://schemas.microsoft.com/office/drawing/2014/main" id="{00000000-0008-0000-2400-000069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6" name="Flèche gauche 1">
          <a:hlinkClick xmlns:r="http://schemas.openxmlformats.org/officeDocument/2006/relationships" r:id="rId1"/>
          <a:extLst>
            <a:ext uri="{FF2B5EF4-FFF2-40B4-BE49-F238E27FC236}">
              <a16:creationId xmlns:a16="http://schemas.microsoft.com/office/drawing/2014/main" id="{00000000-0008-0000-2400-00006A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7" name="Flèche gauche 1">
          <a:hlinkClick xmlns:r="http://schemas.openxmlformats.org/officeDocument/2006/relationships" r:id="rId1"/>
          <a:extLst>
            <a:ext uri="{FF2B5EF4-FFF2-40B4-BE49-F238E27FC236}">
              <a16:creationId xmlns:a16="http://schemas.microsoft.com/office/drawing/2014/main" id="{00000000-0008-0000-2400-00006B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8" name="Flèche gauche 1">
          <a:hlinkClick xmlns:r="http://schemas.openxmlformats.org/officeDocument/2006/relationships" r:id="rId1"/>
          <a:extLst>
            <a:ext uri="{FF2B5EF4-FFF2-40B4-BE49-F238E27FC236}">
              <a16:creationId xmlns:a16="http://schemas.microsoft.com/office/drawing/2014/main" id="{00000000-0008-0000-2400-00006C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9" name="Flèche gauche 1">
          <a:hlinkClick xmlns:r="http://schemas.openxmlformats.org/officeDocument/2006/relationships" r:id="rId2"/>
          <a:extLst>
            <a:ext uri="{FF2B5EF4-FFF2-40B4-BE49-F238E27FC236}">
              <a16:creationId xmlns:a16="http://schemas.microsoft.com/office/drawing/2014/main" id="{00000000-0008-0000-2400-00006D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0" name="Flèche gauche 1">
          <a:hlinkClick xmlns:r="http://schemas.openxmlformats.org/officeDocument/2006/relationships" r:id="rId1"/>
          <a:extLst>
            <a:ext uri="{FF2B5EF4-FFF2-40B4-BE49-F238E27FC236}">
              <a16:creationId xmlns:a16="http://schemas.microsoft.com/office/drawing/2014/main" id="{00000000-0008-0000-2400-00006E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1" name="Flèche gauche 1">
          <a:hlinkClick xmlns:r="http://schemas.openxmlformats.org/officeDocument/2006/relationships" r:id="rId1"/>
          <a:extLst>
            <a:ext uri="{FF2B5EF4-FFF2-40B4-BE49-F238E27FC236}">
              <a16:creationId xmlns:a16="http://schemas.microsoft.com/office/drawing/2014/main" id="{00000000-0008-0000-2400-00006F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2" name="Flèche gauche 1">
          <a:hlinkClick xmlns:r="http://schemas.openxmlformats.org/officeDocument/2006/relationships" r:id="rId1"/>
          <a:extLst>
            <a:ext uri="{FF2B5EF4-FFF2-40B4-BE49-F238E27FC236}">
              <a16:creationId xmlns:a16="http://schemas.microsoft.com/office/drawing/2014/main" id="{00000000-0008-0000-2400-000070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3" name="Flèche gauche 1">
          <a:hlinkClick xmlns:r="http://schemas.openxmlformats.org/officeDocument/2006/relationships" r:id="rId2"/>
          <a:extLst>
            <a:ext uri="{FF2B5EF4-FFF2-40B4-BE49-F238E27FC236}">
              <a16:creationId xmlns:a16="http://schemas.microsoft.com/office/drawing/2014/main" id="{00000000-0008-0000-2400-000071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4" name="Flèche gauche 1">
          <a:hlinkClick xmlns:r="http://schemas.openxmlformats.org/officeDocument/2006/relationships" r:id="rId1"/>
          <a:extLst>
            <a:ext uri="{FF2B5EF4-FFF2-40B4-BE49-F238E27FC236}">
              <a16:creationId xmlns:a16="http://schemas.microsoft.com/office/drawing/2014/main" id="{00000000-0008-0000-2400-000072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5" name="Flèche gauche 1">
          <a:hlinkClick xmlns:r="http://schemas.openxmlformats.org/officeDocument/2006/relationships" r:id="rId1"/>
          <a:extLst>
            <a:ext uri="{FF2B5EF4-FFF2-40B4-BE49-F238E27FC236}">
              <a16:creationId xmlns:a16="http://schemas.microsoft.com/office/drawing/2014/main" id="{00000000-0008-0000-2400-000073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6" name="Flèche gauche 1">
          <a:hlinkClick xmlns:r="http://schemas.openxmlformats.org/officeDocument/2006/relationships" r:id="rId1"/>
          <a:extLst>
            <a:ext uri="{FF2B5EF4-FFF2-40B4-BE49-F238E27FC236}">
              <a16:creationId xmlns:a16="http://schemas.microsoft.com/office/drawing/2014/main" id="{00000000-0008-0000-2400-000074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7" name="Flèche gauche 1">
          <a:hlinkClick xmlns:r="http://schemas.openxmlformats.org/officeDocument/2006/relationships" r:id="rId2"/>
          <a:extLst>
            <a:ext uri="{FF2B5EF4-FFF2-40B4-BE49-F238E27FC236}">
              <a16:creationId xmlns:a16="http://schemas.microsoft.com/office/drawing/2014/main" id="{00000000-0008-0000-2400-000075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8" name="Flèche gauche 1">
          <a:hlinkClick xmlns:r="http://schemas.openxmlformats.org/officeDocument/2006/relationships" r:id="rId1"/>
          <a:extLst>
            <a:ext uri="{FF2B5EF4-FFF2-40B4-BE49-F238E27FC236}">
              <a16:creationId xmlns:a16="http://schemas.microsoft.com/office/drawing/2014/main" id="{00000000-0008-0000-2400-000076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19" name="Flèche gauche 1">
          <a:hlinkClick xmlns:r="http://schemas.openxmlformats.org/officeDocument/2006/relationships" r:id="rId1"/>
          <a:extLst>
            <a:ext uri="{FF2B5EF4-FFF2-40B4-BE49-F238E27FC236}">
              <a16:creationId xmlns:a16="http://schemas.microsoft.com/office/drawing/2014/main" id="{00000000-0008-0000-2400-000077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0" name="Flèche gauche 1">
          <a:hlinkClick xmlns:r="http://schemas.openxmlformats.org/officeDocument/2006/relationships" r:id="rId1"/>
          <a:extLst>
            <a:ext uri="{FF2B5EF4-FFF2-40B4-BE49-F238E27FC236}">
              <a16:creationId xmlns:a16="http://schemas.microsoft.com/office/drawing/2014/main" id="{00000000-0008-0000-2400-000078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1" name="Flèche gauche 1">
          <a:hlinkClick xmlns:r="http://schemas.openxmlformats.org/officeDocument/2006/relationships" r:id="rId2"/>
          <a:extLst>
            <a:ext uri="{FF2B5EF4-FFF2-40B4-BE49-F238E27FC236}">
              <a16:creationId xmlns:a16="http://schemas.microsoft.com/office/drawing/2014/main" id="{00000000-0008-0000-2400-000079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2" name="Flèche gauche 1">
          <a:hlinkClick xmlns:r="http://schemas.openxmlformats.org/officeDocument/2006/relationships" r:id="rId1"/>
          <a:extLst>
            <a:ext uri="{FF2B5EF4-FFF2-40B4-BE49-F238E27FC236}">
              <a16:creationId xmlns:a16="http://schemas.microsoft.com/office/drawing/2014/main" id="{00000000-0008-0000-2400-00007A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3" name="Flèche gauche 1">
          <a:hlinkClick xmlns:r="http://schemas.openxmlformats.org/officeDocument/2006/relationships" r:id="rId1"/>
          <a:extLst>
            <a:ext uri="{FF2B5EF4-FFF2-40B4-BE49-F238E27FC236}">
              <a16:creationId xmlns:a16="http://schemas.microsoft.com/office/drawing/2014/main" id="{00000000-0008-0000-2400-00007B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4" name="Flèche gauche 1">
          <a:hlinkClick xmlns:r="http://schemas.openxmlformats.org/officeDocument/2006/relationships" r:id="rId1"/>
          <a:extLst>
            <a:ext uri="{FF2B5EF4-FFF2-40B4-BE49-F238E27FC236}">
              <a16:creationId xmlns:a16="http://schemas.microsoft.com/office/drawing/2014/main" id="{00000000-0008-0000-2400-00007C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5" name="Flèche gauche 1">
          <a:hlinkClick xmlns:r="http://schemas.openxmlformats.org/officeDocument/2006/relationships" r:id="rId2"/>
          <a:extLst>
            <a:ext uri="{FF2B5EF4-FFF2-40B4-BE49-F238E27FC236}">
              <a16:creationId xmlns:a16="http://schemas.microsoft.com/office/drawing/2014/main" id="{00000000-0008-0000-2400-00007D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6" name="Flèche gauche 1">
          <a:hlinkClick xmlns:r="http://schemas.openxmlformats.org/officeDocument/2006/relationships" r:id="rId1"/>
          <a:extLst>
            <a:ext uri="{FF2B5EF4-FFF2-40B4-BE49-F238E27FC236}">
              <a16:creationId xmlns:a16="http://schemas.microsoft.com/office/drawing/2014/main" id="{00000000-0008-0000-2400-00007E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7" name="Flèche gauche 1">
          <a:hlinkClick xmlns:r="http://schemas.openxmlformats.org/officeDocument/2006/relationships" r:id="rId1"/>
          <a:extLst>
            <a:ext uri="{FF2B5EF4-FFF2-40B4-BE49-F238E27FC236}">
              <a16:creationId xmlns:a16="http://schemas.microsoft.com/office/drawing/2014/main" id="{00000000-0008-0000-2400-00007F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8" name="Flèche gauche 1">
          <a:hlinkClick xmlns:r="http://schemas.openxmlformats.org/officeDocument/2006/relationships" r:id="rId1"/>
          <a:extLst>
            <a:ext uri="{FF2B5EF4-FFF2-40B4-BE49-F238E27FC236}">
              <a16:creationId xmlns:a16="http://schemas.microsoft.com/office/drawing/2014/main" id="{00000000-0008-0000-2400-000080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9" name="Flèche gauche 1">
          <a:hlinkClick xmlns:r="http://schemas.openxmlformats.org/officeDocument/2006/relationships" r:id="rId2"/>
          <a:extLst>
            <a:ext uri="{FF2B5EF4-FFF2-40B4-BE49-F238E27FC236}">
              <a16:creationId xmlns:a16="http://schemas.microsoft.com/office/drawing/2014/main" id="{00000000-0008-0000-2400-000081000000}"/>
            </a:ext>
          </a:extLst>
        </xdr:cNvPr>
        <xdr:cNvSpPr/>
      </xdr:nvSpPr>
      <xdr:spPr bwMode="auto">
        <a:xfrm>
          <a:off x="76200" y="60960"/>
          <a:ext cx="381000" cy="245745"/>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2" name="Flèche gauche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bwMode="auto">
        <a:xfrm>
          <a:off x="76200" y="60960"/>
          <a:ext cx="381000" cy="22987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472963</xdr:colOff>
      <xdr:row>36</xdr:row>
      <xdr:rowOff>38100</xdr:rowOff>
    </xdr:from>
    <xdr:to>
      <xdr:col>5</xdr:col>
      <xdr:colOff>1219200</xdr:colOff>
      <xdr:row>56</xdr:row>
      <xdr:rowOff>25400</xdr:rowOff>
    </xdr:to>
    <xdr:graphicFrame macro="">
      <xdr:nvGraphicFramePr>
        <xdr:cNvPr id="10" name="Graphique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419266</xdr:colOff>
      <xdr:row>36</xdr:row>
      <xdr:rowOff>97558</xdr:rowOff>
    </xdr:from>
    <xdr:to>
      <xdr:col>12</xdr:col>
      <xdr:colOff>304798</xdr:colOff>
      <xdr:row>56</xdr:row>
      <xdr:rowOff>88899</xdr:rowOff>
    </xdr:to>
    <xdr:graphicFrame macro="">
      <xdr:nvGraphicFramePr>
        <xdr:cNvPr id="11" name="Graphique 10">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635000</xdr:colOff>
      <xdr:row>36</xdr:row>
      <xdr:rowOff>101600</xdr:rowOff>
    </xdr:from>
    <xdr:to>
      <xdr:col>22</xdr:col>
      <xdr:colOff>457032</xdr:colOff>
      <xdr:row>56</xdr:row>
      <xdr:rowOff>92941</xdr:rowOff>
    </xdr:to>
    <xdr:graphicFrame macro="">
      <xdr:nvGraphicFramePr>
        <xdr:cNvPr id="12" name="Graphique 11">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3" name="Flèche gauche 1">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 name="Flèche gauche 1">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4" name="Flèche gauche 1">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 name="Flèche gauche 1">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 name="Flèche gauche 1">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 name="Flèche gauche 1">
          <a:hlinkClick xmlns:r="http://schemas.openxmlformats.org/officeDocument/2006/relationships" r:id="rId2"/>
          <a:extLst>
            <a:ext uri="{FF2B5EF4-FFF2-40B4-BE49-F238E27FC236}">
              <a16:creationId xmlns:a16="http://schemas.microsoft.com/office/drawing/2014/main" id="{00000000-0008-0000-0700-000007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1</xdr:col>
      <xdr:colOff>787402</xdr:colOff>
      <xdr:row>62</xdr:row>
      <xdr:rowOff>156306</xdr:rowOff>
    </xdr:from>
    <xdr:to>
      <xdr:col>8</xdr:col>
      <xdr:colOff>50800</xdr:colOff>
      <xdr:row>82</xdr:row>
      <xdr:rowOff>152399</xdr:rowOff>
    </xdr:to>
    <xdr:graphicFrame macro="">
      <xdr:nvGraphicFramePr>
        <xdr:cNvPr id="25" name="Graphique 24">
          <a:extLst>
            <a:ext uri="{FF2B5EF4-FFF2-40B4-BE49-F238E27FC236}">
              <a16:creationId xmlns:a16="http://schemas.microsoft.com/office/drawing/2014/main" id="{00000000-0008-0000-07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787402</xdr:colOff>
      <xdr:row>62</xdr:row>
      <xdr:rowOff>156306</xdr:rowOff>
    </xdr:from>
    <xdr:to>
      <xdr:col>8</xdr:col>
      <xdr:colOff>50800</xdr:colOff>
      <xdr:row>82</xdr:row>
      <xdr:rowOff>152399</xdr:rowOff>
    </xdr:to>
    <xdr:graphicFrame macro="">
      <xdr:nvGraphicFramePr>
        <xdr:cNvPr id="28" name="Graphique 27">
          <a:extLst>
            <a:ext uri="{FF2B5EF4-FFF2-40B4-BE49-F238E27FC236}">
              <a16:creationId xmlns:a16="http://schemas.microsoft.com/office/drawing/2014/main" id="{00000000-0008-0000-07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361946</xdr:colOff>
      <xdr:row>31</xdr:row>
      <xdr:rowOff>33727</xdr:rowOff>
    </xdr:from>
    <xdr:to>
      <xdr:col>14</xdr:col>
      <xdr:colOff>36285</xdr:colOff>
      <xdr:row>50</xdr:row>
      <xdr:rowOff>127000</xdr:rowOff>
    </xdr:to>
    <xdr:graphicFrame macro="">
      <xdr:nvGraphicFramePr>
        <xdr:cNvPr id="30" name="Graphique 29">
          <a:extLst>
            <a:ext uri="{FF2B5EF4-FFF2-40B4-BE49-F238E27FC236}">
              <a16:creationId xmlns:a16="http://schemas.microsoft.com/office/drawing/2014/main" id="{00000000-0008-0000-07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439161</xdr:colOff>
      <xdr:row>31</xdr:row>
      <xdr:rowOff>48652</xdr:rowOff>
    </xdr:from>
    <xdr:to>
      <xdr:col>17</xdr:col>
      <xdr:colOff>2793999</xdr:colOff>
      <xdr:row>48</xdr:row>
      <xdr:rowOff>127000</xdr:rowOff>
    </xdr:to>
    <xdr:graphicFrame macro="">
      <xdr:nvGraphicFramePr>
        <xdr:cNvPr id="31" name="Graphique 30">
          <a:extLst>
            <a:ext uri="{FF2B5EF4-FFF2-40B4-BE49-F238E27FC236}">
              <a16:creationId xmlns:a16="http://schemas.microsoft.com/office/drawing/2014/main" id="{00000000-0008-0000-07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3" name="Flèche gauche 1">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4" name="Flèche gauche 1">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editAs="oneCell">
    <xdr:from>
      <xdr:col>6</xdr:col>
      <xdr:colOff>0</xdr:colOff>
      <xdr:row>24</xdr:row>
      <xdr:rowOff>0</xdr:rowOff>
    </xdr:from>
    <xdr:to>
      <xdr:col>10</xdr:col>
      <xdr:colOff>673291</xdr:colOff>
      <xdr:row>42</xdr:row>
      <xdr:rowOff>114482</xdr:rowOff>
    </xdr:to>
    <xdr:pic>
      <xdr:nvPicPr>
        <xdr:cNvPr id="7" name="Imag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3"/>
        <a:stretch/>
      </xdr:blipFill>
      <xdr:spPr bwMode="auto">
        <a:xfrm>
          <a:off x="9512300" y="8255000"/>
          <a:ext cx="3721291" cy="354348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9" name="Flèche gauche 1">
          <a:hlinkClick xmlns:r="http://schemas.openxmlformats.org/officeDocument/2006/relationships" r:id="rId1"/>
          <a:extLst>
            <a:ext uri="{FF2B5EF4-FFF2-40B4-BE49-F238E27FC236}">
              <a16:creationId xmlns:a16="http://schemas.microsoft.com/office/drawing/2014/main" id="{00000000-0008-0000-0900-000009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0" name="Flèche gauche 1">
          <a:hlinkClick xmlns:r="http://schemas.openxmlformats.org/officeDocument/2006/relationships" r:id="rId2"/>
          <a:extLst>
            <a:ext uri="{FF2B5EF4-FFF2-40B4-BE49-F238E27FC236}">
              <a16:creationId xmlns:a16="http://schemas.microsoft.com/office/drawing/2014/main" id="{00000000-0008-0000-0900-00000A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2" name="Flèche gauche 1">
          <a:hlinkClick xmlns:r="http://schemas.openxmlformats.org/officeDocument/2006/relationships" r:id="rId1"/>
          <a:extLst>
            <a:ext uri="{FF2B5EF4-FFF2-40B4-BE49-F238E27FC236}">
              <a16:creationId xmlns:a16="http://schemas.microsoft.com/office/drawing/2014/main" id="{00000000-0008-0000-0900-00000C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13" name="Flèche gauche 1">
          <a:hlinkClick xmlns:r="http://schemas.openxmlformats.org/officeDocument/2006/relationships" r:id="rId2"/>
          <a:extLst>
            <a:ext uri="{FF2B5EF4-FFF2-40B4-BE49-F238E27FC236}">
              <a16:creationId xmlns:a16="http://schemas.microsoft.com/office/drawing/2014/main" id="{00000000-0008-0000-0900-00000D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oneCellAnchor>
    <xdr:from>
      <xdr:col>5</xdr:col>
      <xdr:colOff>409592</xdr:colOff>
      <xdr:row>47</xdr:row>
      <xdr:rowOff>0</xdr:rowOff>
    </xdr:from>
    <xdr:ext cx="4117051" cy="2898775"/>
    <xdr:pic>
      <xdr:nvPicPr>
        <xdr:cNvPr id="11" name="Imag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3"/>
        <a:stretch/>
      </xdr:blipFill>
      <xdr:spPr bwMode="auto">
        <a:xfrm>
          <a:off x="7966092" y="8128000"/>
          <a:ext cx="4117050" cy="289877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76200</xdr:colOff>
      <xdr:row>0</xdr:row>
      <xdr:rowOff>60960</xdr:rowOff>
    </xdr:from>
    <xdr:to>
      <xdr:col>0</xdr:col>
      <xdr:colOff>457200</xdr:colOff>
      <xdr:row>1</xdr:row>
      <xdr:rowOff>106680</xdr:rowOff>
    </xdr:to>
    <xdr:sp macro="" textlink="">
      <xdr:nvSpPr>
        <xdr:cNvPr id="4" name="Flèche gauche 1">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5" name="Flèche gauche 1">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6" name="Flèche gauche 1">
          <a:hlinkClick xmlns:r="http://schemas.openxmlformats.org/officeDocument/2006/relationships" r:id="rId1"/>
          <a:extLst>
            <a:ext uri="{FF2B5EF4-FFF2-40B4-BE49-F238E27FC236}">
              <a16:creationId xmlns:a16="http://schemas.microsoft.com/office/drawing/2014/main" id="{00000000-0008-0000-0A00-000006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twoCellAnchor>
    <xdr:from>
      <xdr:col>0</xdr:col>
      <xdr:colOff>76200</xdr:colOff>
      <xdr:row>0</xdr:row>
      <xdr:rowOff>60960</xdr:rowOff>
    </xdr:from>
    <xdr:to>
      <xdr:col>0</xdr:col>
      <xdr:colOff>457200</xdr:colOff>
      <xdr:row>1</xdr:row>
      <xdr:rowOff>106680</xdr:rowOff>
    </xdr:to>
    <xdr:sp macro="" textlink="">
      <xdr:nvSpPr>
        <xdr:cNvPr id="7" name="Flèche gauche 1">
          <a:hlinkClick xmlns:r="http://schemas.openxmlformats.org/officeDocument/2006/relationships" r:id="rId2"/>
          <a:extLst>
            <a:ext uri="{FF2B5EF4-FFF2-40B4-BE49-F238E27FC236}">
              <a16:creationId xmlns:a16="http://schemas.microsoft.com/office/drawing/2014/main" id="{00000000-0008-0000-0A00-000007000000}"/>
            </a:ext>
          </a:extLst>
        </xdr:cNvPr>
        <xdr:cNvSpPr/>
      </xdr:nvSpPr>
      <xdr:spPr bwMode="auto">
        <a:xfrm>
          <a:off x="76200" y="60960"/>
          <a:ext cx="381000" cy="236220"/>
        </a:xfrm>
        <a:prstGeom prst="leftArrow">
          <a:avLst>
            <a:gd name="adj1" fmla="val 50000"/>
            <a:gd name="adj2" fmla="val 5000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a:pPr>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lan_Carbone_V8.5-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f"/>
      <sheetName val="Energie 1"/>
      <sheetName val="Energie 2"/>
      <sheetName val="Hors énergie 1"/>
      <sheetName val="Hors énergie 2"/>
      <sheetName val="Intrants 1"/>
      <sheetName val="Intrants 2"/>
      <sheetName val="Futurs emballages"/>
      <sheetName val="Déchets directs"/>
      <sheetName val="Fret"/>
      <sheetName val="Déplacements"/>
      <sheetName val="Immobilisations"/>
      <sheetName val="Utilisation"/>
      <sheetName val="Fin de vie"/>
      <sheetName val="Utilitaires"/>
      <sheetName val="Recap CO2e"/>
      <sheetName val="Ratios"/>
      <sheetName val="Bilan GES"/>
      <sheetName val="ISO 14069"/>
      <sheetName val="GHG Protocol"/>
      <sheetName val="CDP 2018"/>
      <sheetName val="Graphiques"/>
      <sheetName val="FE Energie"/>
      <sheetName val="FE Hors Energie"/>
      <sheetName val="FE Intrants"/>
      <sheetName val="FE Déchets"/>
      <sheetName val="FE Fret"/>
      <sheetName val="FE Déplacements"/>
      <sheetName val="FE Immobilisations"/>
      <sheetName val="export postes"/>
      <sheetName val="export sous-pos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86">
          <cell r="M586" t="str">
            <v>Oui</v>
          </cell>
        </row>
        <row r="587">
          <cell r="M587" t="str">
            <v>Non</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J2" t="str">
            <v>Recommandations d'utilisation : 
Plusieurs lignes blanches sont laissées vierges à la fin de chaque liste : vous pouvez y ajouter les facteurs d'émission que vous souhaitez inclure aux listes déroulantes.
Si ces lignes ne suffisent pas, copiez puis insérez des lignes existantes puis assurez vous que les formules des colonnes D à G sont bien continues. Les suites de numéros des colonnes B et D ne doivent pas être interrompues. En cas de doute, faites glisser la formule de la première ligne de la liste.
Attention : les unités et type doivent correspondre à celles inscrites dans les onglets de calcul (sinon, une erreur vous avertira très vite). Pensez à indiquer vos sources en bas de page !</v>
          </cell>
        </row>
      </sheetData>
      <sheetData sheetId="29"/>
      <sheetData sheetId="30"/>
    </sheetDataSet>
  </externalBook>
</externalLink>
</file>

<file path=xl/persons/person.xml><?xml version="1.0" encoding="utf-8"?>
<personList xmlns="http://schemas.microsoft.com/office/spreadsheetml/2018/threadedcomments" xmlns:x="http://schemas.openxmlformats.org/spreadsheetml/2006/main">
  <person displayName="Erwan Proto" id="{7281BB75-90D9-8231-CF52-1211B4B9DB4B}"/>
  <person displayName="Auteur" id="{8298D673-3527-7354-8030-41CDFBA4BC16}"/>
</personList>
</file>

<file path=xl/theme/theme1.xml><?xml version="1.0" encoding="utf-8"?>
<a:theme xmlns:a="http://schemas.openxmlformats.org/drawingml/2006/main" name="Office Theme">
  <a:themeElements>
    <a:clrScheme name="SHIFT PROJECT">
      <a:dk1>
        <a:srgbClr val="000000"/>
      </a:dk1>
      <a:lt1>
        <a:srgbClr val="FFFFFF"/>
      </a:lt1>
      <a:dk2>
        <a:srgbClr val="00005A"/>
      </a:dk2>
      <a:lt2>
        <a:srgbClr val="FFFFFF"/>
      </a:lt2>
      <a:accent1>
        <a:srgbClr val="00005A"/>
      </a:accent1>
      <a:accent2>
        <a:srgbClr val="FF8200"/>
      </a:accent2>
      <a:accent3>
        <a:srgbClr val="FAB464"/>
      </a:accent3>
      <a:accent4>
        <a:srgbClr val="FFDC50"/>
      </a:accent4>
      <a:accent5>
        <a:srgbClr val="82C8FA"/>
      </a:accent5>
      <a:accent6>
        <a:srgbClr val="0028DC"/>
      </a:accent6>
      <a:hlink>
        <a:srgbClr val="FF8200"/>
      </a:hlink>
      <a:folHlink>
        <a:srgbClr val="FF8200"/>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bwMode="auto">
        <a:prstGeom prst="rect">
          <a:avLst/>
        </a:prstGeom>
        <a:noFill/>
      </a:spPr>
      <a:bodyPr/>
      <a:lstStyle/>
      <a:style>
        <a:lnRef idx="0">
          <a:srgbClr val="000000"/>
        </a:lnRef>
        <a:fillRef idx="0">
          <a:srgbClr val="000000"/>
        </a:fillRef>
        <a:effectRef idx="0">
          <a:srgbClr val="000000"/>
        </a:effectRef>
        <a:fontRef idx="minor">
          <a:schemeClr val="tx1"/>
        </a:fontRef>
      </a:style>
    </a:tx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7" personId="{7281BB75-90D9-8231-CF52-1211B4B9DB4B}" id="{00100068-0037-4AE1-ADA0-00A200C50051}" done="0">
    <text xml:space="preserve">Données spécifiques / scénario optimum
(et, en italique, Scénario de collecte alternatif des données d’activité)
</text>
  </threadedComment>
</ThreadedComments>
</file>

<file path=xl/threadedComments/threadedComment10.xml><?xml version="1.0" encoding="utf-8"?>
<ThreadedComments xmlns="http://schemas.microsoft.com/office/spreadsheetml/2018/threadedcomments" xmlns:x="http://schemas.openxmlformats.org/spreadsheetml/2006/main">
  <threadedComment ref="F7" personId="{7281BB75-90D9-8231-CF52-1211B4B9DB4B}" id="{00C2007F-00FE-4275-9050-006300EA0067}" done="0">
    <text xml:space="preserve">Données spécifiques / scénario optimum
(et, en italique, Scénario de collecte alternatif des données d’activité)
</text>
  </threadedComment>
</ThreadedComments>
</file>

<file path=xl/threadedComments/threadedComment11.xml><?xml version="1.0" encoding="utf-8"?>
<ThreadedComments xmlns="http://schemas.microsoft.com/office/spreadsheetml/2018/threadedcomments" xmlns:x="http://schemas.openxmlformats.org/spreadsheetml/2006/main">
  <threadedComment ref="F7" personId="{7281BB75-90D9-8231-CF52-1211B4B9DB4B}" id="{5F608451-1996-AC40-BA2A-BE2EC32D7B87}" done="0">
    <text xml:space="preserve">Données spécifiques / scénario optimum
(et, en italique, Scénario de collecte alternatif des données d’activité)
</text>
  </threadedComment>
</ThreadedComments>
</file>

<file path=xl/threadedComments/threadedComment12.xml><?xml version="1.0" encoding="utf-8"?>
<ThreadedComments xmlns="http://schemas.microsoft.com/office/spreadsheetml/2018/threadedcomments" xmlns:x="http://schemas.openxmlformats.org/spreadsheetml/2006/main">
  <threadedComment ref="F7" personId="{7281BB75-90D9-8231-CF52-1211B4B9DB4B}" id="{00920002-00E0-422B-B4B3-00750065002C}" done="0">
    <text xml:space="preserve">Données spécifiques / scénario optimum
(et, en italique, Scénario de collecte alternatif des données d’activité)
</text>
  </threadedComment>
</ThreadedComments>
</file>

<file path=xl/threadedComments/threadedComment13.xml><?xml version="1.0" encoding="utf-8"?>
<ThreadedComments xmlns="http://schemas.microsoft.com/office/spreadsheetml/2018/threadedcomments" xmlns:x="http://schemas.openxmlformats.org/spreadsheetml/2006/main">
  <threadedComment ref="F7" personId="{7281BB75-90D9-8231-CF52-1211B4B9DB4B}" id="{00FC0002-0083-4464-AC07-0003006500CB}" done="0">
    <text xml:space="preserve">Données spécifiques / scénario optimum
(et, en italique, Scénario de collecte alternatif des données d’activité)
</text>
  </threadedComment>
</ThreadedComments>
</file>

<file path=xl/threadedComments/threadedComment14.xml><?xml version="1.0" encoding="utf-8"?>
<ThreadedComments xmlns="http://schemas.microsoft.com/office/spreadsheetml/2018/threadedcomments" xmlns:x="http://schemas.openxmlformats.org/spreadsheetml/2006/main">
  <threadedComment ref="F7" personId="{7281BB75-90D9-8231-CF52-1211B4B9DB4B}" id="{007200FE-002F-4421-B2E4-005D00C20024}" done="0">
    <text xml:space="preserve">Données spécifiques / scénario optimum
(et, en italique, Scénario de collecte alternatif des données d’activité)
</text>
  </threadedComment>
</ThreadedComments>
</file>

<file path=xl/threadedComments/threadedComment15.xml><?xml version="1.0" encoding="utf-8"?>
<ThreadedComments xmlns="http://schemas.microsoft.com/office/spreadsheetml/2018/threadedcomments" xmlns:x="http://schemas.openxmlformats.org/spreadsheetml/2006/main">
  <threadedComment ref="F7" personId="{7281BB75-90D9-8231-CF52-1211B4B9DB4B}" id="{00890019-0032-47BE-8F3D-002F00DE005C}" done="0">
    <text xml:space="preserve">Données spécifiques / scénario optimum
(et, en italique, Scénario de collecte alternatif des données d’activité)
</text>
  </threadedComment>
</ThreadedComments>
</file>

<file path=xl/threadedComments/threadedComment16.xml><?xml version="1.0" encoding="utf-8"?>
<ThreadedComments xmlns="http://schemas.microsoft.com/office/spreadsheetml/2018/threadedcomments" xmlns:x="http://schemas.openxmlformats.org/spreadsheetml/2006/main">
  <threadedComment ref="F7" personId="{7281BB75-90D9-8231-CF52-1211B4B9DB4B}" id="{00B90095-00D7-4822-A6CC-00BE00F0004D}" done="0">
    <text xml:space="preserve">Données spécifiques / scénario optimum
(et, en italique, Scénario de collecte alternatif des données d’activité)
</text>
  </threadedComment>
</ThreadedComments>
</file>

<file path=xl/threadedComments/threadedComment17.xml><?xml version="1.0" encoding="utf-8"?>
<ThreadedComments xmlns="http://schemas.microsoft.com/office/spreadsheetml/2018/threadedcomments" xmlns:x="http://schemas.openxmlformats.org/spreadsheetml/2006/main">
  <threadedComment ref="F7" personId="{7281BB75-90D9-8231-CF52-1211B4B9DB4B}" id="{00B70056-00AC-4329-B3AF-00B5005E00F3}" done="0">
    <text xml:space="preserve">Données spécifiques / scénario optimum
(et, en italique, Scénario de collecte alternatif des données d’activité)
</text>
  </threadedComment>
</ThreadedComments>
</file>

<file path=xl/threadedComments/threadedComment18.xml><?xml version="1.0" encoding="utf-8"?>
<ThreadedComments xmlns="http://schemas.microsoft.com/office/spreadsheetml/2018/threadedcomments" xmlns:x="http://schemas.openxmlformats.org/spreadsheetml/2006/main">
  <threadedComment ref="F7" personId="{7281BB75-90D9-8231-CF52-1211B4B9DB4B}" id="{00EC0059-0086-4234-A922-006500460001}" done="0">
    <text xml:space="preserve">Données spécifiques / scénario optimum
(et, en italique, Scénario de collecte alternatif des données d’activité)
</text>
  </threadedComment>
</ThreadedComments>
</file>

<file path=xl/threadedComments/threadedComment19.xml><?xml version="1.0" encoding="utf-8"?>
<ThreadedComments xmlns="http://schemas.microsoft.com/office/spreadsheetml/2018/threadedcomments" xmlns:x="http://schemas.openxmlformats.org/spreadsheetml/2006/main">
  <threadedComment ref="F139" personId="{7281BB75-90D9-8231-CF52-1211B4B9DB4B}" id="{0005009E-00BE-4C13-9AAC-0029003B00C2}" done="0">
    <text xml:space="preserve">6% dans le doc, ça ne fait pas 100%...
</text>
  </threadedComment>
  <threadedComment ref="F7" personId="{7281BB75-90D9-8231-CF52-1211B4B9DB4B}" id="{000000FD-00EF-4AFF-A160-00980053001D}" done="0">
    <text xml:space="preserve">Données spécifiques / scénario optimum
(et, en italique, Scénario de collecte alternatif des données d’activité)
</text>
  </threadedComment>
</ThreadedComments>
</file>

<file path=xl/threadedComments/threadedComment2.xml><?xml version="1.0" encoding="utf-8"?>
<ThreadedComments xmlns="http://schemas.microsoft.com/office/spreadsheetml/2018/threadedcomments" xmlns:x="http://schemas.openxmlformats.org/spreadsheetml/2006/main">
  <threadedComment ref="F7" personId="{7281BB75-90D9-8231-CF52-1211B4B9DB4B}" id="{00A00046-002F-4CB0-819E-00FE00C40003}" done="0">
    <text xml:space="preserve">Données spécifiques / scénario optimum
(et, en italique, Scénario de collecte alternatif des données d’activité)
</text>
  </threadedComment>
</ThreadedComments>
</file>

<file path=xl/threadedComments/threadedComment20.xml><?xml version="1.0" encoding="utf-8"?>
<ThreadedComments xmlns="http://schemas.microsoft.com/office/spreadsheetml/2018/threadedcomments" xmlns:x="http://schemas.openxmlformats.org/spreadsheetml/2006/main">
  <threadedComment ref="F7" personId="{7281BB75-90D9-8231-CF52-1211B4B9DB4B}" id="{00540056-00DF-44E9-902D-008500630035}" done="0">
    <text xml:space="preserve">Données spécifiques / scénario optimum
(et, en italique, Scénario de collecte alternatif des données d’activité)
</text>
  </threadedComment>
</ThreadedComments>
</file>

<file path=xl/threadedComments/threadedComment21.xml><?xml version="1.0" encoding="utf-8"?>
<ThreadedComments xmlns="http://schemas.microsoft.com/office/spreadsheetml/2018/threadedcomments" xmlns:x="http://schemas.openxmlformats.org/spreadsheetml/2006/main">
  <threadedComment ref="F7" personId="{7281BB75-90D9-8231-CF52-1211B4B9DB4B}" id="{00FD002B-0017-443A-8B4D-009A0068003F}" done="0">
    <text xml:space="preserve">Données spécifiques / scénario optimum
(et, en italique, Scénario de collecte alternatif des données d’activité)
</text>
  </threadedComment>
</ThreadedComments>
</file>

<file path=xl/threadedComments/threadedComment22.xml><?xml version="1.0" encoding="utf-8"?>
<ThreadedComments xmlns="http://schemas.microsoft.com/office/spreadsheetml/2018/threadedcomments" xmlns:x="http://schemas.openxmlformats.org/spreadsheetml/2006/main">
  <threadedComment ref="F7" personId="{7281BB75-90D9-8231-CF52-1211B4B9DB4B}" id="{002700D2-0074-4AF1-A84F-0076000200D2}" done="0">
    <text xml:space="preserve">Données spécifiques / scénario optimum
(et, en italique, Scénario de collecte alternatif des données d’activité)
</text>
  </threadedComment>
</ThreadedComments>
</file>

<file path=xl/threadedComments/threadedComment23.xml><?xml version="1.0" encoding="utf-8"?>
<ThreadedComments xmlns="http://schemas.microsoft.com/office/spreadsheetml/2018/threadedcomments" xmlns:x="http://schemas.openxmlformats.org/spreadsheetml/2006/main">
  <threadedComment ref="F7" personId="{7281BB75-90D9-8231-CF52-1211B4B9DB4B}" id="{0030006A-007F-4A13-B0E6-00E100540052}" done="0">
    <text xml:space="preserve">Données spécifiques / scénario optimum
(et, en italique, Scénario de collecte alternatif des données d’activité)
</text>
  </threadedComment>
</ThreadedComments>
</file>

<file path=xl/threadedComments/threadedComment24.xml><?xml version="1.0" encoding="utf-8"?>
<ThreadedComments xmlns="http://schemas.microsoft.com/office/spreadsheetml/2018/threadedcomments" xmlns:x="http://schemas.openxmlformats.org/spreadsheetml/2006/main">
  <threadedComment ref="G34" personId="{8298D673-3527-7354-8030-41CDFBA4BC16}" id="{00190086-00B0-43C7-97D5-008400AF004F}" done="0">
    <text xml:space="preserve">Une difficulté pour la distinction des deux types d'électricité : en fait, c'est un peu plus pour le chauffage et un peu moins pour l'élec hors chauffage, car on ne prend en compte que l'électricité des pompes à chaleur dans la catégorie chauffage et non celle des autres moyens de chauffage (effet joule). Mais on ne dispose pas des chiffres exacts pour les autres moyens de chauffage.
</text>
  </threadedComment>
</ThreadedComments>
</file>

<file path=xl/threadedComments/threadedComment3.xml><?xml version="1.0" encoding="utf-8"?>
<ThreadedComments xmlns="http://schemas.microsoft.com/office/spreadsheetml/2018/threadedcomments" xmlns:x="http://schemas.openxmlformats.org/spreadsheetml/2006/main">
  <threadedComment ref="F7" personId="{7281BB75-90D9-8231-CF52-1211B4B9DB4B}" id="{00DF0072-000C-4331-BC3D-0055006100A8}" done="0">
    <text xml:space="preserve">Données spécifiques / scénario optimum
(et, en italique, Scénario de collecte alternatif des données d’activité)
</text>
  </threadedComment>
</ThreadedComments>
</file>

<file path=xl/threadedComments/threadedComment4.xml><?xml version="1.0" encoding="utf-8"?>
<ThreadedComments xmlns="http://schemas.microsoft.com/office/spreadsheetml/2018/threadedcomments" xmlns:x="http://schemas.openxmlformats.org/spreadsheetml/2006/main">
  <threadedComment ref="F7" personId="{7281BB75-90D9-8231-CF52-1211B4B9DB4B}" id="{00DF0072-000C-4332-BC3D-0055006100A8}" done="0">
    <text xml:space="preserve">Données spécifiques / scénario optimum
(et, en italique, Scénario de collecte alternatif des données d’activité)
</text>
  </threadedComment>
</ThreadedComments>
</file>

<file path=xl/threadedComments/threadedComment5.xml><?xml version="1.0" encoding="utf-8"?>
<ThreadedComments xmlns="http://schemas.microsoft.com/office/spreadsheetml/2018/threadedcomments" xmlns:x="http://schemas.openxmlformats.org/spreadsheetml/2006/main">
  <threadedComment ref="F7" personId="{7281BB75-90D9-8231-CF52-1211B4B9DB4B}" id="{002D0093-00E2-40E8-AA60-00AD009500E2}" done="0">
    <text xml:space="preserve">Données spécifiques / scénario optimum
(et, en italique, Scénario de collecte alternatif des données d’activité)
</text>
  </threadedComment>
</ThreadedComments>
</file>

<file path=xl/threadedComments/threadedComment6.xml><?xml version="1.0" encoding="utf-8"?>
<ThreadedComments xmlns="http://schemas.microsoft.com/office/spreadsheetml/2018/threadedcomments" xmlns:x="http://schemas.openxmlformats.org/spreadsheetml/2006/main">
  <threadedComment ref="F7" personId="{7281BB75-90D9-8231-CF52-1211B4B9DB4B}" id="{0071009E-0067-4EC9-A40B-00210099004E}" done="0">
    <text xml:space="preserve">Données spécifiques / scénario optimum
(et, en italique, Scénario de collecte alternatif des données d’activité)
</text>
  </threadedComment>
</ThreadedComments>
</file>

<file path=xl/threadedComments/threadedComment7.xml><?xml version="1.0" encoding="utf-8"?>
<ThreadedComments xmlns="http://schemas.microsoft.com/office/spreadsheetml/2018/threadedcomments" xmlns:x="http://schemas.openxmlformats.org/spreadsheetml/2006/main">
  <threadedComment ref="F7" personId="{7281BB75-90D9-8231-CF52-1211B4B9DB4B}" id="{000E009B-008A-470A-9C75-007F00A10004}" done="0">
    <text xml:space="preserve">Données spécifiques / scénario optimum
(et, en italique, Scénario de collecte alternatif des données d’activité)
</text>
  </threadedComment>
</ThreadedComments>
</file>

<file path=xl/threadedComments/threadedComment8.xml><?xml version="1.0" encoding="utf-8"?>
<ThreadedComments xmlns="http://schemas.microsoft.com/office/spreadsheetml/2018/threadedcomments" xmlns:x="http://schemas.openxmlformats.org/spreadsheetml/2006/main">
  <threadedComment ref="F7" personId="{7281BB75-90D9-8231-CF52-1211B4B9DB4B}" id="{00E200D9-00C0-45FF-BEBE-004E00F300C9}" done="0">
    <text xml:space="preserve">Données spécifiques / scénario optimum
(et, en italique, Scénario de collecte alternatif des données d’activité)
</text>
  </threadedComment>
</ThreadedComments>
</file>

<file path=xl/threadedComments/threadedComment9.xml><?xml version="1.0" encoding="utf-8"?>
<ThreadedComments xmlns="http://schemas.microsoft.com/office/spreadsheetml/2018/threadedcomments" xmlns:x="http://schemas.openxmlformats.org/spreadsheetml/2006/main">
  <threadedComment ref="F7" personId="{7281BB75-90D9-8231-CF52-1211B4B9DB4B}" id="{006D006B-00C5-4B69-9EE0-003200870055}" done="0">
    <text xml:space="preserve">Données spécifiques / scénario optimum
(et, en italique, Scénario de collecte alternatif des données d’activité)
</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 Id="rId4" Type="http://schemas.microsoft.com/office/2017/10/relationships/threadedComment" Target="../threadedComments/threadedComment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 Id="rId4" Type="http://schemas.microsoft.com/office/2017/10/relationships/threadedComment" Target="../threadedComments/threadedComment9.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 Id="rId4" Type="http://schemas.microsoft.com/office/2017/10/relationships/threadedComment" Target="../threadedComments/threadedComment10.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1.xml"/><Relationship Id="rId4" Type="http://schemas.microsoft.com/office/2017/10/relationships/threadedComment" Target="../threadedComments/threadedComment11.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2.xml"/><Relationship Id="rId4" Type="http://schemas.microsoft.com/office/2017/10/relationships/threadedComment" Target="../threadedComments/threadedComment1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 Id="rId4" Type="http://schemas.microsoft.com/office/2017/10/relationships/threadedComment" Target="../threadedComments/threadedComment13.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 Id="rId4" Type="http://schemas.microsoft.com/office/2017/10/relationships/threadedComment" Target="../threadedComments/threadedComment14.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5.xml"/><Relationship Id="rId4" Type="http://schemas.microsoft.com/office/2017/10/relationships/threadedComment" Target="../threadedComments/threadedComment15.xml"/></Relationships>
</file>

<file path=xl/worksheets/_rels/sheet18.xml.rels><?xml version="1.0" encoding="UTF-8" standalone="yes"?>
<Relationships xmlns="http://schemas.openxmlformats.org/package/2006/relationships"><Relationship Id="rId8" Type="http://schemas.openxmlformats.org/officeDocument/2006/relationships/hyperlink" Target="https://fr.wikipedia.org/wiki/K%C3%A9ros%C3%A8ne" TargetMode="External"/><Relationship Id="rId3" Type="http://schemas.openxmlformats.org/officeDocument/2006/relationships/hyperlink" Target="https://www.assemblee-nationale.fr/dyn/15/rapports/cion-soc/l15b5044_rapport-information.pdf" TargetMode="External"/><Relationship Id="rId7" Type="http://schemas.openxmlformats.org/officeDocument/2006/relationships/hyperlink" Target="https://www.synonyme-du-mot.com/les-articles/quel-carburant-consomme-un-helicoptere" TargetMode="External"/><Relationship Id="rId12" Type="http://schemas.microsoft.com/office/2017/10/relationships/threadedComment" Target="../threadedComments/threadedComment16.xml"/><Relationship Id="rId2" Type="http://schemas.openxmlformats.org/officeDocument/2006/relationships/hyperlink" Target="https://www.igas.gouv.fr/IMG/pdf/RD2016_transports_sanitaires.pdf" TargetMode="External"/><Relationship Id="rId1" Type="http://schemas.openxmlformats.org/officeDocument/2006/relationships/hyperlink" Target="https://drees.solidarites-sante.gouv.fr/sites/default/files/er1136.pdf" TargetMode="External"/><Relationship Id="rId6" Type="http://schemas.openxmlformats.org/officeDocument/2006/relationships/hyperlink" Target="https://www.ovalp.com/fr/comprendre/ec145-securite-civile" TargetMode="External"/><Relationship Id="rId11" Type="http://schemas.openxmlformats.org/officeDocument/2006/relationships/comments" Target="../comments16.xml"/><Relationship Id="rId5" Type="http://schemas.openxmlformats.org/officeDocument/2006/relationships/hyperlink" Target="https://www.assemblee-nationale.fr/dyn/15/rapports/cion-soc/l15b5044_rapport-information.pdf" TargetMode="External"/><Relationship Id="rId10" Type="http://schemas.openxmlformats.org/officeDocument/2006/relationships/vmlDrawing" Target="../drawings/vmlDrawing16.vml"/><Relationship Id="rId4" Type="http://schemas.openxmlformats.org/officeDocument/2006/relationships/hyperlink" Target="https://www.igas.gouv.fr/IMG/pdf/RD2016_transports_sanitaires.pdf" TargetMode="External"/><Relationship Id="rId9"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 Id="rId4" Type="http://schemas.microsoft.com/office/2017/10/relationships/threadedComment" Target="../threadedComments/threadedComment17.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8.xml"/><Relationship Id="rId4" Type="http://schemas.microsoft.com/office/2017/10/relationships/threadedComment" Target="../threadedComments/threadedComment18.xml"/></Relationships>
</file>

<file path=xl/worksheets/_rels/sheet21.xml.rels><?xml version="1.0" encoding="UTF-8" standalone="yes"?>
<Relationships xmlns="http://schemas.openxmlformats.org/package/2006/relationships"><Relationship Id="rId8" Type="http://schemas.openxmlformats.org/officeDocument/2006/relationships/hyperlink" Target="https://drees.shinyapps.io/demographie-ps/" TargetMode="External"/><Relationship Id="rId13" Type="http://schemas.openxmlformats.org/officeDocument/2006/relationships/hyperlink" Target="https://drees.shinyapps.io/demographie-ps/" TargetMode="External"/><Relationship Id="rId18" Type="http://schemas.openxmlformats.org/officeDocument/2006/relationships/hyperlink" Target="https://www.lemonde.fr/vous/article/2011/12/03/un-premier-pas-vers-la-fin-des-ordonnances-papier_1613092_3238.html" TargetMode="External"/><Relationship Id="rId3" Type="http://schemas.openxmlformats.org/officeDocument/2006/relationships/hyperlink" Target="https://view.officeapps.live.com/op/view.aspx?src=https%3A%2F%2Fwww.fncs.org%2Fsites%2Fdefault%2Ffiles%2Fpdf%2Fecds_tdb_2020_NAT.xlsx&amp;wdOrigin=BROWSELINK" TargetMode="External"/><Relationship Id="rId21" Type="http://schemas.openxmlformats.org/officeDocument/2006/relationships/drawing" Target="../drawings/drawing19.xml"/><Relationship Id="rId7" Type="http://schemas.openxmlformats.org/officeDocument/2006/relationships/hyperlink" Target="https://drees.shinyapps.io/demographie-ps/" TargetMode="External"/><Relationship Id="rId12" Type="http://schemas.openxmlformats.org/officeDocument/2006/relationships/hyperlink" Target="https://drees.shinyapps.io/demographie-ps/" TargetMode="External"/><Relationship Id="rId17" Type="http://schemas.openxmlformats.org/officeDocument/2006/relationships/hyperlink" Target="https://drees.shinyapps.io/demographie-ps/" TargetMode="External"/><Relationship Id="rId2" Type="http://schemas.openxmlformats.org/officeDocument/2006/relationships/hyperlink" Target="https://drees.solidarites-sante.gouv.fr/sites/default/files/2022-03/er1227_0.pdf" TargetMode="External"/><Relationship Id="rId16" Type="http://schemas.openxmlformats.org/officeDocument/2006/relationships/hyperlink" Target="https://drees.shinyapps.io/demographie-ps/" TargetMode="External"/><Relationship Id="rId20" Type="http://schemas.openxmlformats.org/officeDocument/2006/relationships/hyperlink" Target="https://www.gfk.com/fr/insights/optique-un-marche-de-66mds-eur-en-france" TargetMode="External"/><Relationship Id="rId1" Type="http://schemas.openxmlformats.org/officeDocument/2006/relationships/hyperlink" Target="https://view.officeapps.live.com/op/view.aspx?src=https%3A%2F%2Fassurance-maladie.ameli.fr%2Fsites%2Fdefault%2Ffiles%2F2019_activite-des-medecins-liberaux-par-departement_serie-annuelle.xls&amp;wdOrigin=BROWSELINK" TargetMode="External"/><Relationship Id="rId6" Type="http://schemas.openxmlformats.org/officeDocument/2006/relationships/hyperlink" Target="https://drees.shinyapps.io/demographie-ps/" TargetMode="External"/><Relationship Id="rId11" Type="http://schemas.openxmlformats.org/officeDocument/2006/relationships/hyperlink" Target="https://drees.shinyapps.io/demographie-ps/" TargetMode="External"/><Relationship Id="rId24" Type="http://schemas.microsoft.com/office/2017/10/relationships/threadedComment" Target="../threadedComments/threadedComment19.xml"/><Relationship Id="rId5" Type="http://schemas.openxmlformats.org/officeDocument/2006/relationships/hyperlink" Target="https://drees.shinyapps.io/demographie-ps/" TargetMode="External"/><Relationship Id="rId15" Type="http://schemas.openxmlformats.org/officeDocument/2006/relationships/hyperlink" Target="https://drees.shinyapps.io/demographie-ps/" TargetMode="External"/><Relationship Id="rId23" Type="http://schemas.openxmlformats.org/officeDocument/2006/relationships/comments" Target="../comments19.xml"/><Relationship Id="rId10" Type="http://schemas.openxmlformats.org/officeDocument/2006/relationships/hyperlink" Target="https://drees.shinyapps.io/demographie-ps/" TargetMode="External"/><Relationship Id="rId19" Type="http://schemas.openxmlformats.org/officeDocument/2006/relationships/hyperlink" Target="https://biogroup.fr/presentation-biogroup/" TargetMode="External"/><Relationship Id="rId4" Type="http://schemas.openxmlformats.org/officeDocument/2006/relationships/hyperlink" Target="https://drees.shinyapps.io/demographie-ps/" TargetMode="External"/><Relationship Id="rId9" Type="http://schemas.openxmlformats.org/officeDocument/2006/relationships/hyperlink" Target="https://drees.shinyapps.io/demographie-ps/" TargetMode="External"/><Relationship Id="rId14" Type="http://schemas.openxmlformats.org/officeDocument/2006/relationships/hyperlink" Target="https://drees.shinyapps.io/demographie-ps/" TargetMode="External"/><Relationship Id="rId22" Type="http://schemas.openxmlformats.org/officeDocument/2006/relationships/vmlDrawing" Target="../drawings/vmlDrawing19.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20.xml"/><Relationship Id="rId4" Type="http://schemas.microsoft.com/office/2017/10/relationships/threadedComment" Target="../threadedComments/threadedComment20.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1.xml"/><Relationship Id="rId4" Type="http://schemas.microsoft.com/office/2017/10/relationships/threadedComment" Target="../threadedComments/threadedComment21.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drawing" Target="../drawings/drawing22.xml"/><Relationship Id="rId4" Type="http://schemas.microsoft.com/office/2017/10/relationships/threadedComment" Target="../threadedComments/threadedComment22.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drawing" Target="../drawings/drawing23.xml"/><Relationship Id="rId4" Type="http://schemas.microsoft.com/office/2017/10/relationships/threadedComment" Target="../threadedComments/threadedComment23.xml"/></Relationships>
</file>

<file path=xl/worksheets/_rels/sheet27.xml.rels><?xml version="1.0" encoding="UTF-8" standalone="yes"?>
<Relationships xmlns="http://schemas.openxmlformats.org/package/2006/relationships"><Relationship Id="rId8" Type="http://schemas.openxmlformats.org/officeDocument/2006/relationships/hyperlink" Target="https://www.igas.gouv.fr/IMG/pdf/2017-069R.pdf" TargetMode="External"/><Relationship Id="rId13" Type="http://schemas.openxmlformats.org/officeDocument/2006/relationships/hyperlink" Target="https://www.securite-sociale.fr/files/live/sites/SSFR/files/medias/PLFSS/2021/PLFSS-2021-ANNEXE%208.pdf" TargetMode="External"/><Relationship Id="rId18" Type="http://schemas.openxmlformats.org/officeDocument/2006/relationships/hyperlink" Target="https://www.cnsa.fr/documentation/rapport_annuel_cnsa_2020.pdf" TargetMode="External"/><Relationship Id="rId3" Type="http://schemas.openxmlformats.org/officeDocument/2006/relationships/hyperlink" Target="https://www.securite-sociale.fr/files/live/sites/SSFR/files/medias/PLFSS/2021/PLFSS-2021-ANNEXE%208.pdf" TargetMode="External"/><Relationship Id="rId21" Type="http://schemas.openxmlformats.org/officeDocument/2006/relationships/hyperlink" Target="https://drees.solidarites-sante.gouv.fr/sites/default/files/2021-03/3-11.pdf" TargetMode="External"/><Relationship Id="rId7" Type="http://schemas.openxmlformats.org/officeDocument/2006/relationships/hyperlink" Target="https://www.igas.gouv.fr/IMG/pdf/rapport_conjoint_rapprochement_fiva_oniam.pdf" TargetMode="External"/><Relationship Id="rId12" Type="http://schemas.openxmlformats.org/officeDocument/2006/relationships/hyperlink" Target="https://www.ameli.fr/sites/default/files/comptes_cnam_2019.pdf" TargetMode="External"/><Relationship Id="rId17" Type="http://schemas.openxmlformats.org/officeDocument/2006/relationships/hyperlink" Target="https://www.securite-sociale.fr/files/live/sites/SSFR/files/medias/PLFSS/2021/PLFSS-2021-ANNEXE%208.pdf" TargetMode="External"/><Relationship Id="rId25" Type="http://schemas.openxmlformats.org/officeDocument/2006/relationships/drawing" Target="../drawings/drawing24.xml"/><Relationship Id="rId2" Type="http://schemas.openxmlformats.org/officeDocument/2006/relationships/hyperlink" Target="https://www.securite-sociale.fr/files/live/sites/SSFR/files/medias/PLFSS/2021/PLFSS-2021-ANNEXE%208.pdf" TargetMode="External"/><Relationship Id="rId16" Type="http://schemas.openxmlformats.org/officeDocument/2006/relationships/hyperlink" Target="https://www.toutsurlatransfusion.com/actualite-transfusion-et-don-du-sang/quel-est-le-devenir-de-l-ints.php" TargetMode="External"/><Relationship Id="rId20" Type="http://schemas.openxmlformats.org/officeDocument/2006/relationships/hyperlink" Target="https://drees.solidarites-sante.gouv.fr/sites/default/files/2021-03/6-12.pdf" TargetMode="External"/><Relationship Id="rId1" Type="http://schemas.openxmlformats.org/officeDocument/2006/relationships/hyperlink" Target="../../../../../../../../../Downloads/Jaune2021_fonction_publique-web.pdf" TargetMode="External"/><Relationship Id="rId6" Type="http://schemas.openxmlformats.org/officeDocument/2006/relationships/hyperlink" Target="https://www.securite-sociale.fr/files/live/sites/SSFR/files/medias/PLFSS/2021/PLFSS-2021-ANNEXE%208.pdf" TargetMode="External"/><Relationship Id="rId11" Type="http://schemas.openxmlformats.org/officeDocument/2006/relationships/hyperlink" Target="https://www.ameli.fr/sites/default/files/2018-02-19-dp-cog-2018-2022.pdf" TargetMode="External"/><Relationship Id="rId24" Type="http://schemas.openxmlformats.org/officeDocument/2006/relationships/hyperlink" Target="https://www.anem-mutualite.fr/article/chiffres-cles-2019-de-la-branche-mutualite/" TargetMode="External"/><Relationship Id="rId5" Type="http://schemas.openxmlformats.org/officeDocument/2006/relationships/hyperlink" Target="https://www.securite-sociale.fr/files/live/sites/SSFR/files/medias/PLFSS/2021/PLFSS-2021-ANNEXE%208.pdf" TargetMode="External"/><Relationship Id="rId15" Type="http://schemas.openxmlformats.org/officeDocument/2006/relationships/hyperlink" Target="https://www.e-cancer.fr/Institut-national-du-cancer/Qui-sommes-nous/Organigramme" TargetMode="External"/><Relationship Id="rId23" Type="http://schemas.openxmlformats.org/officeDocument/2006/relationships/hyperlink" Target="https://www.anem-mutualite.fr/article/chiffres-cles-2019-de-la-branche-mutualite/" TargetMode="External"/><Relationship Id="rId10" Type="http://schemas.openxmlformats.org/officeDocument/2006/relationships/hyperlink" Target="https://questions.assemblee-nationale.fr/q13/13-88182QE.htm" TargetMode="External"/><Relationship Id="rId19" Type="http://schemas.openxmlformats.org/officeDocument/2006/relationships/hyperlink" Target="http://www.institut-des-donnees-de-sante.fr/telechargements/RA-IDS-2013bdf.pdf" TargetMode="External"/><Relationship Id="rId4" Type="http://schemas.openxmlformats.org/officeDocument/2006/relationships/hyperlink" Target="https://www.securite-sociale.fr/files/live/sites/SSFR/files/medias/PLFSS/2021/PLFSS-2021-ANNEXE%208.pdf" TargetMode="External"/><Relationship Id="rId9" Type="http://schemas.openxmlformats.org/officeDocument/2006/relationships/hyperlink" Target="https://www.assemblee-nationale.fr/dyn/15/rapports/cion-soc/l15b4267_rapport-information" TargetMode="External"/><Relationship Id="rId14" Type="http://schemas.openxmlformats.org/officeDocument/2006/relationships/hyperlink" Target="https://www.anrs.fr/sites/default/files/2021-03/MOASF%20VERSION%202020-12-03-1.pdf" TargetMode="External"/><Relationship Id="rId22" Type="http://schemas.openxmlformats.org/officeDocument/2006/relationships/hyperlink" Target="https://drees.solidarites-sante.gouv.fr/sites/default/files/2021-03/3-11.pdf" TargetMode="Externa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hyperlink" Target="https://view.officeapps.live.com/op/view.aspx?src=https%3A%2F%2Ftheshiftproject.org%2Fwp-content%2Fuploads%2F2021%2F10%2F211021-chiffrages-PTEF-administration-publique_final.xlsx&amp;wdOrigin=BROWSELINK" TargetMode="External"/><Relationship Id="rId5" Type="http://schemas.microsoft.com/office/2017/10/relationships/threadedComment" Target="../threadedComments/threadedComment24.xml"/><Relationship Id="rId4" Type="http://schemas.openxmlformats.org/officeDocument/2006/relationships/comments" Target="../comments24.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hyperlink" Target="https://www.statistiques.developpement-durable.gouv.fr/edition-numerique/chiffres-cles-energies-renouvelables-2021/1-les-energies-renouvelables-en-france" TargetMode="External"/><Relationship Id="rId7" Type="http://schemas.openxmlformats.org/officeDocument/2006/relationships/comments" Target="../comments2.xml"/><Relationship Id="rId2" Type="http://schemas.openxmlformats.org/officeDocument/2006/relationships/hyperlink" Target="https://bilans-ges.ademe.fr/docutheque/docs/%5BBase%20Carbone%5D%20Documentation%20g%C3%A9n%C3%A9rale%20v11.5.pdf" TargetMode="External"/><Relationship Id="rId1" Type="http://schemas.openxmlformats.org/officeDocument/2006/relationships/hyperlink" Target="https://www.statistiques.developpement-durable.gouv.fr/edition-numerique/chiffres-cles-energies-renouvelables-2021/1-les-energies-renouvelables-en-france"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hyperlink" Target="https://bilans-ges.ademe.fr/docutheque/docs/%5BBase%20Carbone%5D%20Documentation%20g%C3%A9n%C3%A9rale%20v11.5.pdf"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8" Type="http://schemas.microsoft.com/office/2017/10/relationships/threadedComment" Target="../threadedComments/threadedComment4.xml"/><Relationship Id="rId3" Type="http://schemas.openxmlformats.org/officeDocument/2006/relationships/hyperlink" Target="https://www.bilans-ges.ademe.fr/fr/accueil/documentation-gene/index/page/Reseau_de_chaleur.%20%20FE%20moyen%20(apr&#232;s%20avoir%20retir%20les%20valeurs%20nulles%20et%20les%20F)" TargetMode="External"/><Relationship Id="rId7" Type="http://schemas.openxmlformats.org/officeDocument/2006/relationships/comments" Target="../comments4.xml"/><Relationship Id="rId2" Type="http://schemas.openxmlformats.org/officeDocument/2006/relationships/hyperlink" Target="https://www.bilans-ges.ademe.fr/fr/accueil/documentation-gene/index/page/Reseau_de_chaleur.%20%20FE%20moyen%20(apr&#232;s%20avoir%20retir%20les%20valeurs%20nulles%20et%20les%20F)" TargetMode="External"/><Relationship Id="rId1" Type="http://schemas.openxmlformats.org/officeDocument/2006/relationships/hyperlink" Target="https://www.bilans-ges.ademe.fr/fr/accueil/documentation-gene/index/page/Reseau_de_chaleur.%20%20FE%20moyen%20(apr&#232;s%20avoir%20retirer%20les%20valeurs%20nulles%20et%20les%20F)"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hyperlink" Target="https://www.bilans-ges.ademe.fr/fr/accueil/documentation-gene/index/page/Reseau_de_chaleur.%20%20FE%20moyen%20(apr&#232;s%20avoir%20retir%20les%20valeurs%20nulles%20et%20les%20F)"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 Id="rId4" Type="http://schemas.microsoft.com/office/2017/10/relationships/threadedComment" Target="../threadedComments/threadedComment5.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presse.ademe.fr/wp-content/uploads/2016/09/cout-complet-pertes-gaspillage-restauration-collective-rapport.pdf" TargetMode="External"/><Relationship Id="rId1" Type="http://schemas.openxmlformats.org/officeDocument/2006/relationships/hyperlink" Target="https://www.ch-niort.fr/sites/default/files/media/chiffres_cles_2019_0.pdf" TargetMode="External"/><Relationship Id="rId6" Type="http://schemas.microsoft.com/office/2017/10/relationships/threadedComment" Target="../threadedComments/threadedComment6.xm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 Id="rId4" Type="http://schemas.microsoft.com/office/2017/10/relationships/threadedComment" Target="../threadedComments/threadedComment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
  </sheetPr>
  <dimension ref="C3:E23"/>
  <sheetViews>
    <sheetView topLeftCell="A5" zoomScale="85" workbookViewId="0">
      <selection activeCell="C8" sqref="C8"/>
    </sheetView>
  </sheetViews>
  <sheetFormatPr baseColWidth="10" defaultColWidth="10.77734375" defaultRowHeight="14.4"/>
  <cols>
    <col min="1" max="2" width="10.77734375" style="1"/>
    <col min="3" max="3" width="96.6640625" style="1" customWidth="1"/>
    <col min="4" max="4" width="18.44140625" style="1" customWidth="1"/>
    <col min="5" max="5" width="103.6640625" style="1" customWidth="1"/>
    <col min="6" max="16384" width="10.77734375" style="1"/>
  </cols>
  <sheetData>
    <row r="3" spans="3:5" ht="27" customHeight="1">
      <c r="C3" s="2" t="s">
        <v>0</v>
      </c>
    </row>
    <row r="4" spans="3:5" ht="73.95" customHeight="1">
      <c r="C4" s="3" t="s">
        <v>1</v>
      </c>
    </row>
    <row r="5" spans="3:5" ht="72" customHeight="1">
      <c r="C5" s="4" t="s">
        <v>2</v>
      </c>
    </row>
    <row r="6" spans="3:5" ht="73.05" customHeight="1">
      <c r="C6" s="5" t="s">
        <v>3</v>
      </c>
    </row>
    <row r="7" spans="3:5" ht="73.05" customHeight="1">
      <c r="C7" s="4" t="s">
        <v>4</v>
      </c>
    </row>
    <row r="8" spans="3:5" ht="46.95" customHeight="1">
      <c r="C8" s="4" t="s">
        <v>5</v>
      </c>
    </row>
    <row r="9" spans="3:5" ht="97.95" customHeight="1">
      <c r="C9" s="4" t="s">
        <v>6</v>
      </c>
    </row>
    <row r="10" spans="3:5" ht="49.05" customHeight="1">
      <c r="C10" s="6" t="s">
        <v>7</v>
      </c>
    </row>
    <row r="11" spans="3:5" ht="49.05" customHeight="1">
      <c r="C11" s="6" t="s">
        <v>8</v>
      </c>
    </row>
    <row r="12" spans="3:5" ht="49.05" customHeight="1">
      <c r="C12" s="4" t="s">
        <v>9</v>
      </c>
    </row>
    <row r="13" spans="3:5">
      <c r="C13" s="7"/>
    </row>
    <row r="14" spans="3:5" ht="25.05" customHeight="1">
      <c r="C14" s="2" t="s">
        <v>10</v>
      </c>
      <c r="D14" s="8" t="s">
        <v>11</v>
      </c>
      <c r="E14" s="9" t="s">
        <v>12</v>
      </c>
    </row>
    <row r="16" spans="3:5" ht="52.05" customHeight="1">
      <c r="D16" s="10" t="s">
        <v>13</v>
      </c>
      <c r="E16" s="6" t="s">
        <v>14</v>
      </c>
    </row>
    <row r="18" spans="4:5" ht="124.05" customHeight="1">
      <c r="D18" s="11" t="s">
        <v>15</v>
      </c>
      <c r="E18" s="12" t="s">
        <v>16</v>
      </c>
    </row>
    <row r="19" spans="4:5" ht="13.95" customHeight="1">
      <c r="D19" s="13"/>
      <c r="E19" s="13"/>
    </row>
    <row r="20" spans="4:5" ht="49.95" customHeight="1">
      <c r="D20" s="14" t="s">
        <v>17</v>
      </c>
      <c r="E20" s="6" t="s">
        <v>18</v>
      </c>
    </row>
    <row r="21" spans="4:5" ht="31.95" customHeight="1"/>
    <row r="23" spans="4:5" ht="46.05" customHeight="1">
      <c r="D23" s="14" t="s">
        <v>19</v>
      </c>
      <c r="E23" s="6" t="s">
        <v>20</v>
      </c>
    </row>
  </sheetData>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26">
    <tabColor theme="7" tint="0.59999389629810485"/>
  </sheetPr>
  <dimension ref="B2:Q68"/>
  <sheetViews>
    <sheetView zoomScale="70" workbookViewId="0">
      <pane ySplit="2" topLeftCell="A3" activePane="bottomLeft" state="frozen"/>
      <selection activeCell="C18" sqref="C18:Q18"/>
      <selection pane="bottomLeft"/>
    </sheetView>
  </sheetViews>
  <sheetFormatPr baseColWidth="10" defaultRowHeight="14.4"/>
  <cols>
    <col min="2" max="2" width="48.109375" customWidth="1"/>
    <col min="3" max="3" width="18" customWidth="1"/>
    <col min="4" max="4" width="20.109375" customWidth="1"/>
  </cols>
  <sheetData>
    <row r="2" spans="2:17" ht="18">
      <c r="B2" s="57" t="s">
        <v>534</v>
      </c>
    </row>
    <row r="5" spans="2:17">
      <c r="B5" s="1297" t="s">
        <v>90</v>
      </c>
      <c r="C5" s="1298"/>
      <c r="D5" s="1299"/>
      <c r="F5" s="1300" t="s">
        <v>63</v>
      </c>
      <c r="G5" s="1301"/>
      <c r="H5" s="1301"/>
      <c r="I5" s="1301"/>
      <c r="J5" s="1301"/>
      <c r="K5" s="1301"/>
      <c r="L5" s="1301"/>
      <c r="M5" s="1301"/>
      <c r="N5" s="1301"/>
      <c r="O5" s="1301"/>
      <c r="P5" s="1301"/>
      <c r="Q5" s="1302"/>
    </row>
    <row r="6" spans="2:17">
      <c r="B6" s="58" t="s">
        <v>64</v>
      </c>
      <c r="C6" s="265">
        <f>C12</f>
        <v>10.192901167333602</v>
      </c>
      <c r="D6" s="266" t="s">
        <v>65</v>
      </c>
      <c r="F6" s="1303" t="s">
        <v>66</v>
      </c>
      <c r="G6" s="1304"/>
      <c r="H6" s="1305" t="s">
        <v>554</v>
      </c>
      <c r="I6" s="1306"/>
      <c r="J6" s="1306"/>
      <c r="K6" s="1306"/>
      <c r="L6" s="1306"/>
      <c r="M6" s="1306"/>
      <c r="N6" s="1306"/>
      <c r="O6" s="1306"/>
      <c r="P6" s="1306"/>
      <c r="Q6" s="1307"/>
    </row>
    <row r="7" spans="2:17" ht="15" customHeight="1">
      <c r="B7" s="61" t="s">
        <v>68</v>
      </c>
      <c r="C7" s="1287" t="str">
        <f>C11</f>
        <v>v1.0.c</v>
      </c>
      <c r="D7" s="1288"/>
      <c r="F7" s="1308" t="s">
        <v>69</v>
      </c>
      <c r="G7" s="1309"/>
      <c r="H7" s="1312" t="s">
        <v>555</v>
      </c>
      <c r="I7" s="1313"/>
      <c r="J7" s="1313"/>
      <c r="K7" s="1313"/>
      <c r="L7" s="1313"/>
      <c r="M7" s="1313"/>
      <c r="N7" s="1313"/>
      <c r="O7" s="1313"/>
      <c r="P7" s="1313"/>
      <c r="Q7" s="1314"/>
    </row>
    <row r="8" spans="2:17">
      <c r="B8" s="63" t="s">
        <v>28</v>
      </c>
      <c r="C8" s="1289" t="s">
        <v>98</v>
      </c>
      <c r="D8" s="1290"/>
      <c r="F8" s="1310"/>
      <c r="G8" s="1311"/>
      <c r="H8" s="1315"/>
      <c r="I8" s="1316"/>
      <c r="J8" s="1316"/>
      <c r="K8" s="1316"/>
      <c r="L8" s="1316"/>
      <c r="M8" s="1316"/>
      <c r="N8" s="1316"/>
      <c r="O8" s="1316"/>
      <c r="P8" s="1316"/>
      <c r="Q8" s="1317"/>
    </row>
    <row r="11" spans="2:17">
      <c r="B11" s="64" t="s">
        <v>93</v>
      </c>
      <c r="C11" s="1287" t="s">
        <v>348</v>
      </c>
      <c r="D11" s="1288"/>
      <c r="E11" s="65"/>
      <c r="F11" s="65"/>
      <c r="G11" s="65"/>
      <c r="H11" s="65"/>
      <c r="I11" s="65"/>
      <c r="J11" s="65"/>
      <c r="K11" s="65"/>
      <c r="L11" s="65"/>
      <c r="M11" s="65"/>
      <c r="N11" s="65"/>
      <c r="O11" s="65"/>
      <c r="P11" s="65"/>
      <c r="Q11" s="66"/>
    </row>
    <row r="12" spans="2:17">
      <c r="B12" s="67" t="s">
        <v>95</v>
      </c>
      <c r="C12" s="68">
        <f>C59</f>
        <v>10.192901167333602</v>
      </c>
      <c r="D12" s="69" t="s">
        <v>96</v>
      </c>
      <c r="E12" s="70"/>
      <c r="F12" s="70"/>
      <c r="G12" s="70"/>
      <c r="H12" s="70"/>
      <c r="I12" s="70"/>
      <c r="J12" s="70"/>
      <c r="K12" s="70"/>
      <c r="L12" s="70"/>
      <c r="M12" s="70"/>
      <c r="N12" s="70"/>
      <c r="O12" s="70"/>
      <c r="P12" s="70"/>
      <c r="Q12" s="71"/>
    </row>
    <row r="13" spans="2:17">
      <c r="B13" s="72" t="s">
        <v>97</v>
      </c>
      <c r="C13" s="1289" t="s">
        <v>98</v>
      </c>
      <c r="D13" s="1290"/>
      <c r="E13" s="70"/>
      <c r="F13" s="70"/>
      <c r="G13" s="70"/>
      <c r="H13" s="70"/>
      <c r="I13" s="70"/>
      <c r="J13" s="70"/>
      <c r="K13" s="70"/>
      <c r="L13" s="70"/>
      <c r="M13" s="70"/>
      <c r="N13" s="70"/>
      <c r="O13" s="70"/>
      <c r="P13" s="70"/>
      <c r="Q13" s="71"/>
    </row>
    <row r="14" spans="2:17">
      <c r="B14" s="73"/>
      <c r="C14" s="74"/>
      <c r="D14" s="74"/>
      <c r="E14" s="74"/>
      <c r="F14" s="74"/>
      <c r="G14" s="74"/>
      <c r="H14" s="74"/>
      <c r="I14" s="74"/>
      <c r="J14" s="74"/>
      <c r="K14" s="74"/>
      <c r="L14" s="74"/>
      <c r="M14" s="74"/>
      <c r="N14" s="74"/>
      <c r="O14" s="74"/>
      <c r="P14" s="74"/>
      <c r="Q14" s="75"/>
    </row>
    <row r="15" spans="2:17">
      <c r="B15" s="1291" t="s">
        <v>71</v>
      </c>
      <c r="C15" s="1292"/>
      <c r="D15" s="1292"/>
      <c r="E15" s="1292"/>
      <c r="F15" s="1292"/>
      <c r="G15" s="1292"/>
      <c r="H15" s="1292"/>
      <c r="I15" s="1292"/>
      <c r="J15" s="1292"/>
      <c r="K15" s="1292"/>
      <c r="L15" s="1292"/>
      <c r="M15" s="1292"/>
      <c r="N15" s="1292"/>
      <c r="O15" s="1292"/>
      <c r="P15" s="1292"/>
      <c r="Q15" s="1293"/>
    </row>
    <row r="16" spans="2:17" ht="37.049999999999997" customHeight="1">
      <c r="B16" s="76" t="s">
        <v>72</v>
      </c>
      <c r="C16" s="1294" t="s">
        <v>556</v>
      </c>
      <c r="D16" s="1295"/>
      <c r="E16" s="1295"/>
      <c r="F16" s="1295"/>
      <c r="G16" s="1295"/>
      <c r="H16" s="1295"/>
      <c r="I16" s="1295"/>
      <c r="J16" s="1295"/>
      <c r="K16" s="1295"/>
      <c r="L16" s="1295"/>
      <c r="M16" s="1295"/>
      <c r="N16" s="1295"/>
      <c r="O16" s="1295"/>
      <c r="P16" s="1295"/>
      <c r="Q16" s="1296"/>
    </row>
    <row r="17" spans="2:17" ht="52.95" customHeight="1">
      <c r="B17" s="77" t="s">
        <v>74</v>
      </c>
      <c r="C17" s="1275" t="s">
        <v>557</v>
      </c>
      <c r="D17" s="1276"/>
      <c r="E17" s="1276"/>
      <c r="F17" s="1276"/>
      <c r="G17" s="1276"/>
      <c r="H17" s="1276"/>
      <c r="I17" s="1276"/>
      <c r="J17" s="1276"/>
      <c r="K17" s="1276"/>
      <c r="L17" s="1276"/>
      <c r="M17" s="1276"/>
      <c r="N17" s="1276"/>
      <c r="O17" s="1276"/>
      <c r="P17" s="1276"/>
      <c r="Q17" s="1277"/>
    </row>
    <row r="18" spans="2:17" ht="37.049999999999997" customHeight="1">
      <c r="B18" s="77" t="s">
        <v>76</v>
      </c>
      <c r="C18" s="1275" t="s">
        <v>558</v>
      </c>
      <c r="D18" s="1276"/>
      <c r="E18" s="1276"/>
      <c r="F18" s="1276"/>
      <c r="G18" s="1276"/>
      <c r="H18" s="1276"/>
      <c r="I18" s="1276"/>
      <c r="J18" s="1276"/>
      <c r="K18" s="1276"/>
      <c r="L18" s="1276"/>
      <c r="M18" s="1276"/>
      <c r="N18" s="1276"/>
      <c r="O18" s="1276"/>
      <c r="P18" s="1276"/>
      <c r="Q18" s="1277"/>
    </row>
    <row r="19" spans="2:17" ht="16.05" customHeight="1">
      <c r="B19" s="77" t="s">
        <v>78</v>
      </c>
      <c r="C19" s="1275" t="s">
        <v>559</v>
      </c>
      <c r="D19" s="1276"/>
      <c r="E19" s="1276"/>
      <c r="F19" s="1276"/>
      <c r="G19" s="1276"/>
      <c r="H19" s="1276"/>
      <c r="I19" s="1276"/>
      <c r="J19" s="1276"/>
      <c r="K19" s="1276"/>
      <c r="L19" s="1276"/>
      <c r="M19" s="1276"/>
      <c r="N19" s="1276"/>
      <c r="O19" s="1276"/>
      <c r="P19" s="1276"/>
      <c r="Q19" s="1277"/>
    </row>
    <row r="20" spans="2:17" ht="51" customHeight="1">
      <c r="B20" s="77" t="s">
        <v>82</v>
      </c>
      <c r="C20" s="1275" t="s">
        <v>560</v>
      </c>
      <c r="D20" s="1276"/>
      <c r="E20" s="1276"/>
      <c r="F20" s="1276"/>
      <c r="G20" s="1276"/>
      <c r="H20" s="1276"/>
      <c r="I20" s="1276"/>
      <c r="J20" s="1276"/>
      <c r="K20" s="1276"/>
      <c r="L20" s="1276"/>
      <c r="M20" s="1276"/>
      <c r="N20" s="1276"/>
      <c r="O20" s="1276"/>
      <c r="P20" s="1276"/>
      <c r="Q20" s="1277"/>
    </row>
    <row r="21" spans="2:17" ht="14.55" customHeight="1">
      <c r="B21" s="77" t="s">
        <v>84</v>
      </c>
      <c r="C21" s="1275" t="s">
        <v>541</v>
      </c>
      <c r="D21" s="1276"/>
      <c r="E21" s="1276"/>
      <c r="F21" s="1276"/>
      <c r="G21" s="1276"/>
      <c r="H21" s="1276"/>
      <c r="I21" s="1276"/>
      <c r="J21" s="1276"/>
      <c r="K21" s="1276"/>
      <c r="L21" s="1276"/>
      <c r="M21" s="1276"/>
      <c r="N21" s="1276"/>
      <c r="O21" s="1276"/>
      <c r="P21" s="1276"/>
      <c r="Q21" s="1277"/>
    </row>
    <row r="22" spans="2:17">
      <c r="B22" s="77" t="s">
        <v>86</v>
      </c>
      <c r="C22" s="1275"/>
      <c r="D22" s="1276"/>
      <c r="E22" s="1276"/>
      <c r="F22" s="1276"/>
      <c r="G22" s="1276"/>
      <c r="H22" s="1276"/>
      <c r="I22" s="1276"/>
      <c r="J22" s="1276"/>
      <c r="K22" s="1276"/>
      <c r="L22" s="1276"/>
      <c r="M22" s="1276"/>
      <c r="N22" s="1276"/>
      <c r="O22" s="1276"/>
      <c r="P22" s="1276"/>
      <c r="Q22" s="1277"/>
    </row>
    <row r="23" spans="2:17">
      <c r="B23" s="79" t="s">
        <v>88</v>
      </c>
      <c r="C23" s="1279">
        <v>44427</v>
      </c>
      <c r="D23" s="1280"/>
      <c r="E23" s="1280"/>
      <c r="F23" s="1280"/>
      <c r="G23" s="1280"/>
      <c r="H23" s="1280"/>
      <c r="I23" s="1280"/>
      <c r="J23" s="1280"/>
      <c r="K23" s="1280"/>
      <c r="L23" s="1280"/>
      <c r="M23" s="1280"/>
      <c r="N23" s="1280"/>
      <c r="O23" s="1280"/>
      <c r="P23" s="1280"/>
      <c r="Q23" s="1281"/>
    </row>
    <row r="24" spans="2:17">
      <c r="D24" s="81"/>
      <c r="E24" s="81"/>
      <c r="F24" s="81"/>
      <c r="G24" s="81"/>
      <c r="H24" s="81"/>
      <c r="I24" s="81"/>
      <c r="J24" s="81"/>
      <c r="K24" s="81"/>
      <c r="L24" s="81"/>
      <c r="M24" s="81"/>
      <c r="N24" s="81"/>
      <c r="O24" s="81"/>
      <c r="P24" s="81"/>
      <c r="Q24" s="81"/>
    </row>
    <row r="25" spans="2:17">
      <c r="B25" s="80"/>
      <c r="D25" s="81"/>
      <c r="E25" s="81"/>
      <c r="F25" s="81"/>
      <c r="G25" s="81"/>
      <c r="H25" s="81"/>
      <c r="I25" s="81"/>
      <c r="J25" s="81"/>
      <c r="K25" s="81"/>
      <c r="L25" s="81"/>
      <c r="M25" s="81"/>
      <c r="N25" s="81"/>
      <c r="O25" s="81"/>
      <c r="P25" s="81"/>
      <c r="Q25" s="81"/>
    </row>
    <row r="26" spans="2:17">
      <c r="B26" s="98" t="s">
        <v>561</v>
      </c>
      <c r="C26" s="80"/>
      <c r="D26" s="81"/>
      <c r="E26" s="81"/>
      <c r="F26" s="81"/>
      <c r="G26" s="81"/>
      <c r="H26" s="81"/>
      <c r="I26" s="81"/>
      <c r="J26" s="81"/>
      <c r="K26" s="81"/>
      <c r="L26" s="81"/>
      <c r="M26" s="81"/>
      <c r="N26" s="81"/>
      <c r="O26" s="81"/>
      <c r="P26" s="81"/>
      <c r="Q26" s="81"/>
    </row>
    <row r="27" spans="2:17">
      <c r="D27" s="81"/>
      <c r="E27" s="81"/>
      <c r="F27" s="81"/>
      <c r="G27" s="81"/>
      <c r="H27" s="81"/>
      <c r="I27" s="81"/>
      <c r="J27" s="81"/>
      <c r="K27" s="81"/>
      <c r="L27" s="81"/>
      <c r="M27" s="81"/>
      <c r="N27" s="81"/>
      <c r="O27" s="81"/>
      <c r="P27" s="81"/>
      <c r="Q27" s="81"/>
    </row>
    <row r="28" spans="2:17">
      <c r="B28" s="152" t="s">
        <v>192</v>
      </c>
      <c r="D28" s="81"/>
      <c r="E28" s="81"/>
      <c r="F28" s="81"/>
      <c r="G28" s="81"/>
      <c r="H28" s="81"/>
      <c r="I28" s="81"/>
      <c r="J28" s="81"/>
      <c r="K28" s="81"/>
      <c r="L28" s="81"/>
      <c r="M28" s="81"/>
      <c r="N28" s="81"/>
      <c r="O28" s="81"/>
      <c r="P28" s="81"/>
      <c r="Q28" s="81"/>
    </row>
    <row r="29" spans="2:17">
      <c r="B29" t="s">
        <v>562</v>
      </c>
    </row>
    <row r="30" spans="2:17">
      <c r="B30" t="s">
        <v>563</v>
      </c>
      <c r="C30" s="80"/>
      <c r="D30" s="81"/>
      <c r="E30" s="81"/>
      <c r="F30" s="81"/>
      <c r="G30" s="81"/>
      <c r="H30" s="81"/>
      <c r="I30" s="81"/>
      <c r="J30" s="81"/>
      <c r="K30" s="81"/>
      <c r="L30" s="81"/>
      <c r="M30" s="81"/>
      <c r="N30" s="81"/>
      <c r="O30" s="81"/>
      <c r="P30" s="81"/>
      <c r="Q30" s="81"/>
    </row>
    <row r="31" spans="2:17">
      <c r="B31" s="364"/>
      <c r="D31" s="81"/>
      <c r="E31" s="81"/>
      <c r="F31" s="81"/>
      <c r="G31" s="81"/>
      <c r="H31" s="81"/>
      <c r="I31" s="81"/>
      <c r="J31" s="81"/>
      <c r="K31" s="81"/>
      <c r="L31" s="81"/>
      <c r="M31" s="81"/>
      <c r="N31" s="81"/>
      <c r="O31" s="81"/>
      <c r="P31" s="81"/>
      <c r="Q31" s="81"/>
    </row>
    <row r="33" spans="2:17">
      <c r="B33" s="351" t="s">
        <v>564</v>
      </c>
      <c r="C33" s="536">
        <v>30</v>
      </c>
      <c r="D33" s="536" t="s">
        <v>546</v>
      </c>
      <c r="E33" s="537" t="s">
        <v>431</v>
      </c>
    </row>
    <row r="34" spans="2:17">
      <c r="B34" s="538" t="s">
        <v>565</v>
      </c>
      <c r="C34" s="130">
        <v>9</v>
      </c>
      <c r="D34" s="130" t="s">
        <v>546</v>
      </c>
      <c r="E34" s="115" t="s">
        <v>431</v>
      </c>
    </row>
    <row r="35" spans="2:17">
      <c r="C35" s="80"/>
      <c r="D35" s="81"/>
      <c r="E35" s="81"/>
      <c r="F35" s="81"/>
      <c r="G35" s="81"/>
      <c r="H35" s="81"/>
      <c r="I35" s="81"/>
      <c r="J35" s="81"/>
      <c r="K35" s="81"/>
      <c r="L35" s="81"/>
      <c r="M35" s="81"/>
      <c r="N35" s="81"/>
      <c r="O35" s="81"/>
      <c r="P35" s="81"/>
      <c r="Q35" s="81"/>
    </row>
    <row r="36" spans="2:17">
      <c r="B36" s="100" t="s">
        <v>123</v>
      </c>
      <c r="C36" s="80"/>
      <c r="D36" s="81"/>
      <c r="E36" s="81"/>
      <c r="F36" s="81"/>
      <c r="G36" s="81"/>
      <c r="H36" s="81"/>
      <c r="I36" s="81"/>
      <c r="J36" s="81"/>
      <c r="K36" s="81"/>
      <c r="L36" s="81"/>
      <c r="M36" s="81"/>
      <c r="N36" s="81"/>
      <c r="O36" s="81"/>
      <c r="P36" s="81"/>
      <c r="Q36" s="81"/>
    </row>
    <row r="37" spans="2:17">
      <c r="C37" s="80"/>
      <c r="D37" s="81"/>
      <c r="E37" s="81"/>
      <c r="F37" s="81"/>
      <c r="G37" s="81"/>
      <c r="H37" s="81"/>
      <c r="I37" s="81"/>
      <c r="J37" s="81"/>
      <c r="K37" s="81"/>
      <c r="L37" s="81"/>
      <c r="M37" s="81"/>
      <c r="N37" s="81"/>
      <c r="O37" s="81"/>
      <c r="P37" s="81"/>
      <c r="Q37" s="81"/>
    </row>
    <row r="38" spans="2:17">
      <c r="B38" t="s">
        <v>566</v>
      </c>
      <c r="D38" s="81"/>
      <c r="E38" s="81"/>
      <c r="F38" s="81"/>
      <c r="G38" s="81"/>
      <c r="H38" s="81"/>
      <c r="I38" s="81"/>
      <c r="J38" s="81"/>
      <c r="K38" s="81"/>
      <c r="L38" s="81"/>
      <c r="M38" s="81"/>
      <c r="N38" s="81"/>
      <c r="O38" s="81"/>
      <c r="P38" s="81"/>
      <c r="Q38" s="81"/>
    </row>
    <row r="39" spans="2:17">
      <c r="B39" t="s">
        <v>567</v>
      </c>
      <c r="C39" s="80"/>
      <c r="D39" s="81"/>
      <c r="E39" s="81"/>
      <c r="F39" s="81"/>
      <c r="G39" s="81"/>
      <c r="H39" s="81"/>
      <c r="I39" s="81"/>
      <c r="J39" s="81"/>
      <c r="K39" s="81"/>
      <c r="L39" s="81"/>
      <c r="M39" s="81"/>
      <c r="N39" s="81"/>
      <c r="O39" s="81"/>
      <c r="P39" s="81"/>
      <c r="Q39" s="81"/>
    </row>
    <row r="40" spans="2:17">
      <c r="C40" s="80"/>
      <c r="D40" s="81"/>
      <c r="E40" s="81"/>
      <c r="F40" s="81"/>
      <c r="G40" s="81"/>
      <c r="H40" s="81"/>
      <c r="I40" s="81"/>
      <c r="J40" s="81"/>
      <c r="K40" s="81"/>
      <c r="L40" s="81"/>
      <c r="M40" s="81"/>
      <c r="N40" s="81"/>
      <c r="O40" s="81"/>
      <c r="P40" s="81"/>
      <c r="Q40" s="81"/>
    </row>
    <row r="41" spans="2:17">
      <c r="B41" t="s">
        <v>568</v>
      </c>
      <c r="D41" s="81"/>
      <c r="E41" s="81"/>
      <c r="F41" s="81"/>
      <c r="G41" s="81"/>
      <c r="H41" s="81"/>
      <c r="I41" s="81"/>
      <c r="J41" s="81"/>
      <c r="K41" s="81"/>
      <c r="L41" s="81"/>
      <c r="M41" s="81"/>
      <c r="N41" s="81"/>
      <c r="O41" s="81"/>
      <c r="P41" s="81"/>
      <c r="Q41" s="81"/>
    </row>
    <row r="42" spans="2:17">
      <c r="B42" t="s">
        <v>569</v>
      </c>
      <c r="C42" s="80"/>
      <c r="D42" s="81"/>
      <c r="E42" s="81"/>
      <c r="F42" s="81"/>
      <c r="G42" s="81"/>
      <c r="H42" s="81"/>
      <c r="I42" s="81"/>
      <c r="J42" s="81"/>
      <c r="K42" s="81"/>
      <c r="L42" s="81"/>
      <c r="M42" s="81"/>
      <c r="N42" s="81"/>
      <c r="O42" s="81"/>
      <c r="P42" s="81"/>
      <c r="Q42" s="81"/>
    </row>
    <row r="43" spans="2:17">
      <c r="C43" s="80"/>
      <c r="D43" s="81"/>
      <c r="E43" s="81"/>
      <c r="F43" s="81"/>
      <c r="G43" s="81"/>
      <c r="H43" s="81"/>
      <c r="I43" s="81"/>
      <c r="J43" s="81"/>
      <c r="K43" s="81"/>
      <c r="L43" s="81"/>
      <c r="M43" s="81"/>
      <c r="N43" s="81"/>
      <c r="O43" s="81"/>
      <c r="P43" s="81"/>
      <c r="Q43" s="81"/>
    </row>
    <row r="44" spans="2:17">
      <c r="B44" s="351" t="s">
        <v>570</v>
      </c>
      <c r="C44" s="536">
        <v>8.4466000000000001</v>
      </c>
      <c r="D44" s="536" t="s">
        <v>571</v>
      </c>
      <c r="E44" s="537" t="s">
        <v>169</v>
      </c>
      <c r="F44" s="81"/>
      <c r="G44" s="81"/>
      <c r="H44" s="81"/>
      <c r="I44" s="81"/>
      <c r="J44" s="81"/>
      <c r="K44" s="81"/>
      <c r="L44" s="81"/>
      <c r="M44" s="81"/>
      <c r="N44" s="81"/>
      <c r="O44" s="81"/>
      <c r="P44" s="81"/>
      <c r="Q44" s="81"/>
    </row>
    <row r="45" spans="2:17">
      <c r="B45" s="538" t="s">
        <v>572</v>
      </c>
      <c r="C45" s="539">
        <v>10.66</v>
      </c>
      <c r="D45" s="130" t="s">
        <v>571</v>
      </c>
      <c r="E45" s="115" t="s">
        <v>169</v>
      </c>
      <c r="F45" s="81"/>
      <c r="G45" s="81"/>
      <c r="H45" s="81"/>
      <c r="I45" s="81"/>
      <c r="J45" s="81"/>
      <c r="K45" s="81"/>
      <c r="L45" s="81"/>
      <c r="M45" s="81"/>
      <c r="N45" s="81"/>
      <c r="O45" s="81"/>
      <c r="P45" s="81"/>
      <c r="Q45" s="81"/>
    </row>
    <row r="46" spans="2:17">
      <c r="B46" s="87" t="s">
        <v>573</v>
      </c>
      <c r="C46" s="540">
        <f>C44/C34</f>
        <v>0.93851111111111107</v>
      </c>
      <c r="D46" s="541" t="s">
        <v>574</v>
      </c>
      <c r="E46" s="542"/>
      <c r="F46" s="81"/>
      <c r="G46" s="81"/>
      <c r="H46" s="81"/>
      <c r="I46" s="81"/>
      <c r="J46" s="81"/>
      <c r="K46" s="81"/>
      <c r="L46" s="81"/>
      <c r="M46" s="81"/>
      <c r="N46" s="81"/>
      <c r="O46" s="81"/>
      <c r="P46" s="81"/>
      <c r="Q46" s="81"/>
    </row>
    <row r="47" spans="2:17">
      <c r="B47" s="87" t="s">
        <v>575</v>
      </c>
      <c r="C47" s="110">
        <f>C45/C46</f>
        <v>11.358416404233656</v>
      </c>
      <c r="D47" s="541" t="s">
        <v>546</v>
      </c>
      <c r="E47" s="542"/>
      <c r="F47" s="81"/>
      <c r="G47" s="81"/>
      <c r="H47" s="81"/>
      <c r="I47" s="81"/>
      <c r="J47" s="81"/>
      <c r="K47" s="81"/>
      <c r="L47" s="81"/>
      <c r="M47" s="81"/>
      <c r="N47" s="81"/>
      <c r="O47" s="81"/>
      <c r="P47" s="81"/>
      <c r="Q47" s="81"/>
    </row>
    <row r="48" spans="2:17">
      <c r="B48" s="352" t="s">
        <v>576</v>
      </c>
      <c r="C48" s="543">
        <f>C33-C34+C47</f>
        <v>32.358416404233658</v>
      </c>
      <c r="D48" s="353" t="s">
        <v>546</v>
      </c>
      <c r="E48" s="171"/>
      <c r="L48" s="97" t="s">
        <v>133</v>
      </c>
    </row>
    <row r="50" spans="2:17">
      <c r="C50" s="80"/>
      <c r="D50" s="81"/>
      <c r="E50" s="81"/>
      <c r="F50" s="81"/>
      <c r="G50" s="81"/>
      <c r="H50" s="81"/>
      <c r="I50" s="81"/>
      <c r="J50" s="81"/>
      <c r="K50" s="81"/>
      <c r="L50" s="81"/>
      <c r="M50" s="81"/>
      <c r="N50" s="81"/>
      <c r="O50" s="81"/>
      <c r="P50" s="81"/>
      <c r="Q50" s="81"/>
    </row>
    <row r="51" spans="2:17">
      <c r="D51" s="81"/>
      <c r="E51" s="81"/>
      <c r="F51" s="81"/>
      <c r="G51" s="81"/>
      <c r="H51" s="81"/>
      <c r="I51" s="81"/>
      <c r="J51" s="81"/>
      <c r="K51" s="81"/>
      <c r="L51" s="81"/>
      <c r="M51" s="81"/>
      <c r="N51" s="81"/>
      <c r="O51" s="81"/>
      <c r="P51" s="81"/>
      <c r="Q51" s="81"/>
    </row>
    <row r="52" spans="2:17">
      <c r="B52" s="100" t="s">
        <v>123</v>
      </c>
      <c r="D52" s="81"/>
      <c r="E52" s="81"/>
      <c r="F52" s="81"/>
      <c r="G52" s="81"/>
      <c r="H52" s="81"/>
      <c r="I52" s="81"/>
      <c r="J52" s="81"/>
      <c r="K52" s="81"/>
      <c r="L52" s="81"/>
      <c r="M52" s="81"/>
      <c r="N52" s="81"/>
      <c r="O52" s="81"/>
      <c r="P52" s="81"/>
      <c r="Q52" s="81"/>
    </row>
    <row r="54" spans="2:17">
      <c r="B54" s="544" t="s">
        <v>577</v>
      </c>
      <c r="C54" s="330">
        <v>315</v>
      </c>
      <c r="D54" s="110" t="s">
        <v>543</v>
      </c>
      <c r="E54" s="97" t="s">
        <v>133</v>
      </c>
    </row>
    <row r="55" spans="2:17">
      <c r="B55" s="544"/>
      <c r="C55" s="110">
        <f>C54/1000</f>
        <v>0.315</v>
      </c>
      <c r="D55" s="110" t="s">
        <v>544</v>
      </c>
    </row>
    <row r="56" spans="2:17" ht="15.6">
      <c r="B56" s="544" t="s">
        <v>578</v>
      </c>
      <c r="C56" s="545">
        <f>C48</f>
        <v>32.358416404233658</v>
      </c>
      <c r="D56" s="110" t="s">
        <v>546</v>
      </c>
      <c r="E56" s="97" t="s">
        <v>431</v>
      </c>
    </row>
    <row r="57" spans="2:17">
      <c r="B57" s="544"/>
      <c r="C57" s="110"/>
      <c r="D57" s="110"/>
    </row>
    <row r="58" spans="2:17">
      <c r="B58" s="544" t="s">
        <v>579</v>
      </c>
      <c r="C58" s="534">
        <f>C54*1000*C56</f>
        <v>10192901.167333603</v>
      </c>
      <c r="D58" s="110" t="s">
        <v>549</v>
      </c>
    </row>
    <row r="59" spans="2:17">
      <c r="C59" s="323">
        <f>C58/10^6</f>
        <v>10.192901167333602</v>
      </c>
      <c r="D59" s="323" t="s">
        <v>553</v>
      </c>
    </row>
    <row r="66" spans="2:2">
      <c r="B66" s="98"/>
    </row>
    <row r="68" spans="2:2">
      <c r="B68" s="152"/>
    </row>
  </sheetData>
  <mergeCells count="19">
    <mergeCell ref="B5:D5"/>
    <mergeCell ref="F5:Q5"/>
    <mergeCell ref="F6:G6"/>
    <mergeCell ref="H6:Q6"/>
    <mergeCell ref="C7:D7"/>
    <mergeCell ref="F7:G8"/>
    <mergeCell ref="H7:Q8"/>
    <mergeCell ref="C8:D8"/>
    <mergeCell ref="C11:D11"/>
    <mergeCell ref="C13:D13"/>
    <mergeCell ref="B15:Q15"/>
    <mergeCell ref="C16:Q16"/>
    <mergeCell ref="C17:Q17"/>
    <mergeCell ref="C22:Q22"/>
    <mergeCell ref="C23:Q23"/>
    <mergeCell ref="C18:Q18"/>
    <mergeCell ref="C19:Q19"/>
    <mergeCell ref="C20:Q20"/>
    <mergeCell ref="C21:Q21"/>
  </mergeCells>
  <conditionalFormatting sqref="C8">
    <cfRule type="containsText" dxfId="661" priority="40" operator="containsText" text="Calcul validé">
      <formula>NOT(ISERROR(SEARCH("Calcul validé",C8)))</formula>
    </cfRule>
  </conditionalFormatting>
  <conditionalFormatting sqref="C8">
    <cfRule type="containsText" dxfId="660" priority="39" operator="containsText" text="Bon ordre de grandeur">
      <formula>NOT(ISERROR(SEARCH("Bon ordre de grandeur",C8)))</formula>
    </cfRule>
  </conditionalFormatting>
  <conditionalFormatting sqref="C8">
    <cfRule type="containsText" dxfId="659" priority="38" operator="containsText" text="Calcul brouillon, ordre de grandeur">
      <formula>NOT(ISERROR(SEARCH("Calcul brouillon, ordre de grandeur",C8)))</formula>
    </cfRule>
  </conditionalFormatting>
  <conditionalFormatting sqref="C8">
    <cfRule type="containsText" dxfId="658" priority="37" operator="containsText" text="Pas ok">
      <formula>NOT(ISERROR(SEARCH("Pas ok",C8)))</formula>
    </cfRule>
  </conditionalFormatting>
  <conditionalFormatting sqref="C8">
    <cfRule type="containsText" dxfId="657" priority="36" operator="containsText" text="Calcul validé">
      <formula>NOT(ISERROR(SEARCH("Calcul validé",C8)))</formula>
    </cfRule>
  </conditionalFormatting>
  <conditionalFormatting sqref="C8">
    <cfRule type="containsText" dxfId="656" priority="35" operator="containsText" text="Calcul validé">
      <formula>NOT(ISERROR(SEARCH("Calcul validé",C8)))</formula>
    </cfRule>
  </conditionalFormatting>
  <conditionalFormatting sqref="C8">
    <cfRule type="containsText" dxfId="655" priority="34" operator="containsText" text="Bon ordre de grandeur">
      <formula>NOT(ISERROR(SEARCH("Bon ordre de grandeur",C8)))</formula>
    </cfRule>
  </conditionalFormatting>
  <conditionalFormatting sqref="C8">
    <cfRule type="containsText" dxfId="654" priority="33" operator="containsText" text="Calcul brouillon, ordre de grandeur">
      <formula>NOT(ISERROR(SEARCH("Calcul brouillon, ordre de grandeur",C8)))</formula>
    </cfRule>
  </conditionalFormatting>
  <conditionalFormatting sqref="C8">
    <cfRule type="containsText" dxfId="653" priority="32" operator="containsText" text="Pas ok">
      <formula>NOT(ISERROR(SEARCH("Pas ok",C8)))</formula>
    </cfRule>
  </conditionalFormatting>
  <conditionalFormatting sqref="C8:D8">
    <cfRule type="containsText" dxfId="652" priority="31" operator="containsText" text="Calcul brouillon, odg">
      <formula>NOT(ISERROR(SEARCH("Calcul brouillon, odg",C8)))</formula>
    </cfRule>
  </conditionalFormatting>
  <conditionalFormatting sqref="C13">
    <cfRule type="containsText" dxfId="651" priority="10" operator="containsText" text="Calcul validé">
      <formula>NOT(ISERROR(SEARCH("Calcul validé",C13)))</formula>
    </cfRule>
  </conditionalFormatting>
  <conditionalFormatting sqref="C13">
    <cfRule type="containsText" dxfId="650" priority="9" operator="containsText" text="Bon ordre de grandeur">
      <formula>NOT(ISERROR(SEARCH("Bon ordre de grandeur",C13)))</formula>
    </cfRule>
  </conditionalFormatting>
  <conditionalFormatting sqref="C13">
    <cfRule type="containsText" dxfId="649" priority="8" operator="containsText" text="Calcul brouillon, ordre de grandeur">
      <formula>NOT(ISERROR(SEARCH("Calcul brouillon, ordre de grandeur",C13)))</formula>
    </cfRule>
  </conditionalFormatting>
  <conditionalFormatting sqref="C13">
    <cfRule type="containsText" dxfId="648" priority="7" operator="containsText" text="Pas ok">
      <formula>NOT(ISERROR(SEARCH("Pas ok",C13)))</formula>
    </cfRule>
  </conditionalFormatting>
  <conditionalFormatting sqref="C13">
    <cfRule type="containsText" dxfId="647" priority="6" operator="containsText" text="Calcul validé">
      <formula>NOT(ISERROR(SEARCH("Calcul validé",C13)))</formula>
    </cfRule>
  </conditionalFormatting>
  <conditionalFormatting sqref="C13">
    <cfRule type="containsText" dxfId="646" priority="5" operator="containsText" text="Calcul validé">
      <formula>NOT(ISERROR(SEARCH("Calcul validé",C13)))</formula>
    </cfRule>
  </conditionalFormatting>
  <conditionalFormatting sqref="C13">
    <cfRule type="containsText" dxfId="645" priority="4" operator="containsText" text="Bon ordre de grandeur">
      <formula>NOT(ISERROR(SEARCH("Bon ordre de grandeur",C13)))</formula>
    </cfRule>
  </conditionalFormatting>
  <conditionalFormatting sqref="C13">
    <cfRule type="containsText" dxfId="644" priority="3" operator="containsText" text="Calcul brouillon, ordre de grandeur">
      <formula>NOT(ISERROR(SEARCH("Calcul brouillon, ordre de grandeur",C13)))</formula>
    </cfRule>
  </conditionalFormatting>
  <conditionalFormatting sqref="C13">
    <cfRule type="containsText" dxfId="643" priority="2" operator="containsText" text="Pas ok">
      <formula>NOT(ISERROR(SEARCH("Pas ok",C13)))</formula>
    </cfRule>
  </conditionalFormatting>
  <conditionalFormatting sqref="C13:D13">
    <cfRule type="containsText" dxfId="642" priority="1" operator="containsText" text="Calcul brouillon, odg">
      <formula>NOT(ISERROR(SEARCH("Calcul brouillon, odg",C13)))</formula>
    </cfRule>
  </conditionalFormatting>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'Annexe 1'!$B$5:$B$8</xm:f>
          </x14:formula1>
          <xm:sqref>C8 C13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27">
    <tabColor theme="7" tint="0.59999389629810485"/>
  </sheetPr>
  <dimension ref="B2:Q38"/>
  <sheetViews>
    <sheetView zoomScale="85" workbookViewId="0">
      <pane ySplit="2" topLeftCell="A3" activePane="bottomLeft" state="frozen"/>
      <selection activeCell="A19" sqref="A19:XFD19"/>
      <selection pane="bottomLeft"/>
    </sheetView>
  </sheetViews>
  <sheetFormatPr baseColWidth="10" defaultRowHeight="14.4"/>
  <cols>
    <col min="2" max="2" width="43.109375" customWidth="1"/>
    <col min="3" max="3" width="34" customWidth="1"/>
    <col min="4" max="4" width="30" customWidth="1"/>
    <col min="8" max="8" width="10.77734375" customWidth="1"/>
  </cols>
  <sheetData>
    <row r="2" spans="2:17" ht="18">
      <c r="B2" s="57" t="s">
        <v>580</v>
      </c>
    </row>
    <row r="5" spans="2:17">
      <c r="B5" s="1297" t="s">
        <v>90</v>
      </c>
      <c r="C5" s="1298"/>
      <c r="D5" s="1299"/>
      <c r="F5" s="1300" t="s">
        <v>63</v>
      </c>
      <c r="G5" s="1301"/>
      <c r="H5" s="1301"/>
      <c r="I5" s="1301"/>
      <c r="J5" s="1301"/>
      <c r="K5" s="1301"/>
      <c r="L5" s="1301"/>
      <c r="M5" s="1301"/>
      <c r="N5" s="1301"/>
      <c r="O5" s="1301"/>
      <c r="P5" s="1301"/>
      <c r="Q5" s="1302"/>
    </row>
    <row r="6" spans="2:17">
      <c r="B6" s="58" t="s">
        <v>64</v>
      </c>
      <c r="C6" s="265">
        <f>D38</f>
        <v>4.7702488638349944E-2</v>
      </c>
      <c r="D6" s="266" t="s">
        <v>65</v>
      </c>
      <c r="F6" s="1303" t="s">
        <v>66</v>
      </c>
      <c r="G6" s="1304"/>
      <c r="H6" s="1305" t="s">
        <v>581</v>
      </c>
      <c r="I6" s="1306"/>
      <c r="J6" s="1306"/>
      <c r="K6" s="1306"/>
      <c r="L6" s="1306"/>
      <c r="M6" s="1306"/>
      <c r="N6" s="1306"/>
      <c r="O6" s="1306"/>
      <c r="P6" s="1306"/>
      <c r="Q6" s="1307"/>
    </row>
    <row r="7" spans="2:17">
      <c r="B7" s="61" t="s">
        <v>68</v>
      </c>
      <c r="C7" s="1287" t="s">
        <v>347</v>
      </c>
      <c r="D7" s="1288"/>
      <c r="F7" s="1308" t="s">
        <v>69</v>
      </c>
      <c r="G7" s="1309"/>
      <c r="H7" s="1312" t="s">
        <v>582</v>
      </c>
      <c r="I7" s="1313"/>
      <c r="J7" s="1313"/>
      <c r="K7" s="1313"/>
      <c r="L7" s="1313"/>
      <c r="M7" s="1313"/>
      <c r="N7" s="1313"/>
      <c r="O7" s="1313"/>
      <c r="P7" s="1313"/>
      <c r="Q7" s="1314"/>
    </row>
    <row r="8" spans="2:17">
      <c r="B8" s="63" t="s">
        <v>28</v>
      </c>
      <c r="C8" s="1289" t="s">
        <v>98</v>
      </c>
      <c r="D8" s="1290"/>
      <c r="F8" s="1310"/>
      <c r="G8" s="1311"/>
      <c r="H8" s="1315"/>
      <c r="I8" s="1316"/>
      <c r="J8" s="1316"/>
      <c r="K8" s="1316"/>
      <c r="L8" s="1316"/>
      <c r="M8" s="1316"/>
      <c r="N8" s="1316"/>
      <c r="O8" s="1316"/>
      <c r="P8" s="1316"/>
      <c r="Q8" s="1317"/>
    </row>
    <row r="10" spans="2:17">
      <c r="B10" s="64" t="s">
        <v>93</v>
      </c>
      <c r="C10" s="1287" t="s">
        <v>347</v>
      </c>
      <c r="D10" s="1288"/>
      <c r="E10" s="65"/>
      <c r="F10" s="65"/>
      <c r="G10" s="65"/>
      <c r="H10" s="65"/>
      <c r="I10" s="65"/>
      <c r="J10" s="65"/>
      <c r="K10" s="65"/>
      <c r="L10" s="65"/>
      <c r="M10" s="65"/>
      <c r="N10" s="65"/>
      <c r="O10" s="65"/>
      <c r="P10" s="65"/>
      <c r="Q10" s="66"/>
    </row>
    <row r="11" spans="2:17">
      <c r="B11" s="67" t="s">
        <v>95</v>
      </c>
      <c r="C11" s="68">
        <f>D38</f>
        <v>4.7702488638349944E-2</v>
      </c>
      <c r="D11" s="69" t="s">
        <v>96</v>
      </c>
      <c r="E11" s="70"/>
      <c r="F11" s="70"/>
      <c r="G11" s="70"/>
      <c r="H11" s="70"/>
      <c r="I11" s="70"/>
      <c r="J11" s="70"/>
      <c r="K11" s="70"/>
      <c r="L11" s="70"/>
      <c r="M11" s="70"/>
      <c r="N11" s="70"/>
      <c r="O11" s="70"/>
      <c r="P11" s="70"/>
      <c r="Q11" s="71"/>
    </row>
    <row r="12" spans="2:17">
      <c r="B12" s="72" t="s">
        <v>97</v>
      </c>
      <c r="C12" s="1289" t="s">
        <v>98</v>
      </c>
      <c r="D12" s="1290"/>
      <c r="E12" s="70" t="s">
        <v>583</v>
      </c>
      <c r="F12" s="70"/>
      <c r="G12" s="70"/>
      <c r="H12" s="70"/>
      <c r="I12" s="70"/>
      <c r="J12" s="70"/>
      <c r="K12" s="70"/>
      <c r="L12" s="70"/>
      <c r="M12" s="70"/>
      <c r="N12" s="70"/>
      <c r="O12" s="70"/>
      <c r="P12" s="70"/>
      <c r="Q12" s="71"/>
    </row>
    <row r="13" spans="2:17">
      <c r="B13" s="73"/>
      <c r="C13" s="74"/>
      <c r="D13" s="74"/>
      <c r="E13" s="74"/>
      <c r="F13" s="74"/>
      <c r="G13" s="74"/>
      <c r="H13" s="74"/>
      <c r="I13" s="74"/>
      <c r="J13" s="74"/>
      <c r="K13" s="74"/>
      <c r="L13" s="74"/>
      <c r="M13" s="74"/>
      <c r="N13" s="74"/>
      <c r="O13" s="74"/>
      <c r="P13" s="74"/>
      <c r="Q13" s="75"/>
    </row>
    <row r="14" spans="2:17">
      <c r="B14" s="1291" t="s">
        <v>71</v>
      </c>
      <c r="C14" s="1292"/>
      <c r="D14" s="1292"/>
      <c r="E14" s="1292"/>
      <c r="F14" s="1292"/>
      <c r="G14" s="1292"/>
      <c r="H14" s="1292"/>
      <c r="I14" s="1292"/>
      <c r="J14" s="1292"/>
      <c r="K14" s="1292"/>
      <c r="L14" s="1292"/>
      <c r="M14" s="1292"/>
      <c r="N14" s="1292"/>
      <c r="O14" s="1292"/>
      <c r="P14" s="1292"/>
      <c r="Q14" s="1293"/>
    </row>
    <row r="15" spans="2:17">
      <c r="B15" s="76" t="s">
        <v>72</v>
      </c>
      <c r="C15" s="1294" t="s">
        <v>584</v>
      </c>
      <c r="D15" s="1295"/>
      <c r="E15" s="1295"/>
      <c r="F15" s="1295"/>
      <c r="G15" s="1295"/>
      <c r="H15" s="1295"/>
      <c r="I15" s="1295"/>
      <c r="J15" s="1295"/>
      <c r="K15" s="1295"/>
      <c r="L15" s="1295"/>
      <c r="M15" s="1295"/>
      <c r="N15" s="1295"/>
      <c r="O15" s="1295"/>
      <c r="P15" s="1295"/>
      <c r="Q15" s="1296"/>
    </row>
    <row r="16" spans="2:17" ht="31.05" customHeight="1">
      <c r="B16" s="77" t="s">
        <v>74</v>
      </c>
      <c r="C16" s="1275" t="s">
        <v>585</v>
      </c>
      <c r="D16" s="1276"/>
      <c r="E16" s="1276"/>
      <c r="F16" s="1276"/>
      <c r="G16" s="1276"/>
      <c r="H16" s="1276"/>
      <c r="I16" s="1276"/>
      <c r="J16" s="1276"/>
      <c r="K16" s="1276"/>
      <c r="L16" s="1276"/>
      <c r="M16" s="1276"/>
      <c r="N16" s="1276"/>
      <c r="O16" s="1276"/>
      <c r="P16" s="1276"/>
      <c r="Q16" s="1277"/>
    </row>
    <row r="17" spans="2:17">
      <c r="B17" s="77" t="s">
        <v>76</v>
      </c>
      <c r="C17" s="1275" t="s">
        <v>586</v>
      </c>
      <c r="D17" s="1276"/>
      <c r="E17" s="1276"/>
      <c r="F17" s="1276"/>
      <c r="G17" s="1276"/>
      <c r="H17" s="1276"/>
      <c r="I17" s="1276"/>
      <c r="J17" s="1276"/>
      <c r="K17" s="1276"/>
      <c r="L17" s="1276"/>
      <c r="M17" s="1276"/>
      <c r="N17" s="1276"/>
      <c r="O17" s="1276"/>
      <c r="P17" s="1276"/>
      <c r="Q17" s="1277"/>
    </row>
    <row r="18" spans="2:17">
      <c r="B18" s="77" t="s">
        <v>78</v>
      </c>
      <c r="C18" s="1275" t="s">
        <v>587</v>
      </c>
      <c r="D18" s="1276"/>
      <c r="E18" s="1276"/>
      <c r="F18" s="1276"/>
      <c r="G18" s="1276"/>
      <c r="H18" s="1276"/>
      <c r="I18" s="1276"/>
      <c r="J18" s="1276"/>
      <c r="K18" s="1276"/>
      <c r="L18" s="1276"/>
      <c r="M18" s="1276"/>
      <c r="N18" s="1276"/>
      <c r="O18" s="1276"/>
      <c r="P18" s="1276"/>
      <c r="Q18" s="1277"/>
    </row>
    <row r="19" spans="2:17">
      <c r="B19" s="77" t="s">
        <v>82</v>
      </c>
      <c r="C19" s="1275" t="s">
        <v>588</v>
      </c>
      <c r="D19" s="1276"/>
      <c r="E19" s="1276"/>
      <c r="F19" s="1276"/>
      <c r="G19" s="1276"/>
      <c r="H19" s="1276"/>
      <c r="I19" s="1276"/>
      <c r="J19" s="1276"/>
      <c r="K19" s="1276"/>
      <c r="L19" s="1276"/>
      <c r="M19" s="1276"/>
      <c r="N19" s="1276"/>
      <c r="O19" s="1276"/>
      <c r="P19" s="1276"/>
      <c r="Q19" s="1277"/>
    </row>
    <row r="20" spans="2:17">
      <c r="B20" s="77" t="s">
        <v>84</v>
      </c>
      <c r="C20" s="1275" t="s">
        <v>589</v>
      </c>
      <c r="D20" s="1276"/>
      <c r="E20" s="1276"/>
      <c r="F20" s="1276"/>
      <c r="G20" s="1276"/>
      <c r="H20" s="1276"/>
      <c r="I20" s="1276"/>
      <c r="J20" s="1276"/>
      <c r="K20" s="1276"/>
      <c r="L20" s="1276"/>
      <c r="M20" s="1276"/>
      <c r="N20" s="1276"/>
      <c r="O20" s="1276"/>
      <c r="P20" s="1276"/>
      <c r="Q20" s="1277"/>
    </row>
    <row r="21" spans="2:17">
      <c r="B21" s="77" t="s">
        <v>86</v>
      </c>
      <c r="C21" s="1275" t="s">
        <v>590</v>
      </c>
      <c r="D21" s="1276"/>
      <c r="E21" s="1276"/>
      <c r="F21" s="1276"/>
      <c r="G21" s="1276"/>
      <c r="H21" s="1276"/>
      <c r="I21" s="1276"/>
      <c r="J21" s="1276"/>
      <c r="K21" s="1276"/>
      <c r="L21" s="1276"/>
      <c r="M21" s="1276"/>
      <c r="N21" s="1276"/>
      <c r="O21" s="1276"/>
      <c r="P21" s="1276"/>
      <c r="Q21" s="1277"/>
    </row>
    <row r="22" spans="2:17">
      <c r="B22" s="79" t="s">
        <v>88</v>
      </c>
      <c r="C22" s="1279">
        <v>44942</v>
      </c>
      <c r="D22" s="1280"/>
      <c r="E22" s="1280"/>
      <c r="F22" s="1280"/>
      <c r="G22" s="1280"/>
      <c r="H22" s="1280"/>
      <c r="I22" s="1280"/>
      <c r="J22" s="1280"/>
      <c r="K22" s="1280"/>
      <c r="L22" s="1280"/>
      <c r="M22" s="1280"/>
      <c r="N22" s="1280"/>
      <c r="O22" s="1280"/>
      <c r="P22" s="1280"/>
      <c r="Q22" s="1281"/>
    </row>
    <row r="26" spans="2:17" s="78" customFormat="1" ht="37.049999999999997" customHeight="1">
      <c r="B26" s="546" t="s">
        <v>591</v>
      </c>
      <c r="C26" s="547" t="s">
        <v>592</v>
      </c>
      <c r="D26" s="547" t="s">
        <v>593</v>
      </c>
      <c r="E26" s="547" t="s">
        <v>130</v>
      </c>
      <c r="F26" s="548" t="s">
        <v>594</v>
      </c>
      <c r="G26" s="548" t="s">
        <v>129</v>
      </c>
      <c r="H26" s="548" t="s">
        <v>130</v>
      </c>
      <c r="I26" s="548" t="s">
        <v>595</v>
      </c>
      <c r="J26" s="549" t="s">
        <v>596</v>
      </c>
      <c r="M26" s="86"/>
      <c r="N26" s="86"/>
    </row>
    <row r="27" spans="2:17" ht="36.75" customHeight="1">
      <c r="B27" s="550" t="s">
        <v>597</v>
      </c>
      <c r="C27" s="551">
        <v>10</v>
      </c>
      <c r="D27" s="110"/>
      <c r="E27" s="551" t="s">
        <v>133</v>
      </c>
      <c r="F27" s="551">
        <v>900</v>
      </c>
      <c r="G27" s="552" t="s">
        <v>598</v>
      </c>
      <c r="H27" s="553" t="s">
        <v>599</v>
      </c>
      <c r="I27" s="552">
        <f t="shared" ref="I27:I28" si="0">(C27+D27)*10^3*F27*10^-9</f>
        <v>9.0000000000000011E-3</v>
      </c>
      <c r="J27" s="554" t="s">
        <v>243</v>
      </c>
      <c r="M27" s="98"/>
    </row>
    <row r="28" spans="2:17" ht="31.8">
      <c r="B28" s="550" t="s">
        <v>600</v>
      </c>
      <c r="C28" s="110">
        <v>17</v>
      </c>
      <c r="D28" s="110">
        <v>8</v>
      </c>
      <c r="E28" s="551" t="s">
        <v>133</v>
      </c>
      <c r="F28" s="551">
        <v>900</v>
      </c>
      <c r="G28" s="552" t="s">
        <v>598</v>
      </c>
      <c r="H28" s="553" t="s">
        <v>599</v>
      </c>
      <c r="I28" s="552">
        <f t="shared" si="0"/>
        <v>2.2500000000000003E-2</v>
      </c>
      <c r="J28" s="554" t="s">
        <v>243</v>
      </c>
      <c r="M28" s="98"/>
    </row>
    <row r="29" spans="2:17">
      <c r="H29" s="456" t="s">
        <v>119</v>
      </c>
      <c r="I29" s="555">
        <f>SUM(I27:I28)</f>
        <v>3.15E-2</v>
      </c>
      <c r="J29" s="556" t="s">
        <v>243</v>
      </c>
      <c r="M29" s="98"/>
    </row>
    <row r="30" spans="2:17">
      <c r="M30" s="98"/>
    </row>
    <row r="31" spans="2:17">
      <c r="B31" t="s">
        <v>601</v>
      </c>
      <c r="M31" s="98"/>
    </row>
    <row r="32" spans="2:17">
      <c r="B32" t="s">
        <v>602</v>
      </c>
      <c r="M32" s="98"/>
    </row>
    <row r="33" spans="2:13">
      <c r="B33" t="s">
        <v>603</v>
      </c>
      <c r="M33" s="98"/>
    </row>
    <row r="34" spans="2:13">
      <c r="M34" s="98"/>
    </row>
    <row r="35" spans="2:13">
      <c r="B35" s="254"/>
      <c r="C35" s="113" t="s">
        <v>604</v>
      </c>
      <c r="D35" s="114" t="s">
        <v>605</v>
      </c>
      <c r="M35" s="98"/>
    </row>
    <row r="36" spans="2:13">
      <c r="B36" s="218" t="s">
        <v>606</v>
      </c>
      <c r="C36" s="557">
        <f>'22'!C117 + '22'!C121 - '9.alimentaire'!C190</f>
        <v>1647648</v>
      </c>
      <c r="D36" s="271">
        <f>I29</f>
        <v>3.15E-2</v>
      </c>
    </row>
    <row r="37" spans="2:13" ht="28.8">
      <c r="B37" s="218" t="s">
        <v>607</v>
      </c>
      <c r="C37" s="557">
        <f>'22'!C118+'22'!C119 +'22'!C120 +'9.alimentaire'!C190</f>
        <v>847492</v>
      </c>
      <c r="D37" s="271">
        <f>D36*C37/C36</f>
        <v>1.620248863834994E-2</v>
      </c>
    </row>
    <row r="38" spans="2:13">
      <c r="B38" s="119" t="s">
        <v>119</v>
      </c>
      <c r="C38" s="558">
        <f>SUM(C36:C37)</f>
        <v>2495140</v>
      </c>
      <c r="D38" s="286">
        <f>SUM(D36:D37)</f>
        <v>4.7702488638349944E-2</v>
      </c>
    </row>
  </sheetData>
  <mergeCells count="19">
    <mergeCell ref="B5:D5"/>
    <mergeCell ref="F5:Q5"/>
    <mergeCell ref="F6:G6"/>
    <mergeCell ref="H6:Q6"/>
    <mergeCell ref="C7:D7"/>
    <mergeCell ref="F7:G8"/>
    <mergeCell ref="H7:Q8"/>
    <mergeCell ref="C8:D8"/>
    <mergeCell ref="C10:D10"/>
    <mergeCell ref="C12:D12"/>
    <mergeCell ref="B14:Q14"/>
    <mergeCell ref="C15:Q15"/>
    <mergeCell ref="C16:Q16"/>
    <mergeCell ref="C21:Q21"/>
    <mergeCell ref="C22:Q22"/>
    <mergeCell ref="C17:Q17"/>
    <mergeCell ref="C18:Q18"/>
    <mergeCell ref="C19:Q19"/>
    <mergeCell ref="C20:Q20"/>
  </mergeCells>
  <conditionalFormatting sqref="C8">
    <cfRule type="containsText" dxfId="641" priority="20" operator="containsText" text="Calcul validé">
      <formula>NOT(ISERROR(SEARCH("Calcul validé",C8)))</formula>
    </cfRule>
  </conditionalFormatting>
  <conditionalFormatting sqref="C8">
    <cfRule type="containsText" dxfId="640" priority="19" operator="containsText" text="Bon ordre de grandeur">
      <formula>NOT(ISERROR(SEARCH("Bon ordre de grandeur",C8)))</formula>
    </cfRule>
  </conditionalFormatting>
  <conditionalFormatting sqref="C8">
    <cfRule type="containsText" dxfId="639" priority="18" operator="containsText" text="Calcul brouillon, ordre de grandeur">
      <formula>NOT(ISERROR(SEARCH("Calcul brouillon, ordre de grandeur",C8)))</formula>
    </cfRule>
  </conditionalFormatting>
  <conditionalFormatting sqref="C8">
    <cfRule type="containsText" dxfId="638" priority="17" operator="containsText" text="Pas ok">
      <formula>NOT(ISERROR(SEARCH("Pas ok",C8)))</formula>
    </cfRule>
  </conditionalFormatting>
  <conditionalFormatting sqref="C8">
    <cfRule type="containsText" dxfId="637" priority="16" operator="containsText" text="Calcul validé">
      <formula>NOT(ISERROR(SEARCH("Calcul validé",C8)))</formula>
    </cfRule>
  </conditionalFormatting>
  <conditionalFormatting sqref="C8">
    <cfRule type="containsText" dxfId="636" priority="15" operator="containsText" text="Calcul validé">
      <formula>NOT(ISERROR(SEARCH("Calcul validé",C8)))</formula>
    </cfRule>
  </conditionalFormatting>
  <conditionalFormatting sqref="C8">
    <cfRule type="containsText" dxfId="635" priority="14" operator="containsText" text="Bon ordre de grandeur">
      <formula>NOT(ISERROR(SEARCH("Bon ordre de grandeur",C8)))</formula>
    </cfRule>
  </conditionalFormatting>
  <conditionalFormatting sqref="C8">
    <cfRule type="containsText" dxfId="634" priority="13" operator="containsText" text="Calcul brouillon, ordre de grandeur">
      <formula>NOT(ISERROR(SEARCH("Calcul brouillon, ordre de grandeur",C8)))</formula>
    </cfRule>
  </conditionalFormatting>
  <conditionalFormatting sqref="C8">
    <cfRule type="containsText" dxfId="633" priority="12" operator="containsText" text="Pas ok">
      <formula>NOT(ISERROR(SEARCH("Pas ok",C8)))</formula>
    </cfRule>
  </conditionalFormatting>
  <conditionalFormatting sqref="C8:D8">
    <cfRule type="containsText" dxfId="632" priority="11" operator="containsText" text="Calcul brouillon, odg">
      <formula>NOT(ISERROR(SEARCH("Calcul brouillon, odg",C8)))</formula>
    </cfRule>
  </conditionalFormatting>
  <conditionalFormatting sqref="C12">
    <cfRule type="containsText" dxfId="631" priority="10" operator="containsText" text="Calcul validé">
      <formula>NOT(ISERROR(SEARCH("Calcul validé",C12)))</formula>
    </cfRule>
  </conditionalFormatting>
  <conditionalFormatting sqref="C12">
    <cfRule type="containsText" dxfId="630" priority="9" operator="containsText" text="Bon ordre de grandeur">
      <formula>NOT(ISERROR(SEARCH("Bon ordre de grandeur",C12)))</formula>
    </cfRule>
  </conditionalFormatting>
  <conditionalFormatting sqref="C12">
    <cfRule type="containsText" dxfId="629" priority="8" operator="containsText" text="Calcul brouillon, ordre de grandeur">
      <formula>NOT(ISERROR(SEARCH("Calcul brouillon, ordre de grandeur",C12)))</formula>
    </cfRule>
  </conditionalFormatting>
  <conditionalFormatting sqref="C12">
    <cfRule type="containsText" dxfId="628" priority="7" operator="containsText" text="Pas ok">
      <formula>NOT(ISERROR(SEARCH("Pas ok",C12)))</formula>
    </cfRule>
  </conditionalFormatting>
  <conditionalFormatting sqref="C12">
    <cfRule type="containsText" dxfId="627" priority="6" operator="containsText" text="Calcul validé">
      <formula>NOT(ISERROR(SEARCH("Calcul validé",C12)))</formula>
    </cfRule>
  </conditionalFormatting>
  <conditionalFormatting sqref="C12">
    <cfRule type="containsText" dxfId="626" priority="5" operator="containsText" text="Calcul validé">
      <formula>NOT(ISERROR(SEARCH("Calcul validé",C12)))</formula>
    </cfRule>
  </conditionalFormatting>
  <conditionalFormatting sqref="C12">
    <cfRule type="containsText" dxfId="625" priority="4" operator="containsText" text="Bon ordre de grandeur">
      <formula>NOT(ISERROR(SEARCH("Bon ordre de grandeur",C12)))</formula>
    </cfRule>
  </conditionalFormatting>
  <conditionalFormatting sqref="C12">
    <cfRule type="containsText" dxfId="624" priority="3" operator="containsText" text="Calcul brouillon, ordre de grandeur">
      <formula>NOT(ISERROR(SEARCH("Calcul brouillon, ordre de grandeur",C12)))</formula>
    </cfRule>
  </conditionalFormatting>
  <conditionalFormatting sqref="C12">
    <cfRule type="containsText" dxfId="623" priority="2" operator="containsText" text="Pas ok">
      <formula>NOT(ISERROR(SEARCH("Pas ok",C12)))</formula>
    </cfRule>
  </conditionalFormatting>
  <conditionalFormatting sqref="C12:D12">
    <cfRule type="containsText" dxfId="622" priority="1" operator="containsText" text="Calcul brouillon, odg">
      <formula>NOT(ISERROR(SEARCH("Calcul brouillon, odg",C12)))</formula>
    </cfRule>
  </conditionalFormatting>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'Annexe 1'!$B$5:$B$8</xm:f>
          </x14:formula1>
          <xm:sqref>C8 C12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28">
    <tabColor theme="7" tint="0.59999389629810485"/>
  </sheetPr>
  <dimension ref="B2:R51"/>
  <sheetViews>
    <sheetView zoomScale="85" workbookViewId="0">
      <pane ySplit="2" topLeftCell="A3" activePane="bottomLeft" state="frozen"/>
      <selection activeCell="A21" sqref="A21:XFD21"/>
      <selection pane="bottomLeft"/>
    </sheetView>
  </sheetViews>
  <sheetFormatPr baseColWidth="10" defaultRowHeight="14.4"/>
  <cols>
    <col min="2" max="2" width="43.109375" customWidth="1"/>
    <col min="3" max="3" width="29.44140625" customWidth="1"/>
    <col min="4" max="4" width="32" customWidth="1"/>
    <col min="5" max="5" width="43.44140625" customWidth="1"/>
    <col min="6" max="6" width="25.77734375" customWidth="1"/>
    <col min="8" max="8" width="38.44140625" style="78" customWidth="1"/>
  </cols>
  <sheetData>
    <row r="2" spans="2:17" ht="18">
      <c r="B2" s="57" t="s">
        <v>608</v>
      </c>
    </row>
    <row r="5" spans="2:17">
      <c r="B5" s="1297" t="s">
        <v>90</v>
      </c>
      <c r="C5" s="1298"/>
      <c r="D5" s="1299"/>
      <c r="F5" s="1300" t="s">
        <v>63</v>
      </c>
      <c r="G5" s="1301"/>
      <c r="H5" s="1301"/>
      <c r="I5" s="1301"/>
      <c r="J5" s="1301"/>
      <c r="K5" s="1301"/>
      <c r="L5" s="1301"/>
      <c r="M5" s="1301"/>
      <c r="N5" s="1301"/>
      <c r="O5" s="1301"/>
      <c r="P5" s="1301"/>
      <c r="Q5" s="1302"/>
    </row>
    <row r="6" spans="2:17">
      <c r="B6" s="58" t="s">
        <v>64</v>
      </c>
      <c r="C6" s="265">
        <f>C13</f>
        <v>1.0928667000000001</v>
      </c>
      <c r="D6" s="266" t="s">
        <v>65</v>
      </c>
      <c r="F6" s="1303" t="s">
        <v>66</v>
      </c>
      <c r="G6" s="1304"/>
      <c r="H6" s="1305" t="s">
        <v>609</v>
      </c>
      <c r="I6" s="1306"/>
      <c r="J6" s="1306"/>
      <c r="K6" s="1306"/>
      <c r="L6" s="1306"/>
      <c r="M6" s="1306"/>
      <c r="N6" s="1306"/>
      <c r="O6" s="1306"/>
      <c r="P6" s="1306"/>
      <c r="Q6" s="1307"/>
    </row>
    <row r="7" spans="2:17">
      <c r="B7" s="61" t="s">
        <v>68</v>
      </c>
      <c r="C7" s="1287" t="s">
        <v>351</v>
      </c>
      <c r="D7" s="1288"/>
      <c r="F7" s="1308" t="s">
        <v>69</v>
      </c>
      <c r="G7" s="1309"/>
      <c r="H7" s="1312" t="s">
        <v>610</v>
      </c>
      <c r="I7" s="1313"/>
      <c r="J7" s="1313"/>
      <c r="K7" s="1313"/>
      <c r="L7" s="1313"/>
      <c r="M7" s="1313"/>
      <c r="N7" s="1313"/>
      <c r="O7" s="1313"/>
      <c r="P7" s="1313"/>
      <c r="Q7" s="1314"/>
    </row>
    <row r="8" spans="2:17">
      <c r="B8" s="63" t="s">
        <v>28</v>
      </c>
      <c r="C8" s="1289" t="s">
        <v>98</v>
      </c>
      <c r="D8" s="1290"/>
      <c r="F8" s="1310"/>
      <c r="G8" s="1311"/>
      <c r="H8" s="1315"/>
      <c r="I8" s="1316"/>
      <c r="J8" s="1316"/>
      <c r="K8" s="1316"/>
      <c r="L8" s="1316"/>
      <c r="M8" s="1316"/>
      <c r="N8" s="1316"/>
      <c r="O8" s="1316"/>
      <c r="P8" s="1316"/>
      <c r="Q8" s="1317"/>
    </row>
    <row r="12" spans="2:17">
      <c r="B12" s="64" t="s">
        <v>93</v>
      </c>
      <c r="C12" s="1287" t="s">
        <v>351</v>
      </c>
      <c r="D12" s="1288"/>
      <c r="E12" s="65"/>
      <c r="F12" s="65"/>
      <c r="G12" s="65"/>
      <c r="H12" s="559"/>
      <c r="I12" s="65"/>
      <c r="J12" s="65"/>
      <c r="K12" s="65"/>
      <c r="L12" s="65"/>
      <c r="M12" s="65"/>
      <c r="N12" s="65"/>
      <c r="O12" s="65"/>
      <c r="P12" s="65"/>
      <c r="Q12" s="66"/>
    </row>
    <row r="13" spans="2:17">
      <c r="B13" s="67" t="s">
        <v>95</v>
      </c>
      <c r="C13" s="68">
        <f>C51</f>
        <v>1.0928667000000001</v>
      </c>
      <c r="D13" s="69" t="s">
        <v>96</v>
      </c>
      <c r="E13" s="70"/>
      <c r="F13" s="70"/>
      <c r="G13" s="70"/>
      <c r="H13" s="560"/>
      <c r="I13" s="70"/>
      <c r="J13" s="70"/>
      <c r="K13" s="70"/>
      <c r="L13" s="70"/>
      <c r="M13" s="70"/>
      <c r="N13" s="70"/>
      <c r="O13" s="70"/>
      <c r="P13" s="70"/>
      <c r="Q13" s="71"/>
    </row>
    <row r="14" spans="2:17">
      <c r="B14" s="72" t="s">
        <v>97</v>
      </c>
      <c r="C14" s="1289" t="s">
        <v>98</v>
      </c>
      <c r="D14" s="1290"/>
      <c r="E14" s="70" t="s">
        <v>583</v>
      </c>
      <c r="F14" s="70"/>
      <c r="G14" s="70"/>
      <c r="H14" s="560"/>
      <c r="I14" s="70"/>
      <c r="J14" s="70"/>
      <c r="K14" s="70"/>
      <c r="L14" s="70"/>
      <c r="M14" s="70"/>
      <c r="N14" s="70"/>
      <c r="O14" s="70"/>
      <c r="P14" s="70"/>
      <c r="Q14" s="71"/>
    </row>
    <row r="15" spans="2:17">
      <c r="B15" s="73"/>
      <c r="C15" s="74"/>
      <c r="D15" s="74"/>
      <c r="E15" s="74"/>
      <c r="F15" s="74"/>
      <c r="G15" s="74"/>
      <c r="H15" s="561"/>
      <c r="I15" s="74"/>
      <c r="J15" s="74"/>
      <c r="K15" s="74"/>
      <c r="L15" s="74"/>
      <c r="M15" s="74"/>
      <c r="N15" s="74"/>
      <c r="O15" s="74"/>
      <c r="P15" s="74"/>
      <c r="Q15" s="75"/>
    </row>
    <row r="16" spans="2:17">
      <c r="B16" s="1291" t="s">
        <v>71</v>
      </c>
      <c r="C16" s="1292"/>
      <c r="D16" s="1292"/>
      <c r="E16" s="1292"/>
      <c r="F16" s="1292"/>
      <c r="G16" s="1292"/>
      <c r="H16" s="1292"/>
      <c r="I16" s="1292"/>
      <c r="J16" s="1292"/>
      <c r="K16" s="1292"/>
      <c r="L16" s="1292"/>
      <c r="M16" s="1292"/>
      <c r="N16" s="1292"/>
      <c r="O16" s="1292"/>
      <c r="P16" s="1292"/>
      <c r="Q16" s="1293"/>
    </row>
    <row r="17" spans="2:18">
      <c r="B17" s="76" t="s">
        <v>72</v>
      </c>
      <c r="C17" s="1294"/>
      <c r="D17" s="1295"/>
      <c r="E17" s="1295"/>
      <c r="F17" s="1295"/>
      <c r="G17" s="1295"/>
      <c r="H17" s="1295"/>
      <c r="I17" s="1295"/>
      <c r="J17" s="1295"/>
      <c r="K17" s="1295"/>
      <c r="L17" s="1295"/>
      <c r="M17" s="1295"/>
      <c r="N17" s="1295"/>
      <c r="O17" s="1295"/>
      <c r="P17" s="1295"/>
      <c r="Q17" s="1296"/>
      <c r="R17" s="433"/>
    </row>
    <row r="18" spans="2:18" ht="34.049999999999997" customHeight="1">
      <c r="B18" s="77" t="s">
        <v>74</v>
      </c>
      <c r="C18" s="1275" t="s">
        <v>611</v>
      </c>
      <c r="D18" s="1276"/>
      <c r="E18" s="1276"/>
      <c r="F18" s="1276"/>
      <c r="G18" s="1276"/>
      <c r="H18" s="1276"/>
      <c r="I18" s="1276"/>
      <c r="J18" s="1276"/>
      <c r="K18" s="1276"/>
      <c r="L18" s="1276"/>
      <c r="M18" s="1276"/>
      <c r="N18" s="1276"/>
      <c r="O18" s="1276"/>
      <c r="P18" s="1276"/>
      <c r="Q18" s="1277"/>
    </row>
    <row r="19" spans="2:18" ht="16.95" customHeight="1">
      <c r="B19" s="77" t="s">
        <v>76</v>
      </c>
      <c r="C19" s="1275" t="s">
        <v>612</v>
      </c>
      <c r="D19" s="1276"/>
      <c r="E19" s="1276"/>
      <c r="F19" s="1276"/>
      <c r="G19" s="1276"/>
      <c r="H19" s="1276"/>
      <c r="I19" s="1276"/>
      <c r="J19" s="1276"/>
      <c r="K19" s="1276"/>
      <c r="L19" s="1276"/>
      <c r="M19" s="1276"/>
      <c r="N19" s="1276"/>
      <c r="O19" s="1276"/>
      <c r="P19" s="1276"/>
      <c r="Q19" s="1277"/>
    </row>
    <row r="20" spans="2:18">
      <c r="B20" s="77" t="s">
        <v>78</v>
      </c>
      <c r="C20" s="1275" t="s">
        <v>613</v>
      </c>
      <c r="D20" s="1276"/>
      <c r="E20" s="1276"/>
      <c r="F20" s="1276"/>
      <c r="G20" s="1276"/>
      <c r="H20" s="1276"/>
      <c r="I20" s="1276"/>
      <c r="J20" s="1276"/>
      <c r="K20" s="1276"/>
      <c r="L20" s="1276"/>
      <c r="M20" s="1276"/>
      <c r="N20" s="1276"/>
      <c r="O20" s="1276"/>
      <c r="P20" s="1276"/>
      <c r="Q20" s="1277"/>
    </row>
    <row r="21" spans="2:18">
      <c r="B21" s="77" t="s">
        <v>82</v>
      </c>
      <c r="C21" s="1275" t="s">
        <v>614</v>
      </c>
      <c r="D21" s="1276"/>
      <c r="E21" s="1276"/>
      <c r="F21" s="1276"/>
      <c r="G21" s="1276"/>
      <c r="H21" s="1276"/>
      <c r="I21" s="1276"/>
      <c r="J21" s="1276"/>
      <c r="K21" s="1276"/>
      <c r="L21" s="1276"/>
      <c r="M21" s="1276"/>
      <c r="N21" s="1276"/>
      <c r="O21" s="1276"/>
      <c r="P21" s="1276"/>
      <c r="Q21" s="1277"/>
    </row>
    <row r="22" spans="2:18">
      <c r="B22" s="77" t="s">
        <v>84</v>
      </c>
      <c r="C22" s="1275" t="s">
        <v>615</v>
      </c>
      <c r="D22" s="1276"/>
      <c r="E22" s="1276"/>
      <c r="F22" s="1276"/>
      <c r="G22" s="1276"/>
      <c r="H22" s="1276"/>
      <c r="I22" s="1276"/>
      <c r="J22" s="1276"/>
      <c r="K22" s="1276"/>
      <c r="L22" s="1276"/>
      <c r="M22" s="1276"/>
      <c r="N22" s="1276"/>
      <c r="O22" s="1276"/>
      <c r="P22" s="1276"/>
      <c r="Q22" s="1277"/>
    </row>
    <row r="23" spans="2:18">
      <c r="B23" s="77" t="s">
        <v>86</v>
      </c>
      <c r="C23" s="1275"/>
      <c r="D23" s="1276"/>
      <c r="E23" s="1276"/>
      <c r="F23" s="1276"/>
      <c r="G23" s="1276"/>
      <c r="H23" s="1276"/>
      <c r="I23" s="1276"/>
      <c r="J23" s="1276"/>
      <c r="K23" s="1276"/>
      <c r="L23" s="1276"/>
      <c r="M23" s="1276"/>
      <c r="N23" s="1276"/>
      <c r="O23" s="1276"/>
      <c r="P23" s="1276"/>
      <c r="Q23" s="1277"/>
    </row>
    <row r="24" spans="2:18">
      <c r="B24" s="79" t="s">
        <v>88</v>
      </c>
      <c r="C24" s="1279">
        <v>44950</v>
      </c>
      <c r="D24" s="1280"/>
      <c r="E24" s="1280"/>
      <c r="F24" s="1280"/>
      <c r="G24" s="1280"/>
      <c r="H24" s="1280"/>
      <c r="I24" s="1280"/>
      <c r="J24" s="1280"/>
      <c r="K24" s="1280"/>
      <c r="L24" s="1280"/>
      <c r="M24" s="1280"/>
      <c r="N24" s="1280"/>
      <c r="O24" s="1280"/>
      <c r="P24" s="1280"/>
      <c r="Q24" s="1281"/>
    </row>
    <row r="27" spans="2:18" ht="31.8">
      <c r="B27" s="546" t="s">
        <v>591</v>
      </c>
      <c r="C27" s="547" t="s">
        <v>592</v>
      </c>
      <c r="D27" s="547" t="s">
        <v>593</v>
      </c>
      <c r="E27" s="547" t="s">
        <v>130</v>
      </c>
      <c r="F27" s="548" t="s">
        <v>594</v>
      </c>
      <c r="G27" s="548" t="s">
        <v>129</v>
      </c>
      <c r="H27" s="548" t="s">
        <v>130</v>
      </c>
      <c r="I27" s="548" t="s">
        <v>595</v>
      </c>
      <c r="J27" s="549" t="s">
        <v>596</v>
      </c>
    </row>
    <row r="28" spans="2:18" ht="42">
      <c r="B28" s="428" t="s">
        <v>616</v>
      </c>
      <c r="C28" s="110">
        <v>90</v>
      </c>
      <c r="D28" s="110">
        <v>109</v>
      </c>
      <c r="E28" s="551" t="s">
        <v>133</v>
      </c>
      <c r="F28" s="551">
        <v>170</v>
      </c>
      <c r="G28" s="552" t="s">
        <v>598</v>
      </c>
      <c r="H28" s="553" t="s">
        <v>617</v>
      </c>
      <c r="I28" s="552">
        <f t="shared" ref="I28:I45" si="0">(C28+D28)*10^3*F28*10^-9</f>
        <v>3.3829999999999999E-2</v>
      </c>
      <c r="J28" s="554" t="s">
        <v>243</v>
      </c>
    </row>
    <row r="29" spans="2:18">
      <c r="B29" s="428" t="s">
        <v>618</v>
      </c>
      <c r="C29" s="110">
        <v>93</v>
      </c>
      <c r="D29" s="110">
        <v>38</v>
      </c>
      <c r="E29" s="551" t="s">
        <v>133</v>
      </c>
      <c r="F29" s="551">
        <v>130</v>
      </c>
      <c r="G29" s="552" t="s">
        <v>598</v>
      </c>
      <c r="H29" s="553" t="s">
        <v>619</v>
      </c>
      <c r="I29" s="552">
        <f t="shared" si="0"/>
        <v>1.703E-2</v>
      </c>
      <c r="J29" s="554" t="s">
        <v>243</v>
      </c>
    </row>
    <row r="30" spans="2:18">
      <c r="B30" s="428" t="s">
        <v>620</v>
      </c>
      <c r="C30" s="110">
        <v>268</v>
      </c>
      <c r="D30" s="110">
        <v>49</v>
      </c>
      <c r="E30" s="551" t="s">
        <v>133</v>
      </c>
      <c r="F30" s="551">
        <v>170</v>
      </c>
      <c r="G30" s="552" t="s">
        <v>598</v>
      </c>
      <c r="H30" s="553" t="s">
        <v>621</v>
      </c>
      <c r="I30" s="552">
        <f t="shared" si="0"/>
        <v>5.389E-2</v>
      </c>
      <c r="J30" s="554" t="s">
        <v>243</v>
      </c>
    </row>
    <row r="31" spans="2:18">
      <c r="B31" s="428" t="s">
        <v>622</v>
      </c>
      <c r="C31" s="110">
        <v>0.35</v>
      </c>
      <c r="D31" s="110">
        <v>210</v>
      </c>
      <c r="E31" s="551" t="s">
        <v>133</v>
      </c>
      <c r="F31" s="551">
        <v>280</v>
      </c>
      <c r="G31" s="552" t="s">
        <v>598</v>
      </c>
      <c r="H31" s="553" t="s">
        <v>623</v>
      </c>
      <c r="I31" s="552">
        <f t="shared" si="0"/>
        <v>5.8898000000000006E-2</v>
      </c>
      <c r="J31" s="554" t="s">
        <v>243</v>
      </c>
    </row>
    <row r="32" spans="2:18" ht="42">
      <c r="B32" s="428" t="s">
        <v>624</v>
      </c>
      <c r="C32" s="110">
        <v>153.1</v>
      </c>
      <c r="D32" s="110">
        <v>13</v>
      </c>
      <c r="E32" s="551" t="s">
        <v>133</v>
      </c>
      <c r="F32" s="551">
        <v>170</v>
      </c>
      <c r="G32" s="552" t="s">
        <v>598</v>
      </c>
      <c r="H32" s="553" t="s">
        <v>617</v>
      </c>
      <c r="I32" s="552">
        <f t="shared" si="0"/>
        <v>2.8237000000000002E-2</v>
      </c>
      <c r="J32" s="554" t="s">
        <v>243</v>
      </c>
    </row>
    <row r="33" spans="2:10" ht="25.05" customHeight="1">
      <c r="B33" s="428" t="s">
        <v>625</v>
      </c>
      <c r="C33" s="110">
        <v>29.43</v>
      </c>
      <c r="D33" s="110">
        <v>0</v>
      </c>
      <c r="E33" s="551" t="s">
        <v>133</v>
      </c>
      <c r="F33" s="551">
        <v>170</v>
      </c>
      <c r="G33" s="552" t="s">
        <v>598</v>
      </c>
      <c r="H33" s="553" t="s">
        <v>617</v>
      </c>
      <c r="I33" s="552">
        <f t="shared" si="0"/>
        <v>5.0030999999999999E-3</v>
      </c>
      <c r="J33" s="554" t="s">
        <v>243</v>
      </c>
    </row>
    <row r="34" spans="2:10" ht="42">
      <c r="B34" s="428" t="s">
        <v>626</v>
      </c>
      <c r="C34" s="110">
        <v>129.16</v>
      </c>
      <c r="D34" s="110">
        <v>86</v>
      </c>
      <c r="E34" s="551" t="s">
        <v>133</v>
      </c>
      <c r="F34" s="551">
        <v>170</v>
      </c>
      <c r="G34" s="552" t="s">
        <v>598</v>
      </c>
      <c r="H34" s="553" t="s">
        <v>617</v>
      </c>
      <c r="I34" s="552">
        <f t="shared" si="0"/>
        <v>3.6577200000000004E-2</v>
      </c>
      <c r="J34" s="554" t="s">
        <v>243</v>
      </c>
    </row>
    <row r="35" spans="2:10" ht="42">
      <c r="B35" s="428" t="s">
        <v>627</v>
      </c>
      <c r="C35" s="110">
        <v>62.61</v>
      </c>
      <c r="D35" s="110">
        <v>107</v>
      </c>
      <c r="E35" s="551" t="s">
        <v>133</v>
      </c>
      <c r="F35" s="551">
        <v>170</v>
      </c>
      <c r="G35" s="552" t="s">
        <v>598</v>
      </c>
      <c r="H35" s="553" t="s">
        <v>617</v>
      </c>
      <c r="I35" s="552">
        <f t="shared" si="0"/>
        <v>2.88337E-2</v>
      </c>
      <c r="J35" s="554" t="s">
        <v>243</v>
      </c>
    </row>
    <row r="36" spans="2:10" ht="21.6">
      <c r="B36" s="428" t="s">
        <v>628</v>
      </c>
      <c r="C36" s="110">
        <v>322.7</v>
      </c>
      <c r="D36" s="110">
        <v>0</v>
      </c>
      <c r="E36" s="551" t="s">
        <v>133</v>
      </c>
      <c r="F36" s="551">
        <v>110</v>
      </c>
      <c r="G36" s="552" t="s">
        <v>598</v>
      </c>
      <c r="H36" s="553" t="s">
        <v>629</v>
      </c>
      <c r="I36" s="552">
        <f t="shared" si="0"/>
        <v>3.5497000000000001E-2</v>
      </c>
      <c r="J36" s="554" t="s">
        <v>243</v>
      </c>
    </row>
    <row r="37" spans="2:10" ht="21.6">
      <c r="B37" s="428" t="s">
        <v>630</v>
      </c>
      <c r="C37" s="110">
        <v>328</v>
      </c>
      <c r="D37" s="110">
        <v>1011</v>
      </c>
      <c r="E37" s="551" t="s">
        <v>133</v>
      </c>
      <c r="F37" s="551">
        <v>110</v>
      </c>
      <c r="G37" s="552" t="s">
        <v>598</v>
      </c>
      <c r="H37" s="553" t="s">
        <v>629</v>
      </c>
      <c r="I37" s="552">
        <f t="shared" si="0"/>
        <v>0.14729</v>
      </c>
      <c r="J37" s="554" t="s">
        <v>243</v>
      </c>
    </row>
    <row r="38" spans="2:10" ht="21.6">
      <c r="B38" s="428" t="s">
        <v>631</v>
      </c>
      <c r="C38" s="110">
        <v>130.25</v>
      </c>
      <c r="D38" s="110">
        <v>71</v>
      </c>
      <c r="E38" s="551" t="s">
        <v>133</v>
      </c>
      <c r="F38" s="551">
        <v>110</v>
      </c>
      <c r="G38" s="552" t="s">
        <v>598</v>
      </c>
      <c r="H38" s="553" t="s">
        <v>629</v>
      </c>
      <c r="I38" s="552">
        <f t="shared" si="0"/>
        <v>2.2137500000000001E-2</v>
      </c>
      <c r="J38" s="554" t="s">
        <v>243</v>
      </c>
    </row>
    <row r="39" spans="2:10" ht="21.6">
      <c r="B39" s="428" t="s">
        <v>632</v>
      </c>
      <c r="C39" s="110">
        <v>85.53</v>
      </c>
      <c r="D39" s="110">
        <v>0</v>
      </c>
      <c r="E39" s="551" t="s">
        <v>133</v>
      </c>
      <c r="F39" s="551">
        <v>110</v>
      </c>
      <c r="G39" s="552" t="s">
        <v>598</v>
      </c>
      <c r="H39" s="553" t="s">
        <v>629</v>
      </c>
      <c r="I39" s="552">
        <f t="shared" si="0"/>
        <v>9.4083000000000014E-3</v>
      </c>
      <c r="J39" s="554" t="s">
        <v>243</v>
      </c>
    </row>
    <row r="40" spans="2:10" ht="21.6">
      <c r="B40" s="428" t="s">
        <v>633</v>
      </c>
      <c r="C40" s="110">
        <v>415.42</v>
      </c>
      <c r="D40" s="110">
        <v>114</v>
      </c>
      <c r="E40" s="551" t="s">
        <v>133</v>
      </c>
      <c r="F40" s="551">
        <v>110</v>
      </c>
      <c r="G40" s="552" t="s">
        <v>598</v>
      </c>
      <c r="H40" s="553" t="s">
        <v>629</v>
      </c>
      <c r="I40" s="552">
        <f t="shared" si="0"/>
        <v>5.8236200000000016E-2</v>
      </c>
      <c r="J40" s="554" t="s">
        <v>243</v>
      </c>
    </row>
    <row r="41" spans="2:10" ht="21.6">
      <c r="B41" s="428" t="s">
        <v>634</v>
      </c>
      <c r="C41" s="110">
        <v>2595.8000000000002</v>
      </c>
      <c r="D41" s="110">
        <v>0</v>
      </c>
      <c r="E41" s="551" t="s">
        <v>133</v>
      </c>
      <c r="F41" s="551">
        <v>110</v>
      </c>
      <c r="G41" s="552" t="s">
        <v>598</v>
      </c>
      <c r="H41" s="553" t="s">
        <v>629</v>
      </c>
      <c r="I41" s="552">
        <f t="shared" si="0"/>
        <v>0.28553800000000001</v>
      </c>
      <c r="J41" s="554" t="s">
        <v>243</v>
      </c>
    </row>
    <row r="42" spans="2:10" ht="42">
      <c r="B42" s="428" t="s">
        <v>635</v>
      </c>
      <c r="C42" s="110">
        <v>79</v>
      </c>
      <c r="D42" s="110">
        <v>3</v>
      </c>
      <c r="E42" s="551" t="s">
        <v>133</v>
      </c>
      <c r="F42" s="551">
        <v>170</v>
      </c>
      <c r="G42" s="552" t="s">
        <v>598</v>
      </c>
      <c r="H42" s="553" t="s">
        <v>617</v>
      </c>
      <c r="I42" s="552">
        <f t="shared" si="0"/>
        <v>1.3940000000000001E-2</v>
      </c>
      <c r="J42" s="554" t="s">
        <v>243</v>
      </c>
    </row>
    <row r="43" spans="2:10" ht="42">
      <c r="B43" s="428" t="s">
        <v>636</v>
      </c>
      <c r="C43" s="110">
        <v>392.49</v>
      </c>
      <c r="D43" s="110">
        <v>109</v>
      </c>
      <c r="E43" s="551" t="s">
        <v>133</v>
      </c>
      <c r="F43" s="551">
        <v>170</v>
      </c>
      <c r="G43" s="552" t="s">
        <v>598</v>
      </c>
      <c r="H43" s="553" t="s">
        <v>617</v>
      </c>
      <c r="I43" s="552">
        <f t="shared" si="0"/>
        <v>8.5253300000000004E-2</v>
      </c>
      <c r="J43" s="554" t="s">
        <v>243</v>
      </c>
    </row>
    <row r="44" spans="2:10" ht="42">
      <c r="B44" s="428" t="s">
        <v>637</v>
      </c>
      <c r="C44" s="110">
        <v>109.05</v>
      </c>
      <c r="D44" s="110">
        <v>212</v>
      </c>
      <c r="E44" s="551" t="s">
        <v>133</v>
      </c>
      <c r="F44" s="551">
        <v>170</v>
      </c>
      <c r="G44" s="552" t="s">
        <v>598</v>
      </c>
      <c r="H44" s="553" t="s">
        <v>617</v>
      </c>
      <c r="I44" s="552">
        <f t="shared" si="0"/>
        <v>5.4578500000000002E-2</v>
      </c>
      <c r="J44" s="554" t="s">
        <v>243</v>
      </c>
    </row>
    <row r="45" spans="2:10" ht="42">
      <c r="B45" s="428" t="s">
        <v>638</v>
      </c>
      <c r="C45" s="110">
        <v>404.17</v>
      </c>
      <c r="D45" s="110">
        <v>294</v>
      </c>
      <c r="E45" s="562" t="s">
        <v>133</v>
      </c>
      <c r="F45" s="562">
        <v>170</v>
      </c>
      <c r="G45" s="563" t="s">
        <v>598</v>
      </c>
      <c r="H45" s="564" t="s">
        <v>617</v>
      </c>
      <c r="I45" s="563">
        <f t="shared" si="0"/>
        <v>0.11868890000000003</v>
      </c>
      <c r="J45" s="565" t="s">
        <v>243</v>
      </c>
    </row>
    <row r="46" spans="2:10">
      <c r="H46" s="566" t="s">
        <v>62</v>
      </c>
      <c r="I46" s="555">
        <f>SUM(I28:I45)</f>
        <v>1.0928667000000001</v>
      </c>
      <c r="J46" s="556" t="s">
        <v>243</v>
      </c>
    </row>
    <row r="47" spans="2:10">
      <c r="I47" s="567"/>
      <c r="J47" s="568"/>
    </row>
    <row r="51" spans="2:4">
      <c r="B51" s="569" t="s">
        <v>639</v>
      </c>
      <c r="C51" s="555">
        <f>I46</f>
        <v>1.0928667000000001</v>
      </c>
      <c r="D51" s="570" t="s">
        <v>243</v>
      </c>
    </row>
  </sheetData>
  <mergeCells count="19">
    <mergeCell ref="B5:D5"/>
    <mergeCell ref="F5:Q5"/>
    <mergeCell ref="F6:G6"/>
    <mergeCell ref="H6:Q6"/>
    <mergeCell ref="C7:D7"/>
    <mergeCell ref="F7:G8"/>
    <mergeCell ref="H7:Q8"/>
    <mergeCell ref="C8:D8"/>
    <mergeCell ref="C12:D12"/>
    <mergeCell ref="C14:D14"/>
    <mergeCell ref="B16:Q16"/>
    <mergeCell ref="C17:Q17"/>
    <mergeCell ref="C18:Q18"/>
    <mergeCell ref="C23:Q23"/>
    <mergeCell ref="C24:Q24"/>
    <mergeCell ref="C19:Q19"/>
    <mergeCell ref="C20:Q20"/>
    <mergeCell ref="C21:Q21"/>
    <mergeCell ref="C22:Q22"/>
  </mergeCells>
  <conditionalFormatting sqref="C8">
    <cfRule type="containsText" dxfId="621" priority="20" operator="containsText" text="Calcul validé">
      <formula>NOT(ISERROR(SEARCH("Calcul validé",C8)))</formula>
    </cfRule>
  </conditionalFormatting>
  <conditionalFormatting sqref="C8">
    <cfRule type="containsText" dxfId="620" priority="19" operator="containsText" text="Bon ordre de grandeur">
      <formula>NOT(ISERROR(SEARCH("Bon ordre de grandeur",C8)))</formula>
    </cfRule>
  </conditionalFormatting>
  <conditionalFormatting sqref="C8">
    <cfRule type="containsText" dxfId="619" priority="18" operator="containsText" text="Calcul brouillon, ordre de grandeur">
      <formula>NOT(ISERROR(SEARCH("Calcul brouillon, ordre de grandeur",C8)))</formula>
    </cfRule>
  </conditionalFormatting>
  <conditionalFormatting sqref="C8">
    <cfRule type="containsText" dxfId="618" priority="17" operator="containsText" text="Pas ok">
      <formula>NOT(ISERROR(SEARCH("Pas ok",C8)))</formula>
    </cfRule>
  </conditionalFormatting>
  <conditionalFormatting sqref="C8">
    <cfRule type="containsText" dxfId="617" priority="16" operator="containsText" text="Calcul validé">
      <formula>NOT(ISERROR(SEARCH("Calcul validé",C8)))</formula>
    </cfRule>
  </conditionalFormatting>
  <conditionalFormatting sqref="C8">
    <cfRule type="containsText" dxfId="616" priority="15" operator="containsText" text="Calcul validé">
      <formula>NOT(ISERROR(SEARCH("Calcul validé",C8)))</formula>
    </cfRule>
  </conditionalFormatting>
  <conditionalFormatting sqref="C8">
    <cfRule type="containsText" dxfId="615" priority="14" operator="containsText" text="Bon ordre de grandeur">
      <formula>NOT(ISERROR(SEARCH("Bon ordre de grandeur",C8)))</formula>
    </cfRule>
  </conditionalFormatting>
  <conditionalFormatting sqref="C8">
    <cfRule type="containsText" dxfId="614" priority="13" operator="containsText" text="Calcul brouillon, ordre de grandeur">
      <formula>NOT(ISERROR(SEARCH("Calcul brouillon, ordre de grandeur",C8)))</formula>
    </cfRule>
  </conditionalFormatting>
  <conditionalFormatting sqref="C8">
    <cfRule type="containsText" dxfId="613" priority="12" operator="containsText" text="Pas ok">
      <formula>NOT(ISERROR(SEARCH("Pas ok",C8)))</formula>
    </cfRule>
  </conditionalFormatting>
  <conditionalFormatting sqref="C8:D8">
    <cfRule type="containsText" dxfId="612" priority="11" operator="containsText" text="Calcul brouillon, odg">
      <formula>NOT(ISERROR(SEARCH("Calcul brouillon, odg",C8)))</formula>
    </cfRule>
  </conditionalFormatting>
  <conditionalFormatting sqref="C14">
    <cfRule type="containsText" dxfId="611" priority="10" operator="containsText" text="Calcul validé">
      <formula>NOT(ISERROR(SEARCH("Calcul validé",C14)))</formula>
    </cfRule>
  </conditionalFormatting>
  <conditionalFormatting sqref="C14">
    <cfRule type="containsText" dxfId="610" priority="9" operator="containsText" text="Bon ordre de grandeur">
      <formula>NOT(ISERROR(SEARCH("Bon ordre de grandeur",C14)))</formula>
    </cfRule>
  </conditionalFormatting>
  <conditionalFormatting sqref="C14">
    <cfRule type="containsText" dxfId="609" priority="8" operator="containsText" text="Calcul brouillon, ordre de grandeur">
      <formula>NOT(ISERROR(SEARCH("Calcul brouillon, ordre de grandeur",C14)))</formula>
    </cfRule>
  </conditionalFormatting>
  <conditionalFormatting sqref="C14">
    <cfRule type="containsText" dxfId="608" priority="7" operator="containsText" text="Pas ok">
      <formula>NOT(ISERROR(SEARCH("Pas ok",C14)))</formula>
    </cfRule>
  </conditionalFormatting>
  <conditionalFormatting sqref="C14">
    <cfRule type="containsText" dxfId="607" priority="6" operator="containsText" text="Calcul validé">
      <formula>NOT(ISERROR(SEARCH("Calcul validé",C14)))</formula>
    </cfRule>
  </conditionalFormatting>
  <conditionalFormatting sqref="C14">
    <cfRule type="containsText" dxfId="606" priority="5" operator="containsText" text="Calcul validé">
      <formula>NOT(ISERROR(SEARCH("Calcul validé",C14)))</formula>
    </cfRule>
  </conditionalFormatting>
  <conditionalFormatting sqref="C14">
    <cfRule type="containsText" dxfId="605" priority="4" operator="containsText" text="Bon ordre de grandeur">
      <formula>NOT(ISERROR(SEARCH("Bon ordre de grandeur",C14)))</formula>
    </cfRule>
  </conditionalFormatting>
  <conditionalFormatting sqref="C14">
    <cfRule type="containsText" dxfId="604" priority="3" operator="containsText" text="Calcul brouillon, ordre de grandeur">
      <formula>NOT(ISERROR(SEARCH("Calcul brouillon, ordre de grandeur",C14)))</formula>
    </cfRule>
  </conditionalFormatting>
  <conditionalFormatting sqref="C14">
    <cfRule type="containsText" dxfId="603" priority="2" operator="containsText" text="Pas ok">
      <formula>NOT(ISERROR(SEARCH("Pas ok",C14)))</formula>
    </cfRule>
  </conditionalFormatting>
  <conditionalFormatting sqref="C14:D14">
    <cfRule type="containsText" dxfId="602" priority="1" operator="containsText" text="Calcul brouillon, odg">
      <formula>NOT(ISERROR(SEARCH("Calcul brouillon, odg",C14)))</formula>
    </cfRule>
  </conditionalFormatting>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'Annexe 1'!$B$5:$B$8</xm:f>
          </x14:formula1>
          <xm:sqref>C8 C14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30">
    <tabColor theme="7" tint="0.59999389629810485"/>
  </sheetPr>
  <dimension ref="B2:Q250"/>
  <sheetViews>
    <sheetView topLeftCell="A181" zoomScale="70" workbookViewId="0">
      <selection activeCell="B206" sqref="B206"/>
    </sheetView>
  </sheetViews>
  <sheetFormatPr baseColWidth="10" defaultColWidth="10.77734375" defaultRowHeight="14.4"/>
  <cols>
    <col min="1" max="1" width="10.77734375" style="571"/>
    <col min="2" max="2" width="43.109375" style="571" customWidth="1"/>
    <col min="3" max="3" width="33.44140625" style="571" customWidth="1"/>
    <col min="4" max="4" width="43.109375" style="571" customWidth="1"/>
    <col min="5" max="5" width="33.44140625" style="571" customWidth="1"/>
    <col min="6" max="6" width="17.77734375" style="571" customWidth="1"/>
    <col min="7" max="7" width="23.109375" style="571" customWidth="1"/>
    <col min="8" max="8" width="18.109375" style="571" customWidth="1"/>
    <col min="9" max="9" width="16.44140625" style="571" bestFit="1" customWidth="1"/>
    <col min="10" max="10" width="11.44140625" style="571" bestFit="1" customWidth="1"/>
    <col min="11" max="16384" width="10.77734375" style="571"/>
  </cols>
  <sheetData>
    <row r="2" spans="2:17" ht="18">
      <c r="B2" s="572" t="s">
        <v>640</v>
      </c>
    </row>
    <row r="5" spans="2:17">
      <c r="B5" s="1402" t="s">
        <v>90</v>
      </c>
      <c r="C5" s="1403"/>
      <c r="D5" s="1404"/>
      <c r="F5" s="1405" t="s">
        <v>63</v>
      </c>
      <c r="G5" s="1406"/>
      <c r="H5" s="1406"/>
      <c r="I5" s="1406"/>
      <c r="J5" s="1406"/>
      <c r="K5" s="1406"/>
      <c r="L5" s="1406"/>
      <c r="M5" s="1406"/>
      <c r="N5" s="1406"/>
      <c r="O5" s="1406"/>
      <c r="P5" s="1406"/>
      <c r="Q5" s="1407"/>
    </row>
    <row r="6" spans="2:17">
      <c r="B6" s="573" t="s">
        <v>64</v>
      </c>
      <c r="C6" s="574">
        <f>C12</f>
        <v>0.82965005162094951</v>
      </c>
      <c r="D6" s="575" t="s">
        <v>65</v>
      </c>
      <c r="F6" s="1408" t="s">
        <v>66</v>
      </c>
      <c r="G6" s="1409"/>
      <c r="H6" s="1410" t="s">
        <v>641</v>
      </c>
      <c r="I6" s="1411"/>
      <c r="J6" s="1411"/>
      <c r="K6" s="1411"/>
      <c r="L6" s="1411"/>
      <c r="M6" s="1411"/>
      <c r="N6" s="1411"/>
      <c r="O6" s="1411"/>
      <c r="P6" s="1411"/>
      <c r="Q6" s="1412"/>
    </row>
    <row r="7" spans="2:17">
      <c r="B7" s="576" t="s">
        <v>68</v>
      </c>
      <c r="C7" s="1392" t="s">
        <v>70</v>
      </c>
      <c r="D7" s="1393"/>
      <c r="F7" s="1413" t="s">
        <v>69</v>
      </c>
      <c r="G7" s="1414"/>
      <c r="H7" s="1417"/>
      <c r="I7" s="1418"/>
      <c r="J7" s="1418"/>
      <c r="K7" s="1418"/>
      <c r="L7" s="1418"/>
      <c r="M7" s="1418"/>
      <c r="N7" s="1418"/>
      <c r="O7" s="1418"/>
      <c r="P7" s="1418"/>
      <c r="Q7" s="1419"/>
    </row>
    <row r="8" spans="2:17">
      <c r="B8" s="577" t="s">
        <v>28</v>
      </c>
      <c r="C8" s="1394" t="s">
        <v>98</v>
      </c>
      <c r="D8" s="1395"/>
      <c r="F8" s="1415"/>
      <c r="G8" s="1416"/>
      <c r="H8" s="1420"/>
      <c r="I8" s="1421"/>
      <c r="J8" s="1421"/>
      <c r="K8" s="1421"/>
      <c r="L8" s="1421"/>
      <c r="M8" s="1421"/>
      <c r="N8" s="1421"/>
      <c r="O8" s="1421"/>
      <c r="P8" s="1421"/>
      <c r="Q8" s="1422"/>
    </row>
    <row r="11" spans="2:17">
      <c r="B11" s="578" t="s">
        <v>93</v>
      </c>
      <c r="C11" s="1392" t="s">
        <v>70</v>
      </c>
      <c r="D11" s="1393"/>
      <c r="E11" s="579"/>
      <c r="F11" s="579"/>
      <c r="G11" s="579"/>
      <c r="H11" s="579"/>
      <c r="I11" s="579"/>
      <c r="J11" s="579"/>
      <c r="K11" s="579"/>
      <c r="L11" s="579"/>
      <c r="M11" s="579"/>
      <c r="N11" s="579"/>
      <c r="O11" s="579"/>
      <c r="P11" s="579"/>
      <c r="Q11" s="580"/>
    </row>
    <row r="12" spans="2:17">
      <c r="B12" s="581" t="s">
        <v>95</v>
      </c>
      <c r="C12" s="582">
        <f>C220+C250</f>
        <v>0.82965005162094951</v>
      </c>
      <c r="D12" s="583" t="s">
        <v>96</v>
      </c>
      <c r="E12" s="584"/>
      <c r="F12" s="584"/>
      <c r="G12" s="584"/>
      <c r="H12" s="584"/>
      <c r="I12" s="584"/>
      <c r="J12" s="584"/>
      <c r="K12" s="584"/>
      <c r="L12" s="584"/>
      <c r="M12" s="584"/>
      <c r="N12" s="584"/>
      <c r="O12" s="584"/>
      <c r="P12" s="584"/>
      <c r="Q12" s="585"/>
    </row>
    <row r="13" spans="2:17">
      <c r="B13" s="586" t="s">
        <v>97</v>
      </c>
      <c r="C13" s="1394" t="s">
        <v>98</v>
      </c>
      <c r="D13" s="1395"/>
      <c r="E13" s="584"/>
      <c r="F13" s="584"/>
      <c r="G13" s="584"/>
      <c r="H13" s="584"/>
      <c r="I13" s="584"/>
      <c r="J13" s="584"/>
      <c r="K13" s="584"/>
      <c r="L13" s="584"/>
      <c r="M13" s="584"/>
      <c r="N13" s="584"/>
      <c r="O13" s="584"/>
      <c r="P13" s="584"/>
      <c r="Q13" s="585"/>
    </row>
    <row r="14" spans="2:17">
      <c r="B14" s="587"/>
      <c r="C14" s="588"/>
      <c r="D14" s="588"/>
      <c r="E14" s="588"/>
      <c r="F14" s="588"/>
      <c r="G14" s="588"/>
      <c r="H14" s="588"/>
      <c r="I14" s="588"/>
      <c r="J14" s="588"/>
      <c r="K14" s="588"/>
      <c r="L14" s="588"/>
      <c r="M14" s="588"/>
      <c r="N14" s="588"/>
      <c r="O14" s="588"/>
      <c r="P14" s="588"/>
      <c r="Q14" s="589"/>
    </row>
    <row r="15" spans="2:17">
      <c r="B15" s="1396" t="s">
        <v>71</v>
      </c>
      <c r="C15" s="1397"/>
      <c r="D15" s="1397"/>
      <c r="E15" s="1397"/>
      <c r="F15" s="1397"/>
      <c r="G15" s="1397"/>
      <c r="H15" s="1397"/>
      <c r="I15" s="1397"/>
      <c r="J15" s="1397"/>
      <c r="K15" s="1397"/>
      <c r="L15" s="1397"/>
      <c r="M15" s="1397"/>
      <c r="N15" s="1397"/>
      <c r="O15" s="1397"/>
      <c r="P15" s="1397"/>
      <c r="Q15" s="1398"/>
    </row>
    <row r="16" spans="2:17" ht="85.95" customHeight="1">
      <c r="B16" s="590" t="s">
        <v>72</v>
      </c>
      <c r="C16" s="1399" t="s">
        <v>642</v>
      </c>
      <c r="D16" s="1400"/>
      <c r="E16" s="1400"/>
      <c r="F16" s="1400"/>
      <c r="G16" s="1400"/>
      <c r="H16" s="1400"/>
      <c r="I16" s="1400"/>
      <c r="J16" s="1400"/>
      <c r="K16" s="1400"/>
      <c r="L16" s="1400"/>
      <c r="M16" s="1400"/>
      <c r="N16" s="1400"/>
      <c r="O16" s="1400"/>
      <c r="P16" s="1400"/>
      <c r="Q16" s="1401"/>
    </row>
    <row r="17" spans="2:17" ht="148.94999999999999" customHeight="1">
      <c r="B17" s="591" t="s">
        <v>74</v>
      </c>
      <c r="C17" s="1383" t="s">
        <v>643</v>
      </c>
      <c r="D17" s="1384"/>
      <c r="E17" s="1384"/>
      <c r="F17" s="1384"/>
      <c r="G17" s="1384"/>
      <c r="H17" s="1384"/>
      <c r="I17" s="1384"/>
      <c r="J17" s="1384"/>
      <c r="K17" s="1384"/>
      <c r="L17" s="1384"/>
      <c r="M17" s="1384"/>
      <c r="N17" s="1384"/>
      <c r="O17" s="1384"/>
      <c r="P17" s="1384"/>
      <c r="Q17" s="1385"/>
    </row>
    <row r="18" spans="2:17" ht="253.95" customHeight="1">
      <c r="B18" s="591" t="s">
        <v>76</v>
      </c>
      <c r="C18" s="1389" t="s">
        <v>644</v>
      </c>
      <c r="D18" s="1390"/>
      <c r="E18" s="1390"/>
      <c r="F18" s="1390"/>
      <c r="G18" s="1390"/>
      <c r="H18" s="1390"/>
      <c r="I18" s="1390"/>
      <c r="J18" s="1390"/>
      <c r="K18" s="1390"/>
      <c r="L18" s="1390"/>
      <c r="M18" s="1390"/>
      <c r="N18" s="1390"/>
      <c r="O18" s="1390"/>
      <c r="P18" s="1390"/>
      <c r="Q18" s="1391"/>
    </row>
    <row r="19" spans="2:17" ht="15" customHeight="1">
      <c r="B19" s="591" t="s">
        <v>78</v>
      </c>
      <c r="C19" s="1383" t="s">
        <v>645</v>
      </c>
      <c r="D19" s="1384"/>
      <c r="E19" s="1384"/>
      <c r="F19" s="1384"/>
      <c r="G19" s="1384"/>
      <c r="H19" s="1384"/>
      <c r="I19" s="1384"/>
      <c r="J19" s="1384"/>
      <c r="K19" s="1384"/>
      <c r="L19" s="1384"/>
      <c r="M19" s="1384"/>
      <c r="N19" s="1384"/>
      <c r="O19" s="1384"/>
      <c r="P19" s="1384"/>
      <c r="Q19" s="1385"/>
    </row>
    <row r="20" spans="2:17">
      <c r="B20" s="591" t="s">
        <v>82</v>
      </c>
      <c r="C20" s="1383" t="s">
        <v>646</v>
      </c>
      <c r="D20" s="1384"/>
      <c r="E20" s="1384"/>
      <c r="F20" s="1384"/>
      <c r="G20" s="1384"/>
      <c r="H20" s="1384"/>
      <c r="I20" s="1384"/>
      <c r="J20" s="1384"/>
      <c r="K20" s="1384"/>
      <c r="L20" s="1384"/>
      <c r="M20" s="1384"/>
      <c r="N20" s="1384"/>
      <c r="O20" s="1384"/>
      <c r="P20" s="1384"/>
      <c r="Q20" s="1385"/>
    </row>
    <row r="21" spans="2:17">
      <c r="B21" s="591" t="s">
        <v>84</v>
      </c>
      <c r="C21" s="1383" t="s">
        <v>647</v>
      </c>
      <c r="D21" s="1384"/>
      <c r="E21" s="1384"/>
      <c r="F21" s="1384"/>
      <c r="G21" s="1384"/>
      <c r="H21" s="1384"/>
      <c r="I21" s="1384"/>
      <c r="J21" s="1384"/>
      <c r="K21" s="1384"/>
      <c r="L21" s="1384"/>
      <c r="M21" s="1384"/>
      <c r="N21" s="1384"/>
      <c r="O21" s="1384"/>
      <c r="P21" s="1384"/>
      <c r="Q21" s="1385"/>
    </row>
    <row r="22" spans="2:17">
      <c r="B22" s="591" t="s">
        <v>86</v>
      </c>
      <c r="C22" s="1383" t="s">
        <v>648</v>
      </c>
      <c r="D22" s="1384"/>
      <c r="E22" s="1384"/>
      <c r="F22" s="1384"/>
      <c r="G22" s="1384"/>
      <c r="H22" s="1384"/>
      <c r="I22" s="1384"/>
      <c r="J22" s="1384"/>
      <c r="K22" s="1384"/>
      <c r="L22" s="1384"/>
      <c r="M22" s="1384"/>
      <c r="N22" s="1384"/>
      <c r="O22" s="1384"/>
      <c r="P22" s="1384"/>
      <c r="Q22" s="1385"/>
    </row>
    <row r="23" spans="2:17">
      <c r="B23" s="592" t="s">
        <v>88</v>
      </c>
      <c r="C23" s="1386">
        <v>44950</v>
      </c>
      <c r="D23" s="1387"/>
      <c r="E23" s="1387"/>
      <c r="F23" s="1387"/>
      <c r="G23" s="1387"/>
      <c r="H23" s="1387"/>
      <c r="I23" s="1387"/>
      <c r="J23" s="1387"/>
      <c r="K23" s="1387"/>
      <c r="L23" s="1387"/>
      <c r="M23" s="1387"/>
      <c r="N23" s="1387"/>
      <c r="O23" s="1387"/>
      <c r="P23" s="1387"/>
      <c r="Q23" s="1388"/>
    </row>
    <row r="27" spans="2:17">
      <c r="B27" s="593" t="s">
        <v>649</v>
      </c>
    </row>
    <row r="29" spans="2:17">
      <c r="B29" s="594"/>
      <c r="C29" s="595" t="s">
        <v>650</v>
      </c>
    </row>
    <row r="30" spans="2:17">
      <c r="B30" s="596" t="s">
        <v>651</v>
      </c>
      <c r="C30" s="597">
        <f>C220</f>
        <v>0.48765005162094954</v>
      </c>
    </row>
    <row r="31" spans="2:17">
      <c r="B31" s="598" t="s">
        <v>652</v>
      </c>
      <c r="C31" s="599">
        <f>C250</f>
        <v>0.34200000000000003</v>
      </c>
    </row>
    <row r="34" spans="2:7">
      <c r="B34" s="593" t="s">
        <v>653</v>
      </c>
    </row>
    <row r="35" spans="2:7">
      <c r="B35" s="600" t="s">
        <v>192</v>
      </c>
    </row>
    <row r="36" spans="2:7" ht="131.25" customHeight="1">
      <c r="B36" s="1378" t="s">
        <v>654</v>
      </c>
      <c r="C36" s="1378"/>
      <c r="D36" s="1378"/>
      <c r="E36" s="1378"/>
      <c r="F36" s="1378"/>
      <c r="G36" s="1378"/>
    </row>
    <row r="37" spans="2:7">
      <c r="B37" s="1379" t="s">
        <v>655</v>
      </c>
      <c r="C37" s="1379"/>
      <c r="D37" s="1379"/>
      <c r="E37" s="1379"/>
      <c r="F37" s="1379"/>
      <c r="G37" s="1379"/>
    </row>
    <row r="38" spans="2:7">
      <c r="B38" s="571" t="s">
        <v>656</v>
      </c>
    </row>
    <row r="39" spans="2:7">
      <c r="B39" s="571" t="s">
        <v>657</v>
      </c>
    </row>
    <row r="41" spans="2:7">
      <c r="B41" s="601" t="s">
        <v>123</v>
      </c>
    </row>
    <row r="42" spans="2:7">
      <c r="B42" s="571" t="s">
        <v>658</v>
      </c>
    </row>
    <row r="43" spans="2:7">
      <c r="B43" s="571" t="s">
        <v>659</v>
      </c>
    </row>
    <row r="46" spans="2:7">
      <c r="B46" s="602" t="s">
        <v>660</v>
      </c>
      <c r="C46" s="603" t="s">
        <v>661</v>
      </c>
      <c r="D46" s="604" t="s">
        <v>662</v>
      </c>
      <c r="E46" s="605" t="s">
        <v>133</v>
      </c>
    </row>
    <row r="47" spans="2:7">
      <c r="B47" s="606" t="s">
        <v>663</v>
      </c>
      <c r="C47" s="607">
        <v>54</v>
      </c>
      <c r="D47" s="608">
        <v>1151389.7685</v>
      </c>
    </row>
    <row r="48" spans="2:7" ht="15">
      <c r="B48" s="609" t="s">
        <v>664</v>
      </c>
      <c r="C48" s="610">
        <v>7</v>
      </c>
      <c r="D48" s="611">
        <v>1623502.4971</v>
      </c>
    </row>
    <row r="49" spans="2:4" ht="15">
      <c r="B49" s="609" t="s">
        <v>665</v>
      </c>
      <c r="C49" s="610">
        <v>8</v>
      </c>
      <c r="D49" s="611">
        <v>405441.77124999999</v>
      </c>
    </row>
    <row r="50" spans="2:4" ht="15">
      <c r="B50" s="609" t="s">
        <v>666</v>
      </c>
      <c r="C50" s="610">
        <v>18</v>
      </c>
      <c r="D50" s="611">
        <v>792051.19443999999</v>
      </c>
    </row>
    <row r="51" spans="2:4" ht="15">
      <c r="B51" s="609" t="s">
        <v>667</v>
      </c>
      <c r="C51" s="610">
        <v>21</v>
      </c>
      <c r="D51" s="611">
        <v>1586194.0167</v>
      </c>
    </row>
    <row r="52" spans="2:4">
      <c r="B52" s="612" t="s">
        <v>668</v>
      </c>
      <c r="C52" s="613">
        <v>13</v>
      </c>
      <c r="D52" s="614">
        <v>479873.19</v>
      </c>
    </row>
    <row r="53" spans="2:4" ht="15">
      <c r="B53" s="609" t="s">
        <v>669</v>
      </c>
      <c r="C53" s="610">
        <v>4</v>
      </c>
      <c r="D53" s="611">
        <v>382903</v>
      </c>
    </row>
    <row r="54" spans="2:4" ht="15">
      <c r="B54" s="609" t="s">
        <v>670</v>
      </c>
      <c r="C54" s="610">
        <v>9</v>
      </c>
      <c r="D54" s="611">
        <v>522971.05222000001</v>
      </c>
    </row>
    <row r="55" spans="2:4">
      <c r="B55" s="612" t="s">
        <v>671</v>
      </c>
      <c r="C55" s="613">
        <v>10</v>
      </c>
      <c r="D55" s="614">
        <v>2876011.1310000001</v>
      </c>
    </row>
    <row r="56" spans="2:4" ht="15">
      <c r="B56" s="609" t="s">
        <v>672</v>
      </c>
      <c r="C56" s="610">
        <v>5</v>
      </c>
      <c r="D56" s="611">
        <v>2577665.4300000002</v>
      </c>
    </row>
    <row r="57" spans="2:4" ht="15">
      <c r="B57" s="609" t="s">
        <v>673</v>
      </c>
      <c r="C57" s="610">
        <v>5</v>
      </c>
      <c r="D57" s="611">
        <v>3174356.8319999999</v>
      </c>
    </row>
    <row r="58" spans="2:4" ht="15.6">
      <c r="B58" s="615" t="s">
        <v>62</v>
      </c>
      <c r="C58" s="616">
        <v>77</v>
      </c>
      <c r="D58" s="617">
        <v>1261993.6399999999</v>
      </c>
    </row>
    <row r="61" spans="2:4">
      <c r="B61" s="601" t="s">
        <v>123</v>
      </c>
    </row>
    <row r="62" spans="2:4">
      <c r="B62" s="571" t="s">
        <v>674</v>
      </c>
    </row>
    <row r="64" spans="2:4">
      <c r="B64" s="618" t="s">
        <v>195</v>
      </c>
      <c r="C64" s="619" t="s">
        <v>675</v>
      </c>
      <c r="D64" s="605" t="s">
        <v>431</v>
      </c>
    </row>
    <row r="65" spans="2:8">
      <c r="B65" s="620" t="s">
        <v>676</v>
      </c>
      <c r="C65" s="621">
        <v>32</v>
      </c>
    </row>
    <row r="66" spans="2:8">
      <c r="B66" s="620" t="s">
        <v>677</v>
      </c>
      <c r="C66" s="621">
        <v>962</v>
      </c>
    </row>
    <row r="67" spans="2:8">
      <c r="B67" s="620" t="s">
        <v>678</v>
      </c>
      <c r="C67" s="621">
        <v>96</v>
      </c>
    </row>
    <row r="68" spans="2:8">
      <c r="B68" s="622" t="s">
        <v>119</v>
      </c>
      <c r="C68" s="623">
        <f>SUM(C65:C67)</f>
        <v>1090</v>
      </c>
    </row>
    <row r="70" spans="2:8">
      <c r="B70" s="601" t="s">
        <v>123</v>
      </c>
    </row>
    <row r="71" spans="2:8">
      <c r="B71" s="571" t="s">
        <v>679</v>
      </c>
    </row>
    <row r="73" spans="2:8">
      <c r="B73" s="618" t="s">
        <v>195</v>
      </c>
      <c r="C73" s="619" t="s">
        <v>680</v>
      </c>
    </row>
    <row r="74" spans="2:8">
      <c r="B74" s="620" t="s">
        <v>676</v>
      </c>
      <c r="C74" s="621">
        <f>D55*C65</f>
        <v>92032356.192000002</v>
      </c>
    </row>
    <row r="75" spans="2:8">
      <c r="B75" s="620" t="s">
        <v>677</v>
      </c>
      <c r="C75" s="621">
        <f>D47*C66</f>
        <v>1107636957.2969999</v>
      </c>
    </row>
    <row r="76" spans="2:8">
      <c r="B76" s="620" t="s">
        <v>678</v>
      </c>
      <c r="C76" s="621">
        <f>D52*C67</f>
        <v>46067826.240000002</v>
      </c>
    </row>
    <row r="77" spans="2:8">
      <c r="B77" s="622" t="s">
        <v>119</v>
      </c>
      <c r="C77" s="623">
        <f>SUM(C74:C76)</f>
        <v>1245737139.7289999</v>
      </c>
    </row>
    <row r="79" spans="2:8">
      <c r="B79" s="601" t="s">
        <v>123</v>
      </c>
    </row>
    <row r="80" spans="2:8">
      <c r="B80" s="1378" t="s">
        <v>681</v>
      </c>
      <c r="C80" s="1378"/>
      <c r="D80" s="1378"/>
      <c r="E80" s="1378"/>
      <c r="F80" s="1378"/>
      <c r="G80" s="1378"/>
      <c r="H80" s="1378"/>
    </row>
    <row r="81" spans="2:8">
      <c r="B81" s="1378"/>
      <c r="C81" s="1378"/>
      <c r="D81" s="1378"/>
      <c r="E81" s="1378"/>
      <c r="F81" s="1378"/>
      <c r="G81" s="1378"/>
      <c r="H81" s="1378"/>
    </row>
    <row r="83" spans="2:8" ht="15.6">
      <c r="B83" s="624" t="s">
        <v>377</v>
      </c>
      <c r="C83" s="625" t="s">
        <v>379</v>
      </c>
      <c r="D83" s="626" t="s">
        <v>682</v>
      </c>
    </row>
    <row r="84" spans="2:8" ht="15.6">
      <c r="B84" s="627" t="s">
        <v>683</v>
      </c>
      <c r="C84" s="628">
        <v>1693</v>
      </c>
      <c r="D84" s="629">
        <v>2689</v>
      </c>
    </row>
    <row r="85" spans="2:8" ht="15.6">
      <c r="B85" s="627" t="s">
        <v>683</v>
      </c>
      <c r="C85" s="628">
        <v>1147</v>
      </c>
      <c r="D85" s="629">
        <v>1467</v>
      </c>
    </row>
    <row r="86" spans="2:8" ht="15.6">
      <c r="B86" s="627" t="s">
        <v>683</v>
      </c>
      <c r="C86" s="628">
        <v>828</v>
      </c>
      <c r="D86" s="629">
        <v>1606</v>
      </c>
    </row>
    <row r="87" spans="2:8" ht="15.6">
      <c r="B87" s="627" t="s">
        <v>683</v>
      </c>
      <c r="C87" s="628">
        <v>703</v>
      </c>
      <c r="D87" s="629">
        <v>773</v>
      </c>
    </row>
    <row r="88" spans="2:8" ht="15.6">
      <c r="B88" s="627" t="s">
        <v>683</v>
      </c>
      <c r="C88" s="628">
        <v>996</v>
      </c>
      <c r="D88" s="629">
        <v>1342</v>
      </c>
    </row>
    <row r="89" spans="2:8" ht="15.6">
      <c r="B89" s="627" t="s">
        <v>683</v>
      </c>
      <c r="C89" s="628">
        <v>1303</v>
      </c>
      <c r="D89" s="629">
        <v>1768</v>
      </c>
    </row>
    <row r="90" spans="2:8" ht="15.6">
      <c r="B90" s="627" t="s">
        <v>683</v>
      </c>
      <c r="C90" s="628">
        <v>605</v>
      </c>
      <c r="D90" s="629">
        <v>349</v>
      </c>
    </row>
    <row r="91" spans="2:8" ht="15.6">
      <c r="B91" s="627" t="s">
        <v>683</v>
      </c>
      <c r="C91" s="628">
        <v>584</v>
      </c>
      <c r="D91" s="629">
        <v>573</v>
      </c>
    </row>
    <row r="92" spans="2:8" ht="15.6">
      <c r="B92" s="627" t="s">
        <v>683</v>
      </c>
      <c r="C92" s="628">
        <v>945</v>
      </c>
      <c r="D92" s="629">
        <v>2215</v>
      </c>
    </row>
    <row r="93" spans="2:8" ht="15.6">
      <c r="B93" s="627" t="s">
        <v>683</v>
      </c>
      <c r="C93" s="628">
        <v>1272</v>
      </c>
      <c r="D93" s="629">
        <v>1320</v>
      </c>
    </row>
    <row r="94" spans="2:8" ht="15.6">
      <c r="B94" s="627" t="s">
        <v>683</v>
      </c>
      <c r="C94" s="628">
        <v>455</v>
      </c>
      <c r="D94" s="629">
        <v>724</v>
      </c>
    </row>
    <row r="95" spans="2:8" ht="15.6">
      <c r="B95" s="627" t="s">
        <v>683</v>
      </c>
      <c r="C95" s="628">
        <f>1974+602</f>
        <v>2576</v>
      </c>
      <c r="D95" s="629">
        <f>365*14</f>
        <v>5110</v>
      </c>
    </row>
    <row r="96" spans="2:8" ht="15.6">
      <c r="B96" s="627" t="s">
        <v>683</v>
      </c>
      <c r="C96" s="628">
        <v>801</v>
      </c>
      <c r="D96" s="630">
        <v>786</v>
      </c>
    </row>
    <row r="97" spans="2:4" ht="15.6">
      <c r="B97" s="627" t="s">
        <v>683</v>
      </c>
      <c r="C97" s="628">
        <f>598+180</f>
        <v>778</v>
      </c>
      <c r="D97" s="630">
        <v>1719</v>
      </c>
    </row>
    <row r="98" spans="2:4" ht="15.6">
      <c r="B98" s="627" t="s">
        <v>683</v>
      </c>
      <c r="C98" s="628">
        <f>665+207</f>
        <v>872</v>
      </c>
      <c r="D98" s="631">
        <v>523</v>
      </c>
    </row>
    <row r="99" spans="2:4" ht="15.6">
      <c r="B99" s="627" t="s">
        <v>683</v>
      </c>
      <c r="C99" s="628">
        <f>770+146</f>
        <v>916</v>
      </c>
      <c r="D99" s="629">
        <v>1697</v>
      </c>
    </row>
    <row r="100" spans="2:4" ht="15.6">
      <c r="B100" s="627" t="s">
        <v>683</v>
      </c>
      <c r="C100" s="628">
        <v>464</v>
      </c>
      <c r="D100" s="630">
        <v>415</v>
      </c>
    </row>
    <row r="101" spans="2:4" ht="15.6">
      <c r="B101" s="627" t="s">
        <v>683</v>
      </c>
      <c r="C101" s="628">
        <v>1437</v>
      </c>
      <c r="D101" s="629">
        <v>3018</v>
      </c>
    </row>
    <row r="102" spans="2:4" ht="15.6">
      <c r="B102" s="632" t="s">
        <v>683</v>
      </c>
      <c r="C102" s="633">
        <v>661</v>
      </c>
      <c r="D102" s="634">
        <v>550.14</v>
      </c>
    </row>
    <row r="123" spans="2:10">
      <c r="B123" s="635" t="s">
        <v>419</v>
      </c>
    </row>
    <row r="124" spans="2:10">
      <c r="B124" s="571" t="s">
        <v>684</v>
      </c>
    </row>
    <row r="125" spans="2:10" ht="20.25" customHeight="1">
      <c r="B125" s="1381" t="s">
        <v>685</v>
      </c>
      <c r="C125" s="1382"/>
      <c r="D125" s="636" t="s">
        <v>686</v>
      </c>
      <c r="E125" s="637">
        <v>1.6232</v>
      </c>
      <c r="F125" s="637" t="s">
        <v>687</v>
      </c>
      <c r="G125" s="637" t="s">
        <v>688</v>
      </c>
      <c r="H125" s="637"/>
      <c r="I125" s="637"/>
      <c r="J125" s="638"/>
    </row>
    <row r="128" spans="2:10">
      <c r="B128" s="601" t="s">
        <v>123</v>
      </c>
    </row>
    <row r="129" spans="2:4">
      <c r="B129" s="571" t="s">
        <v>689</v>
      </c>
    </row>
    <row r="132" spans="2:4">
      <c r="B132" s="618" t="s">
        <v>195</v>
      </c>
      <c r="C132" s="619" t="s">
        <v>690</v>
      </c>
      <c r="D132" s="605" t="s">
        <v>431</v>
      </c>
    </row>
    <row r="133" spans="2:4">
      <c r="B133" s="620" t="s">
        <v>691</v>
      </c>
      <c r="C133" s="639">
        <f>9660+517</f>
        <v>10177</v>
      </c>
    </row>
    <row r="134" spans="2:4">
      <c r="B134" s="620" t="s">
        <v>692</v>
      </c>
      <c r="C134" s="639">
        <f>57384+13489</f>
        <v>70873</v>
      </c>
    </row>
    <row r="135" spans="2:4">
      <c r="B135" s="620" t="s">
        <v>693</v>
      </c>
      <c r="C135" s="639">
        <f>97497+17939</f>
        <v>115436</v>
      </c>
    </row>
    <row r="136" spans="2:4">
      <c r="B136" s="622" t="s">
        <v>119</v>
      </c>
      <c r="C136" s="623">
        <f>SUM(C133:C135)</f>
        <v>196486</v>
      </c>
    </row>
    <row r="137" spans="2:4">
      <c r="B137" s="601" t="s">
        <v>123</v>
      </c>
    </row>
    <row r="138" spans="2:4">
      <c r="B138" s="571" t="s">
        <v>694</v>
      </c>
    </row>
    <row r="140" spans="2:4">
      <c r="B140" s="618" t="s">
        <v>195</v>
      </c>
      <c r="C140" s="619" t="s">
        <v>680</v>
      </c>
    </row>
    <row r="141" spans="2:4">
      <c r="B141" s="620" t="s">
        <v>695</v>
      </c>
      <c r="C141" s="640">
        <f>C77+C133*E125*1000</f>
        <v>1262256446.1289999</v>
      </c>
    </row>
    <row r="142" spans="2:4">
      <c r="B142" s="620" t="s">
        <v>692</v>
      </c>
      <c r="C142" s="640">
        <f>C134*E125*1000</f>
        <v>115041053.59999999</v>
      </c>
    </row>
    <row r="143" spans="2:4">
      <c r="B143" s="620" t="s">
        <v>693</v>
      </c>
      <c r="C143" s="640">
        <f>C135*E125*1000</f>
        <v>187375715.20000002</v>
      </c>
    </row>
    <row r="144" spans="2:4">
      <c r="B144" s="641" t="s">
        <v>696</v>
      </c>
      <c r="C144" s="642">
        <f>SUM(C141:C143)</f>
        <v>1564673214.9289999</v>
      </c>
    </row>
    <row r="147" spans="2:9">
      <c r="B147" s="601" t="s">
        <v>123</v>
      </c>
    </row>
    <row r="148" spans="2:9" ht="18" customHeight="1">
      <c r="B148" s="1378" t="s">
        <v>697</v>
      </c>
      <c r="C148" s="1378"/>
      <c r="D148" s="1378"/>
      <c r="E148" s="1378"/>
      <c r="F148" s="1378"/>
      <c r="G148" s="1378"/>
      <c r="H148" s="1378"/>
      <c r="I148" s="1378"/>
    </row>
    <row r="149" spans="2:9" ht="35.25" customHeight="1">
      <c r="B149" s="1378" t="s">
        <v>698</v>
      </c>
      <c r="C149" s="1378"/>
      <c r="D149" s="1378"/>
      <c r="E149" s="1378"/>
      <c r="F149" s="1378"/>
      <c r="G149" s="1378"/>
      <c r="H149" s="1378"/>
      <c r="I149" s="1378"/>
    </row>
    <row r="150" spans="2:9" ht="14.25" customHeight="1"/>
    <row r="151" spans="2:9">
      <c r="B151" s="643"/>
      <c r="C151" s="644" t="s">
        <v>454</v>
      </c>
    </row>
    <row r="152" spans="2:9">
      <c r="B152" s="645" t="s">
        <v>455</v>
      </c>
      <c r="C152" s="504">
        <v>31302</v>
      </c>
    </row>
    <row r="153" spans="2:9">
      <c r="B153" s="646" t="s">
        <v>365</v>
      </c>
      <c r="C153" s="504">
        <v>27020</v>
      </c>
    </row>
    <row r="154" spans="2:9">
      <c r="B154" s="646" t="s">
        <v>456</v>
      </c>
      <c r="C154" s="504">
        <v>465634</v>
      </c>
    </row>
    <row r="155" spans="2:9">
      <c r="B155" s="641" t="s">
        <v>457</v>
      </c>
      <c r="C155" s="506">
        <v>127117</v>
      </c>
    </row>
    <row r="157" spans="2:9">
      <c r="B157" s="601" t="s">
        <v>123</v>
      </c>
    </row>
    <row r="158" spans="2:9">
      <c r="B158" s="571" t="s">
        <v>699</v>
      </c>
    </row>
    <row r="160" spans="2:9" ht="26.4">
      <c r="B160" s="643"/>
      <c r="C160" s="644" t="s">
        <v>700</v>
      </c>
      <c r="D160" s="605" t="s">
        <v>169</v>
      </c>
    </row>
    <row r="161" spans="2:3">
      <c r="B161" s="647" t="s">
        <v>701</v>
      </c>
      <c r="C161" s="506">
        <v>510620</v>
      </c>
    </row>
    <row r="163" spans="2:3">
      <c r="B163" s="601" t="s">
        <v>123</v>
      </c>
    </row>
    <row r="164" spans="2:3">
      <c r="B164" s="571" t="s">
        <v>702</v>
      </c>
    </row>
    <row r="166" spans="2:3">
      <c r="B166" s="618" t="s">
        <v>195</v>
      </c>
      <c r="C166" s="619" t="s">
        <v>680</v>
      </c>
    </row>
    <row r="167" spans="2:3">
      <c r="B167" s="620" t="s">
        <v>695</v>
      </c>
      <c r="C167" s="640">
        <f>C77+1.6232*C133*1000</f>
        <v>1262256446.1289999</v>
      </c>
    </row>
    <row r="168" spans="2:3">
      <c r="B168" s="620" t="s">
        <v>692</v>
      </c>
      <c r="C168" s="640">
        <f t="shared" ref="C168:C169" si="0">1.6232*C134*1000</f>
        <v>115041053.59999999</v>
      </c>
    </row>
    <row r="169" spans="2:3">
      <c r="B169" s="620" t="s">
        <v>693</v>
      </c>
      <c r="C169" s="640">
        <f t="shared" si="0"/>
        <v>187375715.20000002</v>
      </c>
    </row>
    <row r="170" spans="2:3">
      <c r="B170" s="645" t="s">
        <v>455</v>
      </c>
      <c r="C170" s="640">
        <f t="shared" ref="C170:C173" si="1">1.8*365*C152</f>
        <v>20565414</v>
      </c>
    </row>
    <row r="171" spans="2:3">
      <c r="B171" s="646" t="s">
        <v>365</v>
      </c>
      <c r="C171" s="640">
        <f t="shared" si="1"/>
        <v>17752140</v>
      </c>
    </row>
    <row r="172" spans="2:3">
      <c r="B172" s="646" t="s">
        <v>456</v>
      </c>
      <c r="C172" s="640">
        <f t="shared" si="1"/>
        <v>305921538</v>
      </c>
    </row>
    <row r="173" spans="2:3">
      <c r="B173" s="646" t="s">
        <v>457</v>
      </c>
      <c r="C173" s="640">
        <f t="shared" si="1"/>
        <v>83515869</v>
      </c>
    </row>
    <row r="174" spans="2:3">
      <c r="B174" s="645" t="s">
        <v>703</v>
      </c>
      <c r="C174" s="640">
        <f>1.8*365*C161</f>
        <v>335477340</v>
      </c>
    </row>
    <row r="175" spans="2:3">
      <c r="B175" s="641" t="s">
        <v>696</v>
      </c>
      <c r="C175" s="642">
        <f>SUM(C167:C174)</f>
        <v>2327905515.9289999</v>
      </c>
    </row>
    <row r="177" spans="2:9">
      <c r="B177" s="601" t="s">
        <v>123</v>
      </c>
    </row>
    <row r="178" spans="2:9">
      <c r="B178" s="571" t="s">
        <v>704</v>
      </c>
    </row>
    <row r="180" spans="2:9" ht="34.049999999999997" customHeight="1">
      <c r="B180" s="1378" t="s">
        <v>705</v>
      </c>
      <c r="C180" s="1378"/>
      <c r="D180" s="1378"/>
      <c r="E180" s="1378"/>
      <c r="F180" s="1378"/>
      <c r="G180" s="1378"/>
      <c r="H180" s="1378"/>
      <c r="I180" s="1378"/>
    </row>
    <row r="182" spans="2:9" ht="19.05" customHeight="1">
      <c r="B182" s="1378" t="s">
        <v>706</v>
      </c>
      <c r="C182" s="1378"/>
      <c r="D182" s="1378"/>
      <c r="E182" s="648">
        <f>1.5/(D58/(1000*365))*100</f>
        <v>43.383736862572462</v>
      </c>
      <c r="F182" s="571" t="s">
        <v>707</v>
      </c>
    </row>
    <row r="184" spans="2:9">
      <c r="B184" s="571" t="s">
        <v>708</v>
      </c>
    </row>
    <row r="186" spans="2:9" ht="28.8">
      <c r="B186" s="618" t="s">
        <v>195</v>
      </c>
      <c r="C186" s="619" t="s">
        <v>709</v>
      </c>
    </row>
    <row r="187" spans="2:9">
      <c r="B187" s="620" t="s">
        <v>695</v>
      </c>
      <c r="C187" s="640">
        <f t="shared" ref="C187:C194" si="2">(1-$E$182/100)*C167</f>
        <v>714642431.00953591</v>
      </c>
    </row>
    <row r="188" spans="2:9">
      <c r="B188" s="620" t="s">
        <v>692</v>
      </c>
      <c r="C188" s="640">
        <f t="shared" si="2"/>
        <v>65131945.622245051</v>
      </c>
    </row>
    <row r="189" spans="2:9">
      <c r="B189" s="620" t="s">
        <v>693</v>
      </c>
      <c r="C189" s="640">
        <f t="shared" si="2"/>
        <v>106085127.97326882</v>
      </c>
    </row>
    <row r="190" spans="2:9">
      <c r="B190" s="645" t="s">
        <v>455</v>
      </c>
      <c r="C190" s="640">
        <f t="shared" si="2"/>
        <v>11643368.905541362</v>
      </c>
    </row>
    <row r="191" spans="2:9">
      <c r="B191" s="646" t="s">
        <v>365</v>
      </c>
      <c r="C191" s="640">
        <f t="shared" si="2"/>
        <v>10050598.294924529</v>
      </c>
    </row>
    <row r="192" spans="2:9">
      <c r="B192" s="646" t="s">
        <v>456</v>
      </c>
      <c r="C192" s="640">
        <f t="shared" si="2"/>
        <v>173201342.94814536</v>
      </c>
    </row>
    <row r="193" spans="2:9">
      <c r="B193" s="646" t="s">
        <v>457</v>
      </c>
      <c r="C193" s="640">
        <f t="shared" si="2"/>
        <v>47283564.154549271</v>
      </c>
    </row>
    <row r="194" spans="2:9">
      <c r="B194" s="645" t="s">
        <v>703</v>
      </c>
      <c r="C194" s="640">
        <f t="shared" si="2"/>
        <v>189934733.58084244</v>
      </c>
    </row>
    <row r="195" spans="2:9">
      <c r="B195" s="641" t="s">
        <v>696</v>
      </c>
      <c r="C195" s="642">
        <f>SUM(C187:C194)</f>
        <v>1317973112.489053</v>
      </c>
    </row>
    <row r="198" spans="2:9">
      <c r="B198" s="601" t="s">
        <v>123</v>
      </c>
    </row>
    <row r="199" spans="2:9">
      <c r="B199" s="1379" t="s">
        <v>710</v>
      </c>
      <c r="C199" s="1379"/>
      <c r="D199" s="1379"/>
      <c r="E199" s="1379"/>
      <c r="F199" s="1379"/>
      <c r="G199" s="1379"/>
      <c r="H199" s="1379"/>
      <c r="I199" s="1379"/>
    </row>
    <row r="201" spans="2:9">
      <c r="B201" s="571" t="s">
        <v>711</v>
      </c>
    </row>
    <row r="202" spans="2:9" ht="34.049999999999997" customHeight="1">
      <c r="B202" s="1378" t="s">
        <v>712</v>
      </c>
      <c r="C202" s="1378"/>
      <c r="D202" s="1378"/>
      <c r="E202" s="1378"/>
      <c r="F202" s="1378"/>
      <c r="G202" s="1378"/>
      <c r="H202" s="1378"/>
      <c r="I202" s="1378"/>
    </row>
    <row r="204" spans="2:9" ht="15.6">
      <c r="B204" s="649" t="s">
        <v>713</v>
      </c>
      <c r="C204" s="650" t="s">
        <v>714</v>
      </c>
    </row>
    <row r="205" spans="2:9" ht="15.6">
      <c r="B205" s="651">
        <v>0.37</v>
      </c>
      <c r="C205" s="652">
        <v>2016</v>
      </c>
    </row>
    <row r="206" spans="2:9">
      <c r="B206" s="571" t="s">
        <v>715</v>
      </c>
    </row>
    <row r="207" spans="2:9">
      <c r="B207" s="571" t="s">
        <v>716</v>
      </c>
    </row>
    <row r="209" spans="2:3">
      <c r="B209" s="601" t="s">
        <v>123</v>
      </c>
    </row>
    <row r="211" spans="2:3" ht="28.8">
      <c r="B211" s="618" t="s">
        <v>195</v>
      </c>
      <c r="C211" s="619" t="s">
        <v>717</v>
      </c>
    </row>
    <row r="212" spans="2:3">
      <c r="B212" s="620" t="s">
        <v>695</v>
      </c>
      <c r="C212" s="653">
        <f t="shared" ref="C212:C219" si="3">$B$205*C187/10^9</f>
        <v>0.26441769947352828</v>
      </c>
    </row>
    <row r="213" spans="2:3">
      <c r="B213" s="620" t="s">
        <v>692</v>
      </c>
      <c r="C213" s="653">
        <f t="shared" si="3"/>
        <v>2.409881988023067E-2</v>
      </c>
    </row>
    <row r="214" spans="2:3">
      <c r="B214" s="620" t="s">
        <v>693</v>
      </c>
      <c r="C214" s="653">
        <f t="shared" si="3"/>
        <v>3.9251497350109466E-2</v>
      </c>
    </row>
    <row r="215" spans="2:3">
      <c r="B215" s="645" t="s">
        <v>455</v>
      </c>
      <c r="C215" s="653">
        <f t="shared" si="3"/>
        <v>4.308046495050304E-3</v>
      </c>
    </row>
    <row r="216" spans="2:3">
      <c r="B216" s="646" t="s">
        <v>365</v>
      </c>
      <c r="C216" s="653">
        <f t="shared" si="3"/>
        <v>3.7187213691220757E-3</v>
      </c>
    </row>
    <row r="217" spans="2:3">
      <c r="B217" s="646" t="s">
        <v>456</v>
      </c>
      <c r="C217" s="653">
        <f t="shared" si="3"/>
        <v>6.4084496890813789E-2</v>
      </c>
    </row>
    <row r="218" spans="2:3">
      <c r="B218" s="646" t="s">
        <v>457</v>
      </c>
      <c r="C218" s="653">
        <f t="shared" si="3"/>
        <v>1.7494918737183233E-2</v>
      </c>
    </row>
    <row r="219" spans="2:3">
      <c r="B219" s="645" t="s">
        <v>703</v>
      </c>
      <c r="C219" s="653">
        <f t="shared" si="3"/>
        <v>7.0275851424911703E-2</v>
      </c>
    </row>
    <row r="220" spans="2:3">
      <c r="B220" s="641" t="s">
        <v>696</v>
      </c>
      <c r="C220" s="654">
        <f>SUM(C212:C219)</f>
        <v>0.48765005162094954</v>
      </c>
    </row>
    <row r="223" spans="2:3">
      <c r="B223" s="593" t="s">
        <v>718</v>
      </c>
    </row>
    <row r="224" spans="2:3">
      <c r="B224" s="600" t="s">
        <v>192</v>
      </c>
    </row>
    <row r="225" spans="2:10" ht="52.05" customHeight="1">
      <c r="B225" s="1378" t="s">
        <v>719</v>
      </c>
      <c r="C225" s="1378"/>
      <c r="D225" s="1378"/>
      <c r="E225" s="1378"/>
      <c r="F225" s="1378"/>
      <c r="G225" s="1378"/>
    </row>
    <row r="226" spans="2:10">
      <c r="B226" s="1380" t="s">
        <v>720</v>
      </c>
      <c r="C226" s="1379"/>
      <c r="D226" s="1379"/>
      <c r="E226" s="1379"/>
      <c r="F226" s="1379"/>
      <c r="G226" s="1379"/>
    </row>
    <row r="227" spans="2:10">
      <c r="B227" s="571" t="s">
        <v>721</v>
      </c>
    </row>
    <row r="228" spans="2:10">
      <c r="B228" s="571" t="s">
        <v>722</v>
      </c>
    </row>
    <row r="229" spans="2:10" ht="81" customHeight="1">
      <c r="B229" s="1378" t="s">
        <v>723</v>
      </c>
      <c r="C229" s="1378"/>
      <c r="D229" s="1378"/>
      <c r="E229" s="1378"/>
      <c r="F229" s="1378"/>
      <c r="G229" s="1378"/>
      <c r="H229" s="1378"/>
      <c r="I229" s="1378"/>
      <c r="J229" s="1378"/>
    </row>
    <row r="231" spans="2:10">
      <c r="B231" s="601" t="s">
        <v>123</v>
      </c>
    </row>
    <row r="232" spans="2:10">
      <c r="B232" s="571" t="s">
        <v>724</v>
      </c>
    </row>
    <row r="234" spans="2:10">
      <c r="B234" s="618" t="s">
        <v>725</v>
      </c>
      <c r="C234" s="619" t="s">
        <v>726</v>
      </c>
      <c r="D234" s="605" t="s">
        <v>727</v>
      </c>
    </row>
    <row r="235" spans="2:10">
      <c r="B235" s="620" t="s">
        <v>728</v>
      </c>
      <c r="C235" s="640">
        <v>549</v>
      </c>
    </row>
    <row r="236" spans="2:10">
      <c r="B236" s="620" t="s">
        <v>729</v>
      </c>
      <c r="C236" s="640">
        <v>21</v>
      </c>
    </row>
    <row r="238" spans="2:10">
      <c r="B238" s="601" t="s">
        <v>123</v>
      </c>
    </row>
    <row r="239" spans="2:10">
      <c r="B239" s="571" t="s">
        <v>730</v>
      </c>
    </row>
    <row r="241" spans="2:3" ht="15.6">
      <c r="B241" s="649" t="s">
        <v>731</v>
      </c>
      <c r="C241" s="650" t="s">
        <v>732</v>
      </c>
    </row>
    <row r="242" spans="2:3" ht="15.6">
      <c r="B242" s="651">
        <v>600</v>
      </c>
      <c r="C242" s="655" t="s">
        <v>489</v>
      </c>
    </row>
    <row r="244" spans="2:3">
      <c r="B244" s="601" t="s">
        <v>123</v>
      </c>
    </row>
    <row r="245" spans="2:3">
      <c r="B245" s="571" t="s">
        <v>733</v>
      </c>
    </row>
    <row r="247" spans="2:3">
      <c r="B247" s="618" t="s">
        <v>725</v>
      </c>
      <c r="C247" s="619" t="s">
        <v>734</v>
      </c>
    </row>
    <row r="248" spans="2:3">
      <c r="B248" s="620" t="s">
        <v>728</v>
      </c>
      <c r="C248" s="656">
        <f>C235*B242/10^6</f>
        <v>0.32940000000000003</v>
      </c>
    </row>
    <row r="249" spans="2:3">
      <c r="B249" s="620" t="s">
        <v>729</v>
      </c>
      <c r="C249" s="656">
        <f>C236*B242/10^6</f>
        <v>1.26E-2</v>
      </c>
    </row>
    <row r="250" spans="2:3">
      <c r="B250" s="622" t="s">
        <v>119</v>
      </c>
      <c r="C250" s="657">
        <f>SUM(C248:C249)</f>
        <v>0.34200000000000003</v>
      </c>
    </row>
  </sheetData>
  <mergeCells count="32">
    <mergeCell ref="B5:D5"/>
    <mergeCell ref="F5:Q5"/>
    <mergeCell ref="F6:G6"/>
    <mergeCell ref="H6:Q6"/>
    <mergeCell ref="C7:D7"/>
    <mergeCell ref="F7:G8"/>
    <mergeCell ref="H7:Q8"/>
    <mergeCell ref="C8:D8"/>
    <mergeCell ref="C11:D11"/>
    <mergeCell ref="C13:D13"/>
    <mergeCell ref="B15:Q15"/>
    <mergeCell ref="C16:Q16"/>
    <mergeCell ref="C17:Q17"/>
    <mergeCell ref="C22:Q22"/>
    <mergeCell ref="C23:Q23"/>
    <mergeCell ref="B36:G36"/>
    <mergeCell ref="B37:G37"/>
    <mergeCell ref="C18:Q18"/>
    <mergeCell ref="C19:Q19"/>
    <mergeCell ref="C20:Q20"/>
    <mergeCell ref="C21:Q21"/>
    <mergeCell ref="B80:H81"/>
    <mergeCell ref="B125:C125"/>
    <mergeCell ref="B148:I148"/>
    <mergeCell ref="B149:I149"/>
    <mergeCell ref="B180:I180"/>
    <mergeCell ref="B229:J229"/>
    <mergeCell ref="B182:D182"/>
    <mergeCell ref="B199:I199"/>
    <mergeCell ref="B202:I202"/>
    <mergeCell ref="B225:G225"/>
    <mergeCell ref="B226:G226"/>
  </mergeCells>
  <conditionalFormatting sqref="C13">
    <cfRule type="containsText" dxfId="601" priority="20" operator="containsText" text="Calcul validé">
      <formula>NOT(ISERROR(SEARCH("Calcul validé",C13)))</formula>
    </cfRule>
  </conditionalFormatting>
  <conditionalFormatting sqref="C13">
    <cfRule type="containsText" dxfId="600" priority="19" operator="containsText" text="Bon ordre de grandeur">
      <formula>NOT(ISERROR(SEARCH("Bon ordre de grandeur",C13)))</formula>
    </cfRule>
  </conditionalFormatting>
  <conditionalFormatting sqref="C13">
    <cfRule type="containsText" dxfId="599" priority="18" operator="containsText" text="Calcul brouillon, ordre de grandeur">
      <formula>NOT(ISERROR(SEARCH("Calcul brouillon, ordre de grandeur",C13)))</formula>
    </cfRule>
  </conditionalFormatting>
  <conditionalFormatting sqref="C13">
    <cfRule type="containsText" dxfId="598" priority="17" operator="containsText" text="Pas ok">
      <formula>NOT(ISERROR(SEARCH("Pas ok",C13)))</formula>
    </cfRule>
  </conditionalFormatting>
  <conditionalFormatting sqref="C13">
    <cfRule type="containsText" dxfId="597" priority="16" operator="containsText" text="Calcul validé">
      <formula>NOT(ISERROR(SEARCH("Calcul validé",C13)))</formula>
    </cfRule>
  </conditionalFormatting>
  <conditionalFormatting sqref="C13">
    <cfRule type="containsText" dxfId="596" priority="15" operator="containsText" text="Calcul validé">
      <formula>NOT(ISERROR(SEARCH("Calcul validé",C13)))</formula>
    </cfRule>
  </conditionalFormatting>
  <conditionalFormatting sqref="C13">
    <cfRule type="containsText" dxfId="595" priority="14" operator="containsText" text="Bon ordre de grandeur">
      <formula>NOT(ISERROR(SEARCH("Bon ordre de grandeur",C13)))</formula>
    </cfRule>
  </conditionalFormatting>
  <conditionalFormatting sqref="C13">
    <cfRule type="containsText" dxfId="594" priority="13" operator="containsText" text="Calcul brouillon, ordre de grandeur">
      <formula>NOT(ISERROR(SEARCH("Calcul brouillon, ordre de grandeur",C13)))</formula>
    </cfRule>
  </conditionalFormatting>
  <conditionalFormatting sqref="C13">
    <cfRule type="containsText" dxfId="593" priority="12" operator="containsText" text="Pas ok">
      <formula>NOT(ISERROR(SEARCH("Pas ok",C13)))</formula>
    </cfRule>
  </conditionalFormatting>
  <conditionalFormatting sqref="C13:D13">
    <cfRule type="containsText" dxfId="592" priority="11" operator="containsText" text="Calcul brouillon, odg">
      <formula>NOT(ISERROR(SEARCH("Calcul brouillon, odg",C13)))</formula>
    </cfRule>
  </conditionalFormatting>
  <conditionalFormatting sqref="C8">
    <cfRule type="containsText" dxfId="591" priority="10" operator="containsText" text="Calcul validé">
      <formula>NOT(ISERROR(SEARCH("Calcul validé",C8)))</formula>
    </cfRule>
  </conditionalFormatting>
  <conditionalFormatting sqref="C8">
    <cfRule type="containsText" dxfId="590" priority="9" operator="containsText" text="Bon ordre de grandeur">
      <formula>NOT(ISERROR(SEARCH("Bon ordre de grandeur",C8)))</formula>
    </cfRule>
  </conditionalFormatting>
  <conditionalFormatting sqref="C8">
    <cfRule type="containsText" dxfId="589" priority="8" operator="containsText" text="Calcul brouillon, ordre de grandeur">
      <formula>NOT(ISERROR(SEARCH("Calcul brouillon, ordre de grandeur",C8)))</formula>
    </cfRule>
  </conditionalFormatting>
  <conditionalFormatting sqref="C8">
    <cfRule type="containsText" dxfId="588" priority="7" operator="containsText" text="Pas ok">
      <formula>NOT(ISERROR(SEARCH("Pas ok",C8)))</formula>
    </cfRule>
  </conditionalFormatting>
  <conditionalFormatting sqref="C8">
    <cfRule type="containsText" dxfId="587" priority="6" operator="containsText" text="Calcul validé">
      <formula>NOT(ISERROR(SEARCH("Calcul validé",C8)))</formula>
    </cfRule>
  </conditionalFormatting>
  <conditionalFormatting sqref="C8">
    <cfRule type="containsText" dxfId="586" priority="5" operator="containsText" text="Calcul validé">
      <formula>NOT(ISERROR(SEARCH("Calcul validé",C8)))</formula>
    </cfRule>
  </conditionalFormatting>
  <conditionalFormatting sqref="C8">
    <cfRule type="containsText" dxfId="585" priority="4" operator="containsText" text="Bon ordre de grandeur">
      <formula>NOT(ISERROR(SEARCH("Bon ordre de grandeur",C8)))</formula>
    </cfRule>
  </conditionalFormatting>
  <conditionalFormatting sqref="C8">
    <cfRule type="containsText" dxfId="584" priority="3" operator="containsText" text="Calcul brouillon, ordre de grandeur">
      <formula>NOT(ISERROR(SEARCH("Calcul brouillon, ordre de grandeur",C8)))</formula>
    </cfRule>
  </conditionalFormatting>
  <conditionalFormatting sqref="C8">
    <cfRule type="containsText" dxfId="583" priority="2" operator="containsText" text="Pas ok">
      <formula>NOT(ISERROR(SEARCH("Pas ok",C8)))</formula>
    </cfRule>
  </conditionalFormatting>
  <conditionalFormatting sqref="C8:D8">
    <cfRule type="containsText" dxfId="582" priority="1" operator="containsText" text="Calcul brouillon, odg">
      <formula>NOT(ISERROR(SEARCH("Calcul brouillon, odg",C8)))</formula>
    </cfRule>
  </conditionalFormatting>
  <pageMargins left="0.7" right="0.7" top="0.75" bottom="0.75" header="0.3" footer="0.3"/>
  <pageSetup paperSize="9" orientation="portrait"/>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33">
    <tabColor rgb="FFFFC000"/>
  </sheetPr>
  <dimension ref="B2:Q15"/>
  <sheetViews>
    <sheetView zoomScale="82" workbookViewId="0">
      <pane ySplit="2" topLeftCell="A3" activePane="bottomLeft" state="frozen"/>
      <selection activeCell="H7" sqref="H7:Q8"/>
      <selection pane="bottomLeft"/>
    </sheetView>
  </sheetViews>
  <sheetFormatPr baseColWidth="10" defaultRowHeight="14.4"/>
  <cols>
    <col min="2" max="2" width="43.109375" customWidth="1"/>
    <col min="4" max="4" width="20.109375" customWidth="1"/>
    <col min="5" max="5" width="13.6640625" customWidth="1"/>
    <col min="20" max="20" width="14.44140625" customWidth="1"/>
  </cols>
  <sheetData>
    <row r="2" spans="2:17" ht="18">
      <c r="B2" s="57" t="s">
        <v>42</v>
      </c>
    </row>
    <row r="5" spans="2:17">
      <c r="B5" s="1297" t="s">
        <v>90</v>
      </c>
      <c r="C5" s="1298"/>
      <c r="D5" s="1299"/>
      <c r="F5" s="1340" t="s">
        <v>63</v>
      </c>
      <c r="G5" s="1341"/>
      <c r="H5" s="1341"/>
      <c r="I5" s="1341"/>
      <c r="J5" s="1341"/>
      <c r="K5" s="1341"/>
      <c r="L5" s="1341"/>
      <c r="M5" s="1341"/>
      <c r="N5" s="1341"/>
      <c r="O5" s="1341"/>
      <c r="P5" s="1341"/>
      <c r="Q5" s="1342"/>
    </row>
    <row r="6" spans="2:17">
      <c r="B6" s="58" t="s">
        <v>64</v>
      </c>
      <c r="C6" s="59">
        <f>C15</f>
        <v>3.7433770400735602</v>
      </c>
      <c r="D6" s="60" t="s">
        <v>65</v>
      </c>
      <c r="F6" s="1303" t="s">
        <v>66</v>
      </c>
      <c r="G6" s="1304"/>
      <c r="H6" s="1343" t="s">
        <v>735</v>
      </c>
      <c r="I6" s="1306"/>
      <c r="J6" s="1306"/>
      <c r="K6" s="1306"/>
      <c r="L6" s="1306"/>
      <c r="M6" s="1306"/>
      <c r="N6" s="1306"/>
      <c r="O6" s="1306"/>
      <c r="P6" s="1306"/>
      <c r="Q6" s="1307"/>
    </row>
    <row r="7" spans="2:17">
      <c r="B7" s="61" t="s">
        <v>68</v>
      </c>
      <c r="C7" s="1344" t="str">
        <f>B15</f>
        <v>v1.10</v>
      </c>
      <c r="D7" s="1345"/>
      <c r="F7" s="1308" t="s">
        <v>69</v>
      </c>
      <c r="G7" s="1309"/>
      <c r="H7" s="1346" t="s">
        <v>736</v>
      </c>
      <c r="I7" s="1313"/>
      <c r="J7" s="1313"/>
      <c r="K7" s="1313"/>
      <c r="L7" s="1313"/>
      <c r="M7" s="1313"/>
      <c r="N7" s="1313"/>
      <c r="O7" s="1313"/>
      <c r="P7" s="1313"/>
      <c r="Q7" s="1314"/>
    </row>
    <row r="8" spans="2:17">
      <c r="B8" s="63" t="s">
        <v>28</v>
      </c>
      <c r="C8" s="1318" t="str">
        <f>D15</f>
        <v>Calcul brouillon, odg</v>
      </c>
      <c r="D8" s="1319"/>
      <c r="E8" t="s">
        <v>737</v>
      </c>
      <c r="F8" s="1310"/>
      <c r="G8" s="1311"/>
      <c r="H8" s="1315"/>
      <c r="I8" s="1316"/>
      <c r="J8" s="1316"/>
      <c r="K8" s="1316"/>
      <c r="L8" s="1316"/>
      <c r="M8" s="1316"/>
      <c r="N8" s="1316"/>
      <c r="O8" s="1316"/>
      <c r="P8" s="1316"/>
      <c r="Q8" s="1317"/>
    </row>
    <row r="13" spans="2:17" ht="15" customHeight="1">
      <c r="E13" s="1423" t="s">
        <v>335</v>
      </c>
      <c r="F13" s="1424"/>
      <c r="G13" s="1424"/>
      <c r="H13" s="1424"/>
      <c r="I13" s="1424"/>
      <c r="J13" s="1424"/>
      <c r="K13" s="1424"/>
      <c r="L13" s="1424"/>
      <c r="M13" s="1425"/>
      <c r="Q13" s="419"/>
    </row>
    <row r="14" spans="2:17" ht="72">
      <c r="B14" s="658" t="s">
        <v>336</v>
      </c>
      <c r="C14" s="658" t="s">
        <v>337</v>
      </c>
      <c r="D14" s="659" t="s">
        <v>338</v>
      </c>
      <c r="E14" s="660" t="s">
        <v>738</v>
      </c>
      <c r="F14" s="661" t="s">
        <v>337</v>
      </c>
      <c r="G14" s="662" t="s">
        <v>338</v>
      </c>
      <c r="H14" s="660" t="s">
        <v>739</v>
      </c>
      <c r="I14" s="661" t="s">
        <v>337</v>
      </c>
      <c r="J14" s="662" t="s">
        <v>338</v>
      </c>
      <c r="K14" s="660" t="s">
        <v>740</v>
      </c>
      <c r="L14" s="661" t="s">
        <v>337</v>
      </c>
      <c r="M14" s="662" t="s">
        <v>338</v>
      </c>
    </row>
    <row r="15" spans="2:17">
      <c r="B15" s="110" t="s">
        <v>741</v>
      </c>
      <c r="C15" s="663">
        <f>F15+I15+L15</f>
        <v>3.7433770400735602</v>
      </c>
      <c r="D15" s="427" t="s">
        <v>742</v>
      </c>
      <c r="E15" s="428" t="s">
        <v>743</v>
      </c>
      <c r="F15" s="663">
        <f>'10.bâtiments'!C11</f>
        <v>1.6355823621763428</v>
      </c>
      <c r="G15" s="429"/>
      <c r="H15" s="428" t="s">
        <v>744</v>
      </c>
      <c r="I15" s="663">
        <f>'10. SI'!C11</f>
        <v>1.7818737313408259</v>
      </c>
      <c r="J15" s="664"/>
      <c r="K15" s="428" t="s">
        <v>94</v>
      </c>
      <c r="L15" s="663">
        <f>'10. Mobilier+machines+véhicules'!C11</f>
        <v>0.3259209465563917</v>
      </c>
      <c r="M15" s="665"/>
    </row>
  </sheetData>
  <mergeCells count="9">
    <mergeCell ref="E13:M13"/>
    <mergeCell ref="B5:D5"/>
    <mergeCell ref="F5:Q5"/>
    <mergeCell ref="F6:G6"/>
    <mergeCell ref="H6:Q6"/>
    <mergeCell ref="C7:D7"/>
    <mergeCell ref="F7:G8"/>
    <mergeCell ref="H7:Q8"/>
    <mergeCell ref="C8:D8"/>
  </mergeCells>
  <conditionalFormatting sqref="G15">
    <cfRule type="containsText" dxfId="581" priority="620" operator="containsText" text="Calcul brouillon, odg">
      <formula>NOT(ISERROR(SEARCH("Calcul brouillon, odg",G15)))</formula>
    </cfRule>
  </conditionalFormatting>
  <conditionalFormatting sqref="G15">
    <cfRule type="containsText" dxfId="580" priority="619" operator="containsText" text="Pas ok">
      <formula>NOT(ISERROR(SEARCH("Pas ok",G15)))</formula>
    </cfRule>
  </conditionalFormatting>
  <conditionalFormatting sqref="G15">
    <cfRule type="containsText" dxfId="579" priority="618" operator="containsText" text="Calcul brouillon, ordre de grandeur">
      <formula>NOT(ISERROR(SEARCH("Calcul brouillon, ordre de grandeur",G15)))</formula>
    </cfRule>
  </conditionalFormatting>
  <conditionalFormatting sqref="G15">
    <cfRule type="containsText" dxfId="578" priority="617" operator="containsText" text="Bon ordre de grandeur">
      <formula>NOT(ISERROR(SEARCH("Bon ordre de grandeur",G15)))</formula>
    </cfRule>
  </conditionalFormatting>
  <conditionalFormatting sqref="G15">
    <cfRule type="containsText" dxfId="577" priority="616" operator="containsText" text="Calcul validé">
      <formula>NOT(ISERROR(SEARCH("Calcul validé",G15)))</formula>
    </cfRule>
  </conditionalFormatting>
  <conditionalFormatting sqref="G15">
    <cfRule type="containsText" dxfId="576" priority="615" operator="containsText" text="Calcul validé">
      <formula>NOT(ISERROR(SEARCH("Calcul validé",G15)))</formula>
    </cfRule>
  </conditionalFormatting>
  <conditionalFormatting sqref="G15">
    <cfRule type="containsText" dxfId="575" priority="614" operator="containsText" text="Pas ok">
      <formula>NOT(ISERROR(SEARCH("Pas ok",G15)))</formula>
    </cfRule>
  </conditionalFormatting>
  <conditionalFormatting sqref="G15">
    <cfRule type="containsText" dxfId="574" priority="613" operator="containsText" text="Calcul brouillon, ordre de grandeur">
      <formula>NOT(ISERROR(SEARCH("Calcul brouillon, ordre de grandeur",G15)))</formula>
    </cfRule>
  </conditionalFormatting>
  <conditionalFormatting sqref="G15">
    <cfRule type="containsText" dxfId="573" priority="612" operator="containsText" text="Bon ordre de grandeur">
      <formula>NOT(ISERROR(SEARCH("Bon ordre de grandeur",G15)))</formula>
    </cfRule>
  </conditionalFormatting>
  <conditionalFormatting sqref="G15">
    <cfRule type="containsText" dxfId="572" priority="611" operator="containsText" text="Calcul validé">
      <formula>NOT(ISERROR(SEARCH("Calcul validé",G15)))</formula>
    </cfRule>
  </conditionalFormatting>
  <conditionalFormatting sqref="J15">
    <cfRule type="containsText" dxfId="571" priority="600" operator="containsText" text="Calcul brouillon, odg">
      <formula>NOT(ISERROR(SEARCH("Calcul brouillon, odg",J15)))</formula>
    </cfRule>
  </conditionalFormatting>
  <conditionalFormatting sqref="J15">
    <cfRule type="containsText" dxfId="570" priority="599" operator="containsText" text="Pas ok">
      <formula>NOT(ISERROR(SEARCH("Pas ok",J15)))</formula>
    </cfRule>
  </conditionalFormatting>
  <conditionalFormatting sqref="J15">
    <cfRule type="containsText" dxfId="569" priority="598" operator="containsText" text="Calcul brouillon, ordre de grandeur">
      <formula>NOT(ISERROR(SEARCH("Calcul brouillon, ordre de grandeur",J15)))</formula>
    </cfRule>
  </conditionalFormatting>
  <conditionalFormatting sqref="J15">
    <cfRule type="containsText" dxfId="568" priority="597" operator="containsText" text="Bon ordre de grandeur">
      <formula>NOT(ISERROR(SEARCH("Bon ordre de grandeur",J15)))</formula>
    </cfRule>
  </conditionalFormatting>
  <conditionalFormatting sqref="J15">
    <cfRule type="containsText" dxfId="567" priority="596" operator="containsText" text="Calcul validé">
      <formula>NOT(ISERROR(SEARCH("Calcul validé",J15)))</formula>
    </cfRule>
  </conditionalFormatting>
  <conditionalFormatting sqref="J15">
    <cfRule type="containsText" dxfId="566" priority="595" operator="containsText" text="Calcul validé">
      <formula>NOT(ISERROR(SEARCH("Calcul validé",J15)))</formula>
    </cfRule>
  </conditionalFormatting>
  <conditionalFormatting sqref="J15">
    <cfRule type="containsText" dxfId="565" priority="594" operator="containsText" text="Pas ok">
      <formula>NOT(ISERROR(SEARCH("Pas ok",J15)))</formula>
    </cfRule>
  </conditionalFormatting>
  <conditionalFormatting sqref="J15">
    <cfRule type="containsText" dxfId="564" priority="593" operator="containsText" text="Calcul brouillon, ordre de grandeur">
      <formula>NOT(ISERROR(SEARCH("Calcul brouillon, ordre de grandeur",J15)))</formula>
    </cfRule>
  </conditionalFormatting>
  <conditionalFormatting sqref="J15">
    <cfRule type="containsText" dxfId="563" priority="592" operator="containsText" text="Bon ordre de grandeur">
      <formula>NOT(ISERROR(SEARCH("Bon ordre de grandeur",J15)))</formula>
    </cfRule>
  </conditionalFormatting>
  <conditionalFormatting sqref="J15">
    <cfRule type="containsText" dxfId="562" priority="591" operator="containsText" text="Calcul validé">
      <formula>NOT(ISERROR(SEARCH("Calcul validé",J15)))</formula>
    </cfRule>
  </conditionalFormatting>
  <conditionalFormatting sqref="D15">
    <cfRule type="containsText" dxfId="561" priority="590" operator="containsText" text="Calcul brouillon, odg">
      <formula>NOT(ISERROR(SEARCH("Calcul brouillon, odg",D15)))</formula>
    </cfRule>
  </conditionalFormatting>
  <conditionalFormatting sqref="D15">
    <cfRule type="containsText" dxfId="560" priority="589" operator="containsText" text="Pas ok">
      <formula>NOT(ISERROR(SEARCH("Pas ok",D15)))</formula>
    </cfRule>
  </conditionalFormatting>
  <conditionalFormatting sqref="D15">
    <cfRule type="containsText" dxfId="559" priority="588" operator="containsText" text="Calcul brouillon, ordre de grandeur">
      <formula>NOT(ISERROR(SEARCH("Calcul brouillon, ordre de grandeur",D15)))</formula>
    </cfRule>
  </conditionalFormatting>
  <conditionalFormatting sqref="D15">
    <cfRule type="containsText" dxfId="558" priority="587" operator="containsText" text="Bon ordre de grandeur">
      <formula>NOT(ISERROR(SEARCH("Bon ordre de grandeur",D15)))</formula>
    </cfRule>
  </conditionalFormatting>
  <conditionalFormatting sqref="D15">
    <cfRule type="containsText" dxfId="557" priority="586" operator="containsText" text="Calcul validé">
      <formula>NOT(ISERROR(SEARCH("Calcul validé",D15)))</formula>
    </cfRule>
  </conditionalFormatting>
  <conditionalFormatting sqref="D15">
    <cfRule type="containsText" dxfId="556" priority="585" operator="containsText" text="Calcul validé">
      <formula>NOT(ISERROR(SEARCH("Calcul validé",D15)))</formula>
    </cfRule>
  </conditionalFormatting>
  <conditionalFormatting sqref="D15">
    <cfRule type="containsText" dxfId="555" priority="584" operator="containsText" text="Pas ok">
      <formula>NOT(ISERROR(SEARCH("Pas ok",D15)))</formula>
    </cfRule>
  </conditionalFormatting>
  <conditionalFormatting sqref="D15">
    <cfRule type="containsText" dxfId="554" priority="583" operator="containsText" text="Calcul brouillon, ordre de grandeur">
      <formula>NOT(ISERROR(SEARCH("Calcul brouillon, ordre de grandeur",D15)))</formula>
    </cfRule>
  </conditionalFormatting>
  <conditionalFormatting sqref="D15">
    <cfRule type="containsText" dxfId="553" priority="582" operator="containsText" text="Bon ordre de grandeur">
      <formula>NOT(ISERROR(SEARCH("Bon ordre de grandeur",D15)))</formula>
    </cfRule>
  </conditionalFormatting>
  <conditionalFormatting sqref="D15">
    <cfRule type="containsText" dxfId="552" priority="581" operator="containsText" text="Calcul validé">
      <formula>NOT(ISERROR(SEARCH("Calcul validé",D15)))</formula>
    </cfRule>
  </conditionalFormatting>
  <conditionalFormatting sqref="C8">
    <cfRule type="containsText" dxfId="551" priority="580" operator="containsText" text="Calcul validé">
      <formula>NOT(ISERROR(SEARCH("Calcul validé",C8)))</formula>
    </cfRule>
  </conditionalFormatting>
  <conditionalFormatting sqref="C8">
    <cfRule type="containsText" dxfId="550" priority="579" operator="containsText" text="Bon ordre de grandeur">
      <formula>NOT(ISERROR(SEARCH("Bon ordre de grandeur",C8)))</formula>
    </cfRule>
  </conditionalFormatting>
  <conditionalFormatting sqref="C8">
    <cfRule type="containsText" dxfId="549" priority="578" operator="containsText" text="Calcul brouillon, ordre de grandeur">
      <formula>NOT(ISERROR(SEARCH("Calcul brouillon, ordre de grandeur",C8)))</formula>
    </cfRule>
  </conditionalFormatting>
  <conditionalFormatting sqref="C8">
    <cfRule type="containsText" dxfId="548" priority="577" operator="containsText" text="Pas ok">
      <formula>NOT(ISERROR(SEARCH("Pas ok",C8)))</formula>
    </cfRule>
  </conditionalFormatting>
  <conditionalFormatting sqref="C8">
    <cfRule type="containsText" dxfId="547" priority="576" operator="containsText" text="Calcul validé">
      <formula>NOT(ISERROR(SEARCH("Calcul validé",C8)))</formula>
    </cfRule>
  </conditionalFormatting>
  <conditionalFormatting sqref="C8">
    <cfRule type="containsText" dxfId="546" priority="575" operator="containsText" text="Calcul validé">
      <formula>NOT(ISERROR(SEARCH("Calcul validé",C8)))</formula>
    </cfRule>
  </conditionalFormatting>
  <conditionalFormatting sqref="C8">
    <cfRule type="containsText" dxfId="545" priority="574" operator="containsText" text="Bon ordre de grandeur">
      <formula>NOT(ISERROR(SEARCH("Bon ordre de grandeur",C8)))</formula>
    </cfRule>
  </conditionalFormatting>
  <conditionalFormatting sqref="C8">
    <cfRule type="containsText" dxfId="544" priority="573" operator="containsText" text="Calcul brouillon, ordre de grandeur">
      <formula>NOT(ISERROR(SEARCH("Calcul brouillon, ordre de grandeur",C8)))</formula>
    </cfRule>
  </conditionalFormatting>
  <conditionalFormatting sqref="C8">
    <cfRule type="containsText" dxfId="543" priority="572" operator="containsText" text="Pas ok">
      <formula>NOT(ISERROR(SEARCH("Pas ok",C8)))</formula>
    </cfRule>
  </conditionalFormatting>
  <conditionalFormatting sqref="C8">
    <cfRule type="containsText" dxfId="542" priority="571" operator="containsText" text="Calcul brouillon, odg">
      <formula>NOT(ISERROR(SEARCH("Calcul brouillon, odg",C8)))</formula>
    </cfRule>
  </conditionalFormatting>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D00-000000000000}">
          <x14:formula1>
            <xm:f>'Annexe 1'!$B$5:$B$8</xm:f>
          </x14:formula1>
          <xm:sqref>D15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34">
    <tabColor theme="7" tint="0.39997558519241921"/>
  </sheetPr>
  <dimension ref="A2:AH379"/>
  <sheetViews>
    <sheetView zoomScale="70" workbookViewId="0">
      <pane ySplit="2" topLeftCell="A3" activePane="bottomLeft" state="frozen"/>
      <selection activeCell="A19" sqref="A19:XFD19"/>
      <selection pane="bottomLeft"/>
    </sheetView>
  </sheetViews>
  <sheetFormatPr baseColWidth="10" defaultRowHeight="14.4"/>
  <cols>
    <col min="2" max="2" width="48.44140625" customWidth="1"/>
    <col min="3" max="3" width="22.44140625" customWidth="1"/>
    <col min="4" max="4" width="20.109375" customWidth="1"/>
    <col min="5" max="5" width="33.44140625" customWidth="1"/>
    <col min="6" max="6" width="14.77734375" customWidth="1"/>
    <col min="7" max="7" width="21.44140625" customWidth="1"/>
    <col min="8" max="8" width="20.44140625" customWidth="1"/>
    <col min="9" max="9" width="16.109375" customWidth="1"/>
    <col min="10" max="11" width="24.44140625" customWidth="1"/>
    <col min="12" max="12" width="19.44140625" customWidth="1"/>
    <col min="13" max="17" width="13.44140625" bestFit="1" customWidth="1"/>
    <col min="18" max="18" width="16.44140625" customWidth="1"/>
    <col min="19" max="34" width="13.44140625" bestFit="1" customWidth="1"/>
  </cols>
  <sheetData>
    <row r="2" spans="2:17" ht="18">
      <c r="B2" s="57" t="s">
        <v>745</v>
      </c>
    </row>
    <row r="5" spans="2:17">
      <c r="B5" s="1297" t="s">
        <v>90</v>
      </c>
      <c r="C5" s="1298"/>
      <c r="D5" s="1299"/>
      <c r="F5" s="1300" t="s">
        <v>63</v>
      </c>
      <c r="G5" s="1301"/>
      <c r="H5" s="1301"/>
      <c r="I5" s="1301"/>
      <c r="J5" s="1301"/>
      <c r="K5" s="1301"/>
      <c r="L5" s="1301"/>
      <c r="M5" s="1301"/>
      <c r="N5" s="1301"/>
      <c r="O5" s="1301"/>
      <c r="P5" s="1301"/>
      <c r="Q5" s="1302"/>
    </row>
    <row r="6" spans="2:17">
      <c r="B6" s="58" t="s">
        <v>64</v>
      </c>
      <c r="C6" s="265">
        <f>C11</f>
        <v>1.6355823621763428</v>
      </c>
      <c r="D6" s="266" t="s">
        <v>65</v>
      </c>
      <c r="F6" s="1303" t="s">
        <v>66</v>
      </c>
      <c r="G6" s="1304"/>
      <c r="H6" s="1305" t="s">
        <v>746</v>
      </c>
      <c r="I6" s="1306"/>
      <c r="J6" s="1306"/>
      <c r="K6" s="1306"/>
      <c r="L6" s="1306"/>
      <c r="M6" s="1306"/>
      <c r="N6" s="1306"/>
      <c r="O6" s="1306"/>
      <c r="P6" s="1306"/>
      <c r="Q6" s="1307"/>
    </row>
    <row r="7" spans="2:17">
      <c r="B7" s="61" t="s">
        <v>68</v>
      </c>
      <c r="C7" s="1287" t="str">
        <f>C10</f>
        <v>v1.i</v>
      </c>
      <c r="D7" s="1288"/>
      <c r="F7" s="1308" t="s">
        <v>69</v>
      </c>
      <c r="G7" s="1309"/>
      <c r="H7" s="1312" t="s">
        <v>747</v>
      </c>
      <c r="I7" s="1313"/>
      <c r="J7" s="1313"/>
      <c r="K7" s="1313"/>
      <c r="L7" s="1313"/>
      <c r="M7" s="1313"/>
      <c r="N7" s="1313"/>
      <c r="O7" s="1313"/>
      <c r="P7" s="1313"/>
      <c r="Q7" s="1314"/>
    </row>
    <row r="8" spans="2:17">
      <c r="B8" s="63" t="s">
        <v>28</v>
      </c>
      <c r="C8" s="1376" t="s">
        <v>98</v>
      </c>
      <c r="D8" s="1377"/>
      <c r="F8" s="1310"/>
      <c r="G8" s="1311"/>
      <c r="H8" s="1315"/>
      <c r="I8" s="1316"/>
      <c r="J8" s="1316"/>
      <c r="K8" s="1316"/>
      <c r="L8" s="1316"/>
      <c r="M8" s="1316"/>
      <c r="N8" s="1316"/>
      <c r="O8" s="1316"/>
      <c r="P8" s="1316"/>
      <c r="Q8" s="1317"/>
    </row>
    <row r="10" spans="2:17">
      <c r="B10" s="64" t="s">
        <v>93</v>
      </c>
      <c r="C10" s="1354" t="s">
        <v>748</v>
      </c>
      <c r="D10" s="1355"/>
      <c r="E10" s="65"/>
      <c r="F10" s="65"/>
      <c r="G10" s="65"/>
      <c r="H10" s="65"/>
      <c r="I10" s="65"/>
      <c r="J10" s="65"/>
      <c r="K10" s="65"/>
      <c r="L10" s="65"/>
      <c r="M10" s="65"/>
      <c r="N10" s="65"/>
      <c r="O10" s="65"/>
      <c r="P10" s="65"/>
      <c r="Q10" s="66"/>
    </row>
    <row r="11" spans="2:17">
      <c r="B11" s="67" t="s">
        <v>95</v>
      </c>
      <c r="C11" s="666">
        <f>C378</f>
        <v>1.6355823621763428</v>
      </c>
      <c r="D11" s="69" t="s">
        <v>96</v>
      </c>
      <c r="E11" s="70"/>
      <c r="F11" s="70"/>
      <c r="G11" s="70"/>
      <c r="H11" s="70"/>
      <c r="I11" s="70"/>
      <c r="J11" s="70"/>
      <c r="K11" s="70"/>
      <c r="L11" s="70"/>
      <c r="M11" s="70"/>
      <c r="N11" s="70"/>
      <c r="O11" s="70"/>
      <c r="P11" s="70"/>
      <c r="Q11" s="71"/>
    </row>
    <row r="12" spans="2:17">
      <c r="B12" s="72" t="s">
        <v>97</v>
      </c>
      <c r="C12" s="1349" t="s">
        <v>98</v>
      </c>
      <c r="D12" s="1350"/>
      <c r="E12" s="70"/>
      <c r="F12" s="70"/>
      <c r="G12" s="70"/>
      <c r="H12" s="70"/>
      <c r="I12" s="70"/>
      <c r="J12" s="70"/>
      <c r="K12" s="70"/>
      <c r="L12" s="70"/>
      <c r="M12" s="70"/>
      <c r="N12" s="70"/>
      <c r="O12" s="70"/>
      <c r="P12" s="70"/>
      <c r="Q12" s="71"/>
    </row>
    <row r="13" spans="2:17">
      <c r="B13" s="73"/>
      <c r="C13" s="74"/>
      <c r="D13" s="74"/>
      <c r="E13" s="74"/>
      <c r="F13" s="74"/>
      <c r="G13" s="74"/>
      <c r="H13" s="74"/>
      <c r="I13" s="74"/>
      <c r="J13" s="74"/>
      <c r="K13" s="74"/>
      <c r="L13" s="74"/>
      <c r="M13" s="74"/>
      <c r="N13" s="74"/>
      <c r="O13" s="74"/>
      <c r="P13" s="74"/>
      <c r="Q13" s="75"/>
    </row>
    <row r="14" spans="2:17">
      <c r="B14" s="1351" t="s">
        <v>71</v>
      </c>
      <c r="C14" s="1352"/>
      <c r="D14" s="1352"/>
      <c r="E14" s="1352"/>
      <c r="F14" s="1352"/>
      <c r="G14" s="1352"/>
      <c r="H14" s="1352"/>
      <c r="I14" s="1352"/>
      <c r="J14" s="1352"/>
      <c r="K14" s="1352"/>
      <c r="L14" s="1352"/>
      <c r="M14" s="1352"/>
      <c r="N14" s="1352"/>
      <c r="O14" s="1352"/>
      <c r="P14" s="1352"/>
      <c r="Q14" s="1353"/>
    </row>
    <row r="15" spans="2:17" ht="190.05" customHeight="1">
      <c r="B15" s="667" t="s">
        <v>72</v>
      </c>
      <c r="C15" s="1438" t="s">
        <v>749</v>
      </c>
      <c r="D15" s="1295"/>
      <c r="E15" s="1295"/>
      <c r="F15" s="1295"/>
      <c r="G15" s="1295"/>
      <c r="H15" s="1295"/>
      <c r="I15" s="1295"/>
      <c r="J15" s="1295"/>
      <c r="K15" s="1295"/>
      <c r="L15" s="1295"/>
      <c r="M15" s="1295"/>
      <c r="N15" s="1295"/>
      <c r="O15" s="1295"/>
      <c r="P15" s="1295"/>
      <c r="Q15" s="1296"/>
    </row>
    <row r="16" spans="2:17" ht="211.95" customHeight="1">
      <c r="B16" s="668" t="s">
        <v>74</v>
      </c>
      <c r="C16" s="1275" t="s">
        <v>750</v>
      </c>
      <c r="D16" s="1276"/>
      <c r="E16" s="1276"/>
      <c r="F16" s="1276"/>
      <c r="G16" s="1276"/>
      <c r="H16" s="1276"/>
      <c r="I16" s="1276"/>
      <c r="J16" s="1276"/>
      <c r="K16" s="1276"/>
      <c r="L16" s="1276"/>
      <c r="M16" s="1276"/>
      <c r="N16" s="1276"/>
      <c r="O16" s="1276"/>
      <c r="P16" s="1276"/>
      <c r="Q16" s="1277"/>
    </row>
    <row r="17" spans="1:18" ht="117" customHeight="1">
      <c r="B17" s="668" t="s">
        <v>76</v>
      </c>
      <c r="C17" s="1439" t="s">
        <v>751</v>
      </c>
      <c r="D17" s="1440"/>
      <c r="E17" s="1440"/>
      <c r="F17" s="1440"/>
      <c r="G17" s="1440"/>
      <c r="H17" s="1440"/>
      <c r="I17" s="1440"/>
      <c r="J17" s="1440"/>
      <c r="K17" s="1440"/>
      <c r="L17" s="1440"/>
      <c r="M17" s="1440"/>
      <c r="N17" s="1440"/>
      <c r="O17" s="1440"/>
      <c r="P17" s="1440"/>
      <c r="Q17" s="1441"/>
      <c r="R17" t="s">
        <v>752</v>
      </c>
    </row>
    <row r="18" spans="1:18" ht="16.05" customHeight="1">
      <c r="B18" s="668" t="s">
        <v>78</v>
      </c>
      <c r="C18" s="1275" t="s">
        <v>753</v>
      </c>
      <c r="D18" s="1276"/>
      <c r="E18" s="1276"/>
      <c r="F18" s="1276"/>
      <c r="G18" s="1276"/>
      <c r="H18" s="1276"/>
      <c r="I18" s="1276"/>
      <c r="J18" s="1276"/>
      <c r="K18" s="1276"/>
      <c r="L18" s="1276"/>
      <c r="M18" s="1276"/>
      <c r="N18" s="1276"/>
      <c r="O18" s="1276"/>
      <c r="P18" s="1276"/>
      <c r="Q18" s="1277"/>
    </row>
    <row r="19" spans="1:18" ht="27" customHeight="1">
      <c r="B19" s="668" t="s">
        <v>82</v>
      </c>
      <c r="C19" s="1275" t="s">
        <v>754</v>
      </c>
      <c r="D19" s="1276"/>
      <c r="E19" s="1276"/>
      <c r="F19" s="1276"/>
      <c r="G19" s="1276"/>
      <c r="H19" s="1276"/>
      <c r="I19" s="1276"/>
      <c r="J19" s="1276"/>
      <c r="K19" s="1276"/>
      <c r="L19" s="1276"/>
      <c r="M19" s="1276"/>
      <c r="N19" s="1276"/>
      <c r="O19" s="1276"/>
      <c r="P19" s="1276"/>
      <c r="Q19" s="1277"/>
    </row>
    <row r="20" spans="1:18">
      <c r="B20" s="668" t="s">
        <v>84</v>
      </c>
      <c r="C20" s="1275" t="s">
        <v>755</v>
      </c>
      <c r="D20" s="1276"/>
      <c r="E20" s="1276"/>
      <c r="F20" s="1276"/>
      <c r="G20" s="1276"/>
      <c r="H20" s="1276"/>
      <c r="I20" s="1276"/>
      <c r="J20" s="1276"/>
      <c r="K20" s="1276"/>
      <c r="L20" s="1276"/>
      <c r="M20" s="1276"/>
      <c r="N20" s="1276"/>
      <c r="O20" s="1276"/>
      <c r="P20" s="1276"/>
      <c r="Q20" s="1277"/>
    </row>
    <row r="21" spans="1:18">
      <c r="B21" s="668" t="s">
        <v>86</v>
      </c>
      <c r="C21" s="1275" t="s">
        <v>756</v>
      </c>
      <c r="D21" s="1276"/>
      <c r="E21" s="1276"/>
      <c r="F21" s="1276"/>
      <c r="G21" s="1276"/>
      <c r="H21" s="1276"/>
      <c r="I21" s="1276"/>
      <c r="J21" s="1276"/>
      <c r="K21" s="1276"/>
      <c r="L21" s="1276"/>
      <c r="M21" s="1276"/>
      <c r="N21" s="1276"/>
      <c r="O21" s="1276"/>
      <c r="P21" s="1276"/>
      <c r="Q21" s="1277"/>
    </row>
    <row r="22" spans="1:18">
      <c r="B22" s="669" t="s">
        <v>88</v>
      </c>
      <c r="C22" s="1279">
        <v>44900</v>
      </c>
      <c r="D22" s="1347"/>
      <c r="E22" s="1347"/>
      <c r="F22" s="1347"/>
      <c r="G22" s="1347"/>
      <c r="H22" s="1347"/>
      <c r="I22" s="1347"/>
      <c r="J22" s="1347"/>
      <c r="K22" s="1347"/>
      <c r="L22" s="1347"/>
      <c r="M22" s="1347"/>
      <c r="N22" s="1347"/>
      <c r="O22" s="1347"/>
      <c r="P22" s="1347"/>
      <c r="Q22" s="1348"/>
    </row>
    <row r="25" spans="1:18">
      <c r="A25" s="97"/>
      <c r="B25" s="98" t="s">
        <v>757</v>
      </c>
    </row>
    <row r="26" spans="1:18">
      <c r="B26" s="100" t="s">
        <v>123</v>
      </c>
    </row>
    <row r="27" spans="1:18">
      <c r="B27" t="s">
        <v>758</v>
      </c>
    </row>
    <row r="29" spans="1:18" ht="28.8">
      <c r="B29" s="670" t="s">
        <v>759</v>
      </c>
      <c r="C29" s="671" t="s">
        <v>760</v>
      </c>
      <c r="D29" s="671" t="s">
        <v>127</v>
      </c>
      <c r="E29" s="671" t="s">
        <v>761</v>
      </c>
      <c r="F29" s="672" t="s">
        <v>195</v>
      </c>
      <c r="G29" s="672" t="s">
        <v>675</v>
      </c>
      <c r="H29" s="673" t="s">
        <v>130</v>
      </c>
    </row>
    <row r="30" spans="1:18">
      <c r="B30" s="87" t="s">
        <v>671</v>
      </c>
      <c r="C30" s="110">
        <v>139</v>
      </c>
      <c r="D30" s="110" t="s">
        <v>762</v>
      </c>
      <c r="E30" s="110" t="s">
        <v>763</v>
      </c>
      <c r="F30" s="674" t="s">
        <v>676</v>
      </c>
      <c r="G30" s="674">
        <v>32</v>
      </c>
      <c r="H30" s="675" t="s">
        <v>431</v>
      </c>
    </row>
    <row r="31" spans="1:18">
      <c r="B31" s="87" t="s">
        <v>677</v>
      </c>
      <c r="C31" s="110">
        <v>93</v>
      </c>
      <c r="D31" s="110" t="s">
        <v>762</v>
      </c>
      <c r="E31" s="110" t="s">
        <v>763</v>
      </c>
      <c r="F31" s="674" t="s">
        <v>677</v>
      </c>
      <c r="G31" s="674">
        <v>962</v>
      </c>
      <c r="H31" s="675" t="s">
        <v>431</v>
      </c>
    </row>
    <row r="32" spans="1:18">
      <c r="B32" s="87" t="s">
        <v>764</v>
      </c>
      <c r="C32" s="110">
        <v>114</v>
      </c>
      <c r="D32" s="110" t="s">
        <v>762</v>
      </c>
      <c r="E32" s="110" t="s">
        <v>763</v>
      </c>
      <c r="F32" s="674" t="s">
        <v>678</v>
      </c>
      <c r="G32" s="674">
        <v>96</v>
      </c>
      <c r="H32" s="675" t="s">
        <v>431</v>
      </c>
    </row>
    <row r="33" spans="2:14">
      <c r="B33" s="119" t="s">
        <v>765</v>
      </c>
      <c r="C33" s="676">
        <f>(C30*G30+C31*G31+C32*G32)/SUM(G30:G32)</f>
        <v>96.2</v>
      </c>
      <c r="D33" s="120" t="s">
        <v>762</v>
      </c>
      <c r="E33" s="120"/>
      <c r="F33" s="120"/>
      <c r="G33" s="120"/>
      <c r="H33" s="121"/>
    </row>
    <row r="35" spans="2:14">
      <c r="B35" s="100" t="s">
        <v>123</v>
      </c>
      <c r="E35" s="455"/>
    </row>
    <row r="36" spans="2:14">
      <c r="B36" t="s">
        <v>424</v>
      </c>
      <c r="E36" s="455"/>
    </row>
    <row r="37" spans="2:14">
      <c r="B37" s="677" t="s">
        <v>766</v>
      </c>
      <c r="E37" s="455"/>
    </row>
    <row r="38" spans="2:14">
      <c r="E38" s="455"/>
    </row>
    <row r="39" spans="2:14" ht="28.8">
      <c r="B39" s="678" t="s">
        <v>426</v>
      </c>
      <c r="C39" s="679" t="s">
        <v>119</v>
      </c>
      <c r="D39" s="679" t="s">
        <v>427</v>
      </c>
      <c r="E39" s="680" t="s">
        <v>428</v>
      </c>
    </row>
    <row r="40" spans="2:14">
      <c r="B40" s="681" t="s">
        <v>429</v>
      </c>
      <c r="C40" s="682">
        <v>408245</v>
      </c>
      <c r="D40" s="110">
        <v>2017</v>
      </c>
      <c r="E40" s="683" t="s">
        <v>431</v>
      </c>
    </row>
    <row r="41" spans="2:14">
      <c r="B41" s="681" t="s">
        <v>430</v>
      </c>
      <c r="C41" s="682">
        <v>72789</v>
      </c>
      <c r="D41" s="110">
        <v>2017</v>
      </c>
      <c r="E41" s="683" t="s">
        <v>431</v>
      </c>
      <c r="G41" s="179"/>
      <c r="I41" s="178"/>
      <c r="J41" s="178"/>
      <c r="K41" s="178"/>
      <c r="L41" s="178"/>
      <c r="M41" s="178"/>
      <c r="N41" s="178"/>
    </row>
    <row r="42" spans="2:14">
      <c r="B42" s="684" t="s">
        <v>119</v>
      </c>
      <c r="C42" s="685">
        <f>SUM(C40:C41)</f>
        <v>481034</v>
      </c>
      <c r="D42" s="150">
        <v>2017</v>
      </c>
      <c r="E42" s="683" t="s">
        <v>431</v>
      </c>
      <c r="G42" s="179"/>
      <c r="I42" s="178"/>
      <c r="J42" s="178"/>
      <c r="K42" s="178"/>
      <c r="L42" s="178"/>
      <c r="M42" s="178"/>
      <c r="N42" s="178"/>
    </row>
    <row r="44" spans="2:14">
      <c r="B44" s="686" t="s">
        <v>767</v>
      </c>
      <c r="C44" s="687">
        <f>C42*C33</f>
        <v>46275470.800000004</v>
      </c>
      <c r="D44" s="688" t="s">
        <v>768</v>
      </c>
    </row>
    <row r="46" spans="2:14" ht="28.05" customHeight="1">
      <c r="B46" s="98" t="s">
        <v>769</v>
      </c>
    </row>
    <row r="47" spans="2:14">
      <c r="B47" s="98"/>
    </row>
    <row r="48" spans="2:14">
      <c r="B48" s="152" t="s">
        <v>192</v>
      </c>
    </row>
    <row r="49" spans="2:5">
      <c r="B49" t="s">
        <v>770</v>
      </c>
    </row>
    <row r="50" spans="2:5">
      <c r="B50" t="s">
        <v>771</v>
      </c>
    </row>
    <row r="51" spans="2:5">
      <c r="B51" t="s">
        <v>772</v>
      </c>
    </row>
    <row r="52" spans="2:5">
      <c r="B52" t="s">
        <v>773</v>
      </c>
    </row>
    <row r="54" spans="2:5">
      <c r="B54" s="100" t="s">
        <v>123</v>
      </c>
    </row>
    <row r="55" spans="2:5">
      <c r="B55" s="689"/>
      <c r="C55" s="690" t="s">
        <v>774</v>
      </c>
      <c r="D55" s="690" t="s">
        <v>380</v>
      </c>
      <c r="E55" s="691" t="s">
        <v>427</v>
      </c>
    </row>
    <row r="56" spans="2:5">
      <c r="B56" s="692" t="s">
        <v>775</v>
      </c>
      <c r="C56" s="110">
        <v>21591</v>
      </c>
      <c r="D56" s="257" t="s">
        <v>431</v>
      </c>
      <c r="E56" s="271">
        <v>2017</v>
      </c>
    </row>
    <row r="57" spans="2:5">
      <c r="B57" s="692" t="s">
        <v>776</v>
      </c>
      <c r="C57" s="110">
        <v>1000</v>
      </c>
      <c r="D57" s="110" t="s">
        <v>431</v>
      </c>
      <c r="E57" s="271">
        <v>2017</v>
      </c>
    </row>
    <row r="58" spans="2:5">
      <c r="B58" s="692" t="s">
        <v>777</v>
      </c>
      <c r="C58" s="110">
        <v>910</v>
      </c>
      <c r="D58" s="110" t="s">
        <v>431</v>
      </c>
      <c r="E58" s="271">
        <v>2017</v>
      </c>
    </row>
    <row r="59" spans="2:5">
      <c r="B59" s="692" t="s">
        <v>778</v>
      </c>
      <c r="C59" s="110">
        <v>1933</v>
      </c>
      <c r="D59" s="110" t="s">
        <v>431</v>
      </c>
      <c r="E59" s="271">
        <v>2017</v>
      </c>
    </row>
    <row r="60" spans="2:5">
      <c r="B60" s="692" t="s">
        <v>779</v>
      </c>
      <c r="C60" s="110">
        <v>48700</v>
      </c>
      <c r="D60" s="110" t="s">
        <v>431</v>
      </c>
      <c r="E60" s="271">
        <v>2017</v>
      </c>
    </row>
    <row r="61" spans="2:5">
      <c r="B61" s="692" t="s">
        <v>780</v>
      </c>
      <c r="C61" s="110">
        <v>37000</v>
      </c>
      <c r="D61" s="110" t="s">
        <v>431</v>
      </c>
      <c r="E61" s="271">
        <v>2017</v>
      </c>
    </row>
    <row r="62" spans="2:5">
      <c r="B62" s="692" t="s">
        <v>781</v>
      </c>
      <c r="C62" s="110">
        <v>36500</v>
      </c>
      <c r="D62" s="110" t="s">
        <v>431</v>
      </c>
      <c r="E62" s="271">
        <v>2017</v>
      </c>
    </row>
    <row r="63" spans="2:5">
      <c r="B63" s="692" t="s">
        <v>782</v>
      </c>
      <c r="C63" s="110">
        <v>36100</v>
      </c>
      <c r="D63" s="110" t="s">
        <v>431</v>
      </c>
      <c r="E63" s="271">
        <v>2017</v>
      </c>
    </row>
    <row r="64" spans="2:5">
      <c r="B64" s="692" t="s">
        <v>783</v>
      </c>
      <c r="C64" s="110">
        <v>12467</v>
      </c>
      <c r="D64" s="110" t="s">
        <v>431</v>
      </c>
      <c r="E64" s="271">
        <v>2017</v>
      </c>
    </row>
    <row r="65" spans="2:5">
      <c r="B65" s="693" t="s">
        <v>784</v>
      </c>
      <c r="C65" s="120">
        <v>3811</v>
      </c>
      <c r="D65" s="110" t="s">
        <v>431</v>
      </c>
      <c r="E65" s="121">
        <v>2017</v>
      </c>
    </row>
    <row r="66" spans="2:5">
      <c r="B66" s="98"/>
    </row>
    <row r="67" spans="2:5">
      <c r="B67" s="100" t="s">
        <v>123</v>
      </c>
    </row>
    <row r="68" spans="2:5">
      <c r="B68" t="s">
        <v>785</v>
      </c>
      <c r="E68" s="97"/>
    </row>
    <row r="69" spans="2:5">
      <c r="B69" s="98"/>
    </row>
    <row r="70" spans="2:5">
      <c r="B70" s="98" t="s">
        <v>786</v>
      </c>
    </row>
    <row r="72" spans="2:5">
      <c r="B72" s="689"/>
      <c r="C72" s="690" t="s">
        <v>774</v>
      </c>
      <c r="D72" s="691" t="s">
        <v>787</v>
      </c>
    </row>
    <row r="73" spans="2:5">
      <c r="B73" s="692" t="s">
        <v>779</v>
      </c>
      <c r="C73" s="110">
        <v>48700</v>
      </c>
      <c r="D73" s="271">
        <f t="shared" ref="D73:D79" si="0">70*C73</f>
        <v>3409000</v>
      </c>
    </row>
    <row r="74" spans="2:5">
      <c r="B74" s="692" t="s">
        <v>780</v>
      </c>
      <c r="C74" s="110">
        <v>37000</v>
      </c>
      <c r="D74" s="271">
        <f t="shared" si="0"/>
        <v>2590000</v>
      </c>
    </row>
    <row r="75" spans="2:5">
      <c r="B75" s="692" t="s">
        <v>781</v>
      </c>
      <c r="C75" s="110">
        <v>36500</v>
      </c>
      <c r="D75" s="271">
        <f t="shared" si="0"/>
        <v>2555000</v>
      </c>
    </row>
    <row r="76" spans="2:5">
      <c r="B76" s="692" t="s">
        <v>788</v>
      </c>
      <c r="C76" s="110">
        <v>36100</v>
      </c>
      <c r="D76" s="271">
        <f t="shared" si="0"/>
        <v>2527000</v>
      </c>
    </row>
    <row r="77" spans="2:5">
      <c r="B77" s="692" t="s">
        <v>783</v>
      </c>
      <c r="C77" s="110">
        <v>12467</v>
      </c>
      <c r="D77" s="271">
        <f t="shared" si="0"/>
        <v>872690</v>
      </c>
    </row>
    <row r="78" spans="2:5">
      <c r="B78" s="692" t="s">
        <v>784</v>
      </c>
      <c r="C78" s="110">
        <v>3811</v>
      </c>
      <c r="D78" s="271">
        <f t="shared" si="0"/>
        <v>266770</v>
      </c>
    </row>
    <row r="79" spans="2:5">
      <c r="B79" s="694" t="s">
        <v>696</v>
      </c>
      <c r="C79" s="120">
        <f>SUM(C73:C78)</f>
        <v>174578</v>
      </c>
      <c r="D79" s="271">
        <f t="shared" si="0"/>
        <v>12220460</v>
      </c>
    </row>
    <row r="80" spans="2:5">
      <c r="B80" s="98"/>
    </row>
    <row r="81" spans="2:13">
      <c r="B81" s="98" t="s">
        <v>789</v>
      </c>
    </row>
    <row r="82" spans="2:13">
      <c r="B82" s="98"/>
    </row>
    <row r="83" spans="2:13">
      <c r="B83" s="695"/>
      <c r="C83" s="695" t="s">
        <v>790</v>
      </c>
      <c r="D83" s="695" t="s">
        <v>791</v>
      </c>
    </row>
    <row r="84" spans="2:13">
      <c r="B84" s="695" t="s">
        <v>792</v>
      </c>
      <c r="C84" s="110">
        <v>21591</v>
      </c>
      <c r="D84" s="110">
        <f t="shared" ref="D84:D88" si="1">100*C84</f>
        <v>2159100</v>
      </c>
    </row>
    <row r="85" spans="2:13">
      <c r="B85" s="695" t="s">
        <v>793</v>
      </c>
      <c r="C85" s="110">
        <v>1000</v>
      </c>
      <c r="D85" s="110">
        <f t="shared" si="1"/>
        <v>100000</v>
      </c>
    </row>
    <row r="86" spans="2:13">
      <c r="B86" s="695" t="s">
        <v>777</v>
      </c>
      <c r="C86" s="110">
        <v>910</v>
      </c>
      <c r="D86" s="110">
        <f t="shared" si="1"/>
        <v>91000</v>
      </c>
    </row>
    <row r="87" spans="2:13">
      <c r="B87" s="695" t="s">
        <v>794</v>
      </c>
      <c r="C87" s="110">
        <v>1933</v>
      </c>
      <c r="D87" s="110">
        <f t="shared" si="1"/>
        <v>193300</v>
      </c>
    </row>
    <row r="88" spans="2:13">
      <c r="B88" s="695" t="s">
        <v>795</v>
      </c>
      <c r="C88" s="110">
        <f>SUM(C84:C87)</f>
        <v>25434</v>
      </c>
      <c r="D88" s="110">
        <f t="shared" si="1"/>
        <v>2543400</v>
      </c>
    </row>
    <row r="89" spans="2:13">
      <c r="B89" s="98"/>
    </row>
    <row r="90" spans="2:13">
      <c r="B90" s="100" t="s">
        <v>123</v>
      </c>
    </row>
    <row r="91" spans="2:13">
      <c r="B91" s="346" t="s">
        <v>796</v>
      </c>
    </row>
    <row r="92" spans="2:13">
      <c r="B92" t="s">
        <v>797</v>
      </c>
      <c r="G92" s="1432" t="s">
        <v>798</v>
      </c>
      <c r="H92" s="1433"/>
      <c r="I92" s="1433"/>
      <c r="J92" s="696"/>
      <c r="K92" s="696"/>
      <c r="L92" s="696"/>
      <c r="M92" s="697"/>
    </row>
    <row r="93" spans="2:13">
      <c r="B93" s="695" t="s">
        <v>799</v>
      </c>
      <c r="C93" s="695" t="s">
        <v>800</v>
      </c>
      <c r="D93" s="695" t="s">
        <v>801</v>
      </c>
      <c r="E93" s="695" t="s">
        <v>791</v>
      </c>
      <c r="G93" s="698" t="s">
        <v>802</v>
      </c>
      <c r="M93" s="699"/>
    </row>
    <row r="94" spans="2:13">
      <c r="B94" s="695" t="s">
        <v>803</v>
      </c>
      <c r="C94" s="110">
        <v>20084</v>
      </c>
      <c r="D94" s="110">
        <f t="shared" ref="D94:D103" si="2">C94</f>
        <v>20084</v>
      </c>
      <c r="E94" s="110">
        <f t="shared" ref="E94:E102" si="3">70*D94</f>
        <v>1405880</v>
      </c>
      <c r="G94" s="698" t="s">
        <v>804</v>
      </c>
      <c r="M94" s="699"/>
    </row>
    <row r="95" spans="2:13">
      <c r="B95" s="695" t="s">
        <v>805</v>
      </c>
      <c r="C95" s="110">
        <v>2916</v>
      </c>
      <c r="D95" s="110">
        <f t="shared" si="2"/>
        <v>2916</v>
      </c>
      <c r="E95" s="110">
        <f t="shared" si="3"/>
        <v>204120</v>
      </c>
      <c r="G95" s="123" t="s">
        <v>806</v>
      </c>
      <c r="H95" s="123" t="s">
        <v>807</v>
      </c>
      <c r="I95" s="123" t="s">
        <v>808</v>
      </c>
      <c r="J95" s="123" t="s">
        <v>809</v>
      </c>
      <c r="K95" s="124" t="s">
        <v>130</v>
      </c>
      <c r="M95" s="699"/>
    </row>
    <row r="96" spans="2:13">
      <c r="B96" s="695" t="s">
        <v>810</v>
      </c>
      <c r="C96" s="110">
        <v>2767</v>
      </c>
      <c r="D96" s="110">
        <f t="shared" si="2"/>
        <v>2767</v>
      </c>
      <c r="E96" s="110">
        <f t="shared" si="3"/>
        <v>193690</v>
      </c>
      <c r="G96" s="700" t="s">
        <v>811</v>
      </c>
      <c r="H96" s="701">
        <v>36100</v>
      </c>
      <c r="I96" s="701">
        <v>37279</v>
      </c>
      <c r="J96" s="701">
        <v>1.03</v>
      </c>
      <c r="K96" s="702" t="s">
        <v>169</v>
      </c>
      <c r="M96" s="699"/>
    </row>
    <row r="97" spans="2:13">
      <c r="B97" s="695" t="s">
        <v>812</v>
      </c>
      <c r="C97" s="110">
        <v>1403</v>
      </c>
      <c r="D97" s="110">
        <f t="shared" si="2"/>
        <v>1403</v>
      </c>
      <c r="E97" s="110">
        <f t="shared" si="3"/>
        <v>98210</v>
      </c>
      <c r="G97" s="703" t="s">
        <v>813</v>
      </c>
      <c r="H97" s="704">
        <v>12467</v>
      </c>
      <c r="I97" s="704">
        <v>13422</v>
      </c>
      <c r="J97" s="704">
        <v>1.08</v>
      </c>
      <c r="K97" s="705" t="s">
        <v>172</v>
      </c>
      <c r="M97" s="699"/>
    </row>
    <row r="98" spans="2:13">
      <c r="B98" s="695" t="s">
        <v>814</v>
      </c>
      <c r="C98" s="110">
        <v>1177</v>
      </c>
      <c r="D98" s="110">
        <f t="shared" si="2"/>
        <v>1177</v>
      </c>
      <c r="E98" s="110">
        <f t="shared" si="3"/>
        <v>82390</v>
      </c>
      <c r="G98" s="706" t="s">
        <v>815</v>
      </c>
      <c r="H98" s="707"/>
      <c r="I98" s="707"/>
      <c r="J98" s="707"/>
      <c r="K98" s="707"/>
      <c r="L98" s="707"/>
      <c r="M98" s="708"/>
    </row>
    <row r="99" spans="2:13">
      <c r="B99" s="695" t="s">
        <v>816</v>
      </c>
      <c r="C99" s="110">
        <v>9530</v>
      </c>
      <c r="D99" s="110">
        <f t="shared" si="2"/>
        <v>9530</v>
      </c>
      <c r="E99" s="110">
        <f t="shared" si="3"/>
        <v>667100</v>
      </c>
    </row>
    <row r="100" spans="2:13">
      <c r="B100" s="695" t="s">
        <v>503</v>
      </c>
      <c r="C100" s="110">
        <v>0</v>
      </c>
      <c r="D100" s="110">
        <f t="shared" si="2"/>
        <v>0</v>
      </c>
      <c r="E100" s="110">
        <f t="shared" si="3"/>
        <v>0</v>
      </c>
    </row>
    <row r="101" spans="2:13">
      <c r="B101" s="695" t="s">
        <v>504</v>
      </c>
      <c r="C101" s="110">
        <v>4534</v>
      </c>
      <c r="D101" s="110">
        <f t="shared" si="2"/>
        <v>4534</v>
      </c>
      <c r="E101" s="110">
        <f t="shared" si="3"/>
        <v>317380</v>
      </c>
    </row>
    <row r="102" spans="2:13">
      <c r="B102" s="695" t="s">
        <v>507</v>
      </c>
      <c r="C102" s="110">
        <v>21431</v>
      </c>
      <c r="D102" s="110">
        <f t="shared" si="2"/>
        <v>21431</v>
      </c>
      <c r="E102" s="110">
        <f t="shared" si="3"/>
        <v>1500170</v>
      </c>
    </row>
    <row r="103" spans="2:13">
      <c r="B103" s="695" t="s">
        <v>696</v>
      </c>
      <c r="C103" s="110">
        <f>SUM(C94:C102)</f>
        <v>63842</v>
      </c>
      <c r="D103" s="110">
        <f t="shared" si="2"/>
        <v>63842</v>
      </c>
      <c r="E103" s="534">
        <f>SUM(E94:E102)</f>
        <v>4468940</v>
      </c>
    </row>
    <row r="105" spans="2:13">
      <c r="B105" s="98"/>
      <c r="G105" s="1434" t="s">
        <v>817</v>
      </c>
      <c r="H105" s="1435"/>
      <c r="I105" s="696"/>
      <c r="J105" s="696"/>
      <c r="K105" s="696"/>
      <c r="L105" s="696"/>
      <c r="M105" s="697"/>
    </row>
    <row r="106" spans="2:13">
      <c r="B106" s="98"/>
      <c r="G106" s="709" t="s">
        <v>818</v>
      </c>
      <c r="H106" s="710"/>
      <c r="M106" s="699"/>
    </row>
    <row r="107" spans="2:13" ht="55.2">
      <c r="B107" s="711" t="s">
        <v>819</v>
      </c>
      <c r="C107" s="712">
        <f>SUM(E103,D88,D79)</f>
        <v>19232800</v>
      </c>
      <c r="D107" s="713" t="s">
        <v>768</v>
      </c>
      <c r="G107" s="122" t="s">
        <v>820</v>
      </c>
      <c r="H107" s="714" t="s">
        <v>821</v>
      </c>
      <c r="I107" s="714" t="s">
        <v>822</v>
      </c>
      <c r="J107" s="715" t="s">
        <v>823</v>
      </c>
      <c r="K107" s="714" t="s">
        <v>824</v>
      </c>
      <c r="L107" s="716" t="s">
        <v>825</v>
      </c>
      <c r="M107" s="699"/>
    </row>
    <row r="108" spans="2:13">
      <c r="B108" s="717" t="s">
        <v>826</v>
      </c>
      <c r="C108" s="718">
        <f>C44</f>
        <v>46275470.800000004</v>
      </c>
      <c r="D108" s="719" t="s">
        <v>768</v>
      </c>
      <c r="G108" s="125" t="s">
        <v>108</v>
      </c>
      <c r="H108" s="126">
        <v>0.46</v>
      </c>
      <c r="I108" s="126">
        <f t="shared" ref="I108:I111" si="4">($C$107+$C$108)*H108*0.7</f>
        <v>21093663.1976</v>
      </c>
      <c r="J108" s="720">
        <v>4063.26</v>
      </c>
      <c r="K108" s="126">
        <f t="shared" ref="K108:K110" si="5">1000000*J108/I108</f>
        <v>192.62941490704711</v>
      </c>
      <c r="L108" s="721">
        <v>126</v>
      </c>
      <c r="M108" s="699"/>
    </row>
    <row r="109" spans="2:13">
      <c r="G109" s="125" t="s">
        <v>109</v>
      </c>
      <c r="H109" s="126">
        <v>0.15</v>
      </c>
      <c r="I109" s="126">
        <f t="shared" si="4"/>
        <v>6878368.4340000004</v>
      </c>
      <c r="J109" s="722">
        <v>1685.8942999999999</v>
      </c>
      <c r="K109" s="126">
        <f t="shared" si="5"/>
        <v>245.10090091518933</v>
      </c>
      <c r="L109" s="721">
        <v>292</v>
      </c>
      <c r="M109" s="699"/>
    </row>
    <row r="110" spans="2:13" ht="57.6">
      <c r="G110" s="723" t="s">
        <v>827</v>
      </c>
      <c r="H110" s="126">
        <v>0.1</v>
      </c>
      <c r="I110" s="126">
        <f t="shared" si="4"/>
        <v>4585578.9560000002</v>
      </c>
      <c r="J110" s="126">
        <f>82.3378+97.2569+603.47463</f>
        <v>783.06933000000004</v>
      </c>
      <c r="K110" s="126">
        <f t="shared" si="5"/>
        <v>170.7678217982471</v>
      </c>
      <c r="L110" s="721">
        <v>152</v>
      </c>
      <c r="M110" s="699"/>
    </row>
    <row r="111" spans="2:13" ht="28.8">
      <c r="G111" s="160" t="s">
        <v>828</v>
      </c>
      <c r="H111" s="137">
        <v>0.28999999999999998</v>
      </c>
      <c r="I111" s="137">
        <f t="shared" si="4"/>
        <v>13298178.9724</v>
      </c>
      <c r="J111" s="724" t="s">
        <v>829</v>
      </c>
      <c r="K111" s="724" t="s">
        <v>830</v>
      </c>
      <c r="L111" s="725" t="s">
        <v>831</v>
      </c>
      <c r="M111" s="699"/>
    </row>
    <row r="112" spans="2:13">
      <c r="G112" s="706" t="s">
        <v>832</v>
      </c>
      <c r="H112" s="707"/>
      <c r="I112" s="707"/>
      <c r="J112" s="707"/>
      <c r="K112" s="707"/>
      <c r="L112" s="707"/>
      <c r="M112" s="708"/>
    </row>
    <row r="113" spans="2:16">
      <c r="B113" s="98" t="s">
        <v>833</v>
      </c>
    </row>
    <row r="115" spans="2:16" ht="19.05" customHeight="1">
      <c r="B115" s="402" t="s">
        <v>834</v>
      </c>
    </row>
    <row r="116" spans="2:16">
      <c r="B116" s="152" t="s">
        <v>192</v>
      </c>
    </row>
    <row r="117" spans="2:16">
      <c r="B117" t="s">
        <v>835</v>
      </c>
    </row>
    <row r="119" spans="2:16">
      <c r="B119" s="100" t="s">
        <v>123</v>
      </c>
    </row>
    <row r="120" spans="2:16">
      <c r="C120" s="372"/>
      <c r="D120" s="372"/>
      <c r="E120" s="373"/>
      <c r="F120" s="372"/>
    </row>
    <row r="121" spans="2:16">
      <c r="B121" s="371" t="s">
        <v>836</v>
      </c>
      <c r="C121" s="372"/>
      <c r="D121" s="372"/>
      <c r="E121" s="373"/>
      <c r="F121" s="375"/>
    </row>
    <row r="122" spans="2:16" ht="20.399999999999999">
      <c r="B122" s="726" t="s">
        <v>837</v>
      </c>
      <c r="C122" s="727" t="s">
        <v>838</v>
      </c>
      <c r="D122" s="728" t="s">
        <v>839</v>
      </c>
      <c r="E122" s="492" t="s">
        <v>325</v>
      </c>
      <c r="F122" s="377"/>
      <c r="P122" s="100"/>
    </row>
    <row r="123" spans="2:16">
      <c r="B123" s="729" t="s">
        <v>464</v>
      </c>
      <c r="C123" s="730">
        <v>4470.2700000000004</v>
      </c>
      <c r="D123" s="731">
        <v>3344</v>
      </c>
      <c r="E123" s="379"/>
      <c r="F123" s="379"/>
    </row>
    <row r="124" spans="2:16">
      <c r="B124" s="729" t="s">
        <v>840</v>
      </c>
      <c r="C124" s="730">
        <v>4284.5</v>
      </c>
      <c r="D124" s="731">
        <v>2287</v>
      </c>
      <c r="E124" s="379"/>
      <c r="F124" s="379"/>
    </row>
    <row r="125" spans="2:16">
      <c r="B125" s="729" t="s">
        <v>841</v>
      </c>
      <c r="C125" s="730">
        <v>3562.93</v>
      </c>
      <c r="D125" s="731">
        <v>1769</v>
      </c>
      <c r="E125" s="379"/>
      <c r="F125" s="379"/>
    </row>
    <row r="126" spans="2:16">
      <c r="B126" s="729" t="s">
        <v>842</v>
      </c>
      <c r="C126" s="730">
        <v>1425.72</v>
      </c>
      <c r="D126" s="731">
        <v>338</v>
      </c>
      <c r="E126" s="379"/>
      <c r="F126" s="379"/>
    </row>
    <row r="127" spans="2:16">
      <c r="B127" s="729" t="s">
        <v>843</v>
      </c>
      <c r="C127" s="730">
        <v>2797.01</v>
      </c>
      <c r="D127" s="731">
        <v>2267</v>
      </c>
      <c r="E127" s="379"/>
      <c r="F127" s="379"/>
    </row>
    <row r="128" spans="2:16">
      <c r="B128" s="729" t="s">
        <v>844</v>
      </c>
      <c r="C128" s="730">
        <v>3274.46</v>
      </c>
      <c r="D128" s="731">
        <v>596</v>
      </c>
      <c r="E128" s="379"/>
      <c r="F128" s="379"/>
    </row>
    <row r="129" spans="2:16">
      <c r="B129" s="729" t="s">
        <v>845</v>
      </c>
      <c r="C129" s="732">
        <v>3782.74</v>
      </c>
      <c r="D129" s="733">
        <v>10601</v>
      </c>
      <c r="E129" s="381"/>
      <c r="F129" s="381"/>
    </row>
    <row r="130" spans="2:16">
      <c r="B130" s="382"/>
      <c r="C130" s="372"/>
      <c r="D130" s="372"/>
      <c r="E130" s="373"/>
      <c r="F130" s="372"/>
    </row>
    <row r="131" spans="2:16">
      <c r="P131" s="98"/>
    </row>
    <row r="132" spans="2:16">
      <c r="B132" s="100" t="s">
        <v>123</v>
      </c>
      <c r="P132" s="98"/>
    </row>
    <row r="133" spans="2:16">
      <c r="B133" t="s">
        <v>846</v>
      </c>
    </row>
    <row r="135" spans="2:16" ht="32.25" customHeight="1">
      <c r="B135" s="490" t="s">
        <v>459</v>
      </c>
      <c r="C135" s="491" t="s">
        <v>460</v>
      </c>
      <c r="D135" s="492" t="s">
        <v>325</v>
      </c>
    </row>
    <row r="136" spans="2:16" ht="27" customHeight="1">
      <c r="B136" s="493" t="s">
        <v>461</v>
      </c>
      <c r="C136" s="494">
        <v>585560</v>
      </c>
    </row>
    <row r="137" spans="2:16">
      <c r="B137" s="495" t="s">
        <v>462</v>
      </c>
      <c r="C137" s="494">
        <v>125640</v>
      </c>
    </row>
    <row r="138" spans="2:16">
      <c r="B138" s="495" t="s">
        <v>463</v>
      </c>
      <c r="C138" s="494">
        <v>169030</v>
      </c>
    </row>
    <row r="139" spans="2:16">
      <c r="B139" s="495" t="s">
        <v>464</v>
      </c>
      <c r="C139" s="494">
        <v>290890</v>
      </c>
    </row>
    <row r="140" spans="2:16">
      <c r="B140" s="496" t="s">
        <v>465</v>
      </c>
      <c r="C140" s="494">
        <v>127070</v>
      </c>
    </row>
    <row r="141" spans="2:16">
      <c r="B141" s="497" t="s">
        <v>466</v>
      </c>
      <c r="C141" s="498">
        <v>163820</v>
      </c>
    </row>
    <row r="143" spans="2:16">
      <c r="B143" t="s">
        <v>467</v>
      </c>
    </row>
    <row r="145" spans="2:4">
      <c r="B145" s="499" t="s">
        <v>847</v>
      </c>
      <c r="C145" s="110">
        <f>100*C140/C139</f>
        <v>43.683179208635565</v>
      </c>
      <c r="D145" s="110" t="s">
        <v>469</v>
      </c>
    </row>
    <row r="147" spans="2:4">
      <c r="B147" s="98" t="s">
        <v>848</v>
      </c>
    </row>
    <row r="150" spans="2:4">
      <c r="B150" s="100" t="s">
        <v>123</v>
      </c>
    </row>
    <row r="151" spans="2:4">
      <c r="B151" t="s">
        <v>849</v>
      </c>
    </row>
    <row r="153" spans="2:4">
      <c r="B153" s="734" t="s">
        <v>837</v>
      </c>
      <c r="C153" s="735" t="s">
        <v>839</v>
      </c>
    </row>
    <row r="154" spans="2:4">
      <c r="B154" s="736" t="s">
        <v>464</v>
      </c>
      <c r="C154" s="737">
        <f>TRUNC(D123*(1-C145/100))</f>
        <v>1883</v>
      </c>
    </row>
    <row r="155" spans="2:4">
      <c r="B155" s="736" t="s">
        <v>463</v>
      </c>
      <c r="C155" s="737">
        <v>2287</v>
      </c>
    </row>
    <row r="156" spans="2:4">
      <c r="B156" s="736" t="s">
        <v>462</v>
      </c>
      <c r="C156" s="737">
        <v>1769</v>
      </c>
    </row>
    <row r="157" spans="2:4">
      <c r="B157" s="736" t="s">
        <v>842</v>
      </c>
      <c r="C157" s="737">
        <v>338</v>
      </c>
    </row>
    <row r="158" spans="2:4">
      <c r="B158" s="736" t="s">
        <v>850</v>
      </c>
      <c r="C158" s="737">
        <v>2267</v>
      </c>
    </row>
    <row r="159" spans="2:4">
      <c r="B159" s="736" t="s">
        <v>844</v>
      </c>
      <c r="C159" s="737">
        <v>596</v>
      </c>
    </row>
    <row r="160" spans="2:4">
      <c r="B160" s="738" t="s">
        <v>845</v>
      </c>
      <c r="C160" s="739">
        <f>SUM(C154:C159)</f>
        <v>9140</v>
      </c>
    </row>
    <row r="162" spans="2:4">
      <c r="B162" s="100" t="s">
        <v>123</v>
      </c>
    </row>
    <row r="163" spans="2:4">
      <c r="B163" t="s">
        <v>851</v>
      </c>
    </row>
    <row r="165" spans="2:4">
      <c r="B165" s="728" t="s">
        <v>837</v>
      </c>
      <c r="C165" s="728" t="s">
        <v>852</v>
      </c>
    </row>
    <row r="166" spans="2:4">
      <c r="B166" s="740" t="s">
        <v>464</v>
      </c>
      <c r="C166" s="731">
        <f t="shared" ref="C166:C171" si="6">C154*C123</f>
        <v>8417518.4100000001</v>
      </c>
    </row>
    <row r="167" spans="2:4">
      <c r="B167" s="740" t="s">
        <v>463</v>
      </c>
      <c r="C167" s="731">
        <f t="shared" si="6"/>
        <v>9798651.5</v>
      </c>
    </row>
    <row r="168" spans="2:4">
      <c r="B168" s="740" t="s">
        <v>462</v>
      </c>
      <c r="C168" s="731">
        <f t="shared" si="6"/>
        <v>6302823.1699999999</v>
      </c>
      <c r="D168" s="243"/>
    </row>
    <row r="169" spans="2:4">
      <c r="B169" s="740" t="s">
        <v>842</v>
      </c>
      <c r="C169" s="731">
        <f t="shared" si="6"/>
        <v>481893.36</v>
      </c>
    </row>
    <row r="170" spans="2:4">
      <c r="B170" s="740" t="s">
        <v>850</v>
      </c>
      <c r="C170" s="731">
        <f t="shared" si="6"/>
        <v>6340821.6700000009</v>
      </c>
    </row>
    <row r="171" spans="2:4">
      <c r="B171" s="740" t="s">
        <v>844</v>
      </c>
      <c r="C171" s="731">
        <f t="shared" si="6"/>
        <v>1951578.16</v>
      </c>
    </row>
    <row r="172" spans="2:4">
      <c r="B172" s="740" t="s">
        <v>845</v>
      </c>
      <c r="C172" s="741">
        <f>SUM(C166:C171)</f>
        <v>33293286.27</v>
      </c>
    </row>
    <row r="173" spans="2:4">
      <c r="B173" s="382"/>
      <c r="C173" s="385"/>
    </row>
    <row r="174" spans="2:4">
      <c r="B174" s="382"/>
      <c r="C174" s="385"/>
    </row>
    <row r="175" spans="2:4">
      <c r="B175" s="98" t="s">
        <v>853</v>
      </c>
    </row>
    <row r="176" spans="2:4">
      <c r="B176" s="98"/>
    </row>
    <row r="177" spans="2:7">
      <c r="B177" s="152" t="s">
        <v>192</v>
      </c>
    </row>
    <row r="178" spans="2:7">
      <c r="B178" s="402" t="s">
        <v>854</v>
      </c>
    </row>
    <row r="179" spans="2:7">
      <c r="B179" t="s">
        <v>855</v>
      </c>
    </row>
    <row r="182" spans="2:7">
      <c r="B182" s="100" t="s">
        <v>123</v>
      </c>
    </row>
    <row r="184" spans="2:7">
      <c r="B184" s="742" t="s">
        <v>836</v>
      </c>
      <c r="C184" s="743"/>
      <c r="D184" s="743"/>
      <c r="E184" s="744"/>
      <c r="F184" s="743"/>
    </row>
    <row r="185" spans="2:7">
      <c r="B185" s="742"/>
      <c r="C185" s="743"/>
      <c r="D185" s="743"/>
      <c r="E185" s="744"/>
      <c r="F185" s="743"/>
    </row>
    <row r="186" spans="2:7" ht="30.6">
      <c r="B186" s="745" t="s">
        <v>837</v>
      </c>
      <c r="C186" s="746" t="s">
        <v>856</v>
      </c>
      <c r="D186" s="746" t="s">
        <v>857</v>
      </c>
      <c r="E186" s="746" t="s">
        <v>858</v>
      </c>
      <c r="F186" s="746" t="s">
        <v>859</v>
      </c>
      <c r="G186" s="97" t="s">
        <v>325</v>
      </c>
    </row>
    <row r="187" spans="2:7">
      <c r="B187" s="740" t="s">
        <v>464</v>
      </c>
      <c r="C187" s="731">
        <v>4470.2700000000004</v>
      </c>
      <c r="D187" s="731">
        <v>51.345599693584028</v>
      </c>
      <c r="E187" s="731">
        <v>21.11383266310915</v>
      </c>
      <c r="F187" s="731">
        <v>20.146017965481509</v>
      </c>
    </row>
    <row r="188" spans="2:7">
      <c r="B188" s="740" t="s">
        <v>840</v>
      </c>
      <c r="C188" s="731">
        <v>4284.5</v>
      </c>
      <c r="D188" s="731">
        <v>57.402594021584726</v>
      </c>
      <c r="E188" s="731">
        <v>27.907376934652131</v>
      </c>
      <c r="F188" s="731">
        <v>22.798340620767661</v>
      </c>
    </row>
    <row r="189" spans="2:7">
      <c r="B189" s="740" t="s">
        <v>841</v>
      </c>
      <c r="C189" s="731">
        <v>3562.93</v>
      </c>
      <c r="D189" s="731">
        <v>47.904505641571966</v>
      </c>
      <c r="E189" s="731">
        <v>20.459498174913676</v>
      </c>
      <c r="F189" s="731">
        <v>21.67602045782505</v>
      </c>
    </row>
    <row r="190" spans="2:7">
      <c r="B190" s="740" t="s">
        <v>842</v>
      </c>
      <c r="C190" s="731">
        <v>1425.72</v>
      </c>
      <c r="D190" s="731">
        <v>56.701678803594895</v>
      </c>
      <c r="E190" s="731">
        <v>22.350667869745259</v>
      </c>
      <c r="F190" s="731">
        <v>26.981760376745378</v>
      </c>
    </row>
    <row r="191" spans="2:7">
      <c r="B191" s="740" t="s">
        <v>843</v>
      </c>
      <c r="C191" s="731">
        <v>2797.01</v>
      </c>
      <c r="D191" s="731">
        <v>58.508524240777234</v>
      </c>
      <c r="E191" s="731">
        <v>16.854326280920727</v>
      </c>
      <c r="F191" s="731">
        <v>34.79172912470267</v>
      </c>
    </row>
    <row r="192" spans="2:7">
      <c r="B192" s="740" t="s">
        <v>844</v>
      </c>
      <c r="C192" s="731">
        <v>3274.46</v>
      </c>
      <c r="D192" s="731">
        <v>58.181952173682944</v>
      </c>
      <c r="E192" s="731">
        <v>20.608514134558863</v>
      </c>
      <c r="F192" s="731">
        <v>19.964748447764336</v>
      </c>
    </row>
    <row r="193" spans="2:11">
      <c r="B193" s="740" t="s">
        <v>845</v>
      </c>
      <c r="C193" s="733">
        <v>3782.74</v>
      </c>
      <c r="D193" s="733">
        <v>53.624932078237002</v>
      </c>
      <c r="E193" s="733">
        <v>21.977953029693207</v>
      </c>
      <c r="F193" s="733">
        <v>23.335243001187635</v>
      </c>
    </row>
    <row r="195" spans="2:11">
      <c r="B195" s="404" t="s">
        <v>860</v>
      </c>
      <c r="C195" s="405"/>
      <c r="D195" s="405"/>
      <c r="E195" s="405"/>
      <c r="F195" s="405"/>
      <c r="G195" s="405"/>
      <c r="H195" s="405"/>
      <c r="I195" s="405"/>
      <c r="J195" s="405"/>
      <c r="K195" s="403"/>
    </row>
    <row r="196" spans="2:11">
      <c r="B196" s="406"/>
      <c r="C196" s="405"/>
      <c r="D196" s="405"/>
      <c r="E196" s="405"/>
      <c r="F196" s="405"/>
      <c r="G196" s="405"/>
      <c r="H196" s="405"/>
      <c r="I196" s="405"/>
      <c r="J196" s="405"/>
      <c r="K196" s="403"/>
    </row>
    <row r="197" spans="2:11">
      <c r="B197" s="1436" t="s">
        <v>861</v>
      </c>
      <c r="C197" s="1436">
        <v>2018</v>
      </c>
      <c r="D197" s="1436"/>
      <c r="E197" s="1436"/>
      <c r="F197" s="1436"/>
      <c r="G197" s="1436"/>
      <c r="H197" s="1436" t="s">
        <v>862</v>
      </c>
      <c r="I197" s="1436"/>
      <c r="J197" s="1436"/>
      <c r="K197" s="747" t="s">
        <v>325</v>
      </c>
    </row>
    <row r="198" spans="2:11" ht="30.6">
      <c r="B198" s="1436"/>
      <c r="C198" s="746" t="s">
        <v>839</v>
      </c>
      <c r="D198" s="746" t="s">
        <v>430</v>
      </c>
      <c r="E198" s="746" t="s">
        <v>863</v>
      </c>
      <c r="F198" s="746" t="s">
        <v>864</v>
      </c>
      <c r="G198" s="746" t="s">
        <v>865</v>
      </c>
      <c r="H198" s="746" t="s">
        <v>839</v>
      </c>
      <c r="I198" s="746" t="s">
        <v>430</v>
      </c>
      <c r="J198" s="746" t="s">
        <v>864</v>
      </c>
      <c r="K198" s="403"/>
    </row>
    <row r="199" spans="2:11">
      <c r="B199" s="745" t="s">
        <v>866</v>
      </c>
      <c r="C199" s="748">
        <v>12430</v>
      </c>
      <c r="D199" s="748">
        <v>510620</v>
      </c>
      <c r="E199" s="748">
        <v>41.092901419692012</v>
      </c>
      <c r="F199" s="748">
        <v>257600</v>
      </c>
      <c r="G199" s="749">
        <v>0.50429439076476512</v>
      </c>
      <c r="H199" s="750">
        <v>7.4448767747514175E-2</v>
      </c>
      <c r="I199" s="750">
        <v>4.3722570161274038E-2</v>
      </c>
      <c r="J199" s="750">
        <v>4.6066661876374392E-2</v>
      </c>
      <c r="K199" s="403"/>
    </row>
    <row r="200" spans="2:11">
      <c r="B200" s="745" t="s">
        <v>433</v>
      </c>
      <c r="C200" s="748">
        <v>2370</v>
      </c>
      <c r="D200" s="748">
        <v>108900</v>
      </c>
      <c r="E200" s="748">
        <v>45.867914060584674</v>
      </c>
      <c r="F200" s="748">
        <v>78100</v>
      </c>
      <c r="G200" s="749">
        <v>0.71699448513916419</v>
      </c>
      <c r="H200" s="750">
        <v>4.6402110180696336E-2</v>
      </c>
      <c r="I200" s="750">
        <v>1.4755534849049557E-2</v>
      </c>
      <c r="J200" s="750">
        <v>4.7303875833294854E-3</v>
      </c>
      <c r="K200" s="403"/>
    </row>
    <row r="201" spans="2:11">
      <c r="B201" s="745" t="s">
        <v>435</v>
      </c>
      <c r="C201" s="748"/>
      <c r="D201" s="748"/>
      <c r="E201" s="748"/>
      <c r="F201" s="748"/>
      <c r="G201" s="749"/>
      <c r="H201" s="750"/>
      <c r="I201" s="750"/>
      <c r="J201" s="750"/>
      <c r="K201" s="403"/>
    </row>
    <row r="202" spans="2:11">
      <c r="B202" s="751" t="s">
        <v>436</v>
      </c>
      <c r="C202" s="752">
        <v>1300</v>
      </c>
      <c r="D202" s="752">
        <v>70730</v>
      </c>
      <c r="E202" s="752">
        <v>54.544601336715779</v>
      </c>
      <c r="F202" s="752">
        <v>46000</v>
      </c>
      <c r="G202" s="749">
        <v>0.65096019112839354</v>
      </c>
      <c r="H202" s="753">
        <v>2.9934795869737973E-2</v>
      </c>
      <c r="I202" s="753">
        <v>2.1628268091867645E-2</v>
      </c>
      <c r="J202" s="753">
        <v>2.2885039264093635E-2</v>
      </c>
      <c r="K202" s="403"/>
    </row>
    <row r="203" spans="2:11">
      <c r="B203" s="751" t="s">
        <v>867</v>
      </c>
      <c r="C203" s="752">
        <v>460</v>
      </c>
      <c r="D203" s="752">
        <v>15980</v>
      </c>
      <c r="E203" s="752">
        <v>34.484069495260023</v>
      </c>
      <c r="F203" s="752">
        <v>12600</v>
      </c>
      <c r="G203" s="749">
        <v>0.79158185403104653</v>
      </c>
      <c r="H203" s="753">
        <v>7.491041299303941E-2</v>
      </c>
      <c r="I203" s="753">
        <v>2.6735218508997429E-2</v>
      </c>
      <c r="J203" s="753">
        <v>-1.1511224602361154E-2</v>
      </c>
      <c r="K203" s="403"/>
    </row>
    <row r="204" spans="2:11">
      <c r="B204" s="751" t="s">
        <v>438</v>
      </c>
      <c r="C204" s="752">
        <v>200</v>
      </c>
      <c r="D204" s="752">
        <v>5680</v>
      </c>
      <c r="E204" s="752">
        <v>28.4</v>
      </c>
      <c r="F204" s="752">
        <v>6400</v>
      </c>
      <c r="G204" s="749">
        <v>1.1337932394366197</v>
      </c>
      <c r="H204" s="753">
        <v>-4.9751243781094526E-3</v>
      </c>
      <c r="I204" s="753">
        <v>5.3097345132743362E-3</v>
      </c>
      <c r="J204" s="753">
        <v>-9.6608416347561798E-3</v>
      </c>
      <c r="K204" s="403"/>
    </row>
    <row r="205" spans="2:11">
      <c r="B205" s="751" t="s">
        <v>439</v>
      </c>
      <c r="C205" s="752">
        <v>140</v>
      </c>
      <c r="D205" s="752">
        <v>7180</v>
      </c>
      <c r="E205" s="752">
        <v>49.855349682873644</v>
      </c>
      <c r="F205" s="752">
        <v>6400</v>
      </c>
      <c r="G205" s="749">
        <v>0.89053792142658128</v>
      </c>
      <c r="H205" s="753">
        <v>-1.3859417808219114E-2</v>
      </c>
      <c r="I205" s="753">
        <v>-2.8687415426251691E-2</v>
      </c>
      <c r="J205" s="753">
        <v>-1.6713891755261952E-2</v>
      </c>
      <c r="K205" s="403"/>
    </row>
    <row r="206" spans="2:11">
      <c r="B206" s="751" t="s">
        <v>868</v>
      </c>
      <c r="C206" s="752">
        <v>120</v>
      </c>
      <c r="D206" s="752">
        <v>6740</v>
      </c>
      <c r="E206" s="752">
        <v>57.129779661016954</v>
      </c>
      <c r="F206" s="752">
        <v>5000</v>
      </c>
      <c r="G206" s="749">
        <v>0.74171932949570363</v>
      </c>
      <c r="H206" s="753">
        <v>-4.8387096774193547E-2</v>
      </c>
      <c r="I206" s="753">
        <v>-0.1106445910290237</v>
      </c>
      <c r="J206" s="753">
        <v>-8.102133798934015E-2</v>
      </c>
      <c r="K206" s="403"/>
    </row>
    <row r="207" spans="2:11">
      <c r="B207" s="751" t="s">
        <v>441</v>
      </c>
      <c r="C207" s="752">
        <v>20</v>
      </c>
      <c r="D207" s="752">
        <v>310</v>
      </c>
      <c r="E207" s="752">
        <v>12.75</v>
      </c>
      <c r="F207" s="752">
        <v>200</v>
      </c>
      <c r="G207" s="749">
        <v>0.76766176470588243</v>
      </c>
      <c r="H207" s="753">
        <v>0.41176470588235292</v>
      </c>
      <c r="I207" s="753">
        <v>0.38461538461538464</v>
      </c>
      <c r="J207" s="753">
        <v>1.6939665073506204E-2</v>
      </c>
      <c r="K207" s="403"/>
    </row>
    <row r="208" spans="2:11">
      <c r="B208" s="751" t="s">
        <v>442</v>
      </c>
      <c r="C208" s="752">
        <v>10</v>
      </c>
      <c r="D208" s="752">
        <v>170</v>
      </c>
      <c r="E208" s="752">
        <v>20.625</v>
      </c>
      <c r="F208" s="752">
        <v>100</v>
      </c>
      <c r="G208" s="749">
        <v>0.50800000000000001</v>
      </c>
      <c r="H208" s="753">
        <v>0</v>
      </c>
      <c r="I208" s="753">
        <v>-6.024096385542169E-3</v>
      </c>
      <c r="J208" s="753">
        <v>-0.11003869346205465</v>
      </c>
      <c r="K208" s="403"/>
    </row>
    <row r="209" spans="2:11">
      <c r="B209" s="751" t="s">
        <v>869</v>
      </c>
      <c r="C209" s="752">
        <v>120</v>
      </c>
      <c r="D209" s="752">
        <v>1930</v>
      </c>
      <c r="E209" s="752">
        <v>16.750470390456396</v>
      </c>
      <c r="F209" s="752">
        <v>1200</v>
      </c>
      <c r="G209" s="749">
        <v>0.60195706355060363</v>
      </c>
      <c r="H209" s="753">
        <v>0.38958514457831322</v>
      </c>
      <c r="I209" s="753">
        <v>0.26849967170059091</v>
      </c>
      <c r="J209" s="753">
        <v>1.8862247321705418E-2</v>
      </c>
      <c r="K209" s="403"/>
    </row>
    <row r="210" spans="2:11">
      <c r="B210" s="751" t="s">
        <v>444</v>
      </c>
      <c r="C210" s="752">
        <v>10</v>
      </c>
      <c r="D210" s="752">
        <v>200</v>
      </c>
      <c r="E210" s="752">
        <v>39.6</v>
      </c>
      <c r="F210" s="752">
        <v>100</v>
      </c>
      <c r="G210" s="749">
        <v>0.41525252525252526</v>
      </c>
      <c r="H210" s="753" t="s">
        <v>870</v>
      </c>
      <c r="I210" s="753" t="s">
        <v>870</v>
      </c>
      <c r="J210" s="753" t="s">
        <v>870</v>
      </c>
      <c r="K210" s="403"/>
    </row>
    <row r="211" spans="2:11">
      <c r="B211" s="751" t="s">
        <v>445</v>
      </c>
      <c r="C211" s="748">
        <v>1800</v>
      </c>
      <c r="D211" s="748">
        <v>55790</v>
      </c>
      <c r="E211" s="748">
        <v>31.0529450143666</v>
      </c>
      <c r="F211" s="748">
        <v>15900</v>
      </c>
      <c r="G211" s="749">
        <v>0.28565973277519646</v>
      </c>
      <c r="H211" s="750">
        <v>0.10498992127921281</v>
      </c>
      <c r="I211" s="750">
        <v>0.1123056020733653</v>
      </c>
      <c r="J211" s="750">
        <v>0.14056311263802099</v>
      </c>
      <c r="K211" s="403"/>
    </row>
    <row r="212" spans="2:11">
      <c r="B212" s="745" t="s">
        <v>446</v>
      </c>
      <c r="C212" s="748">
        <v>6790</v>
      </c>
      <c r="D212" s="748">
        <v>290240</v>
      </c>
      <c r="E212" s="748">
        <v>42.765298417486797</v>
      </c>
      <c r="F212" s="748">
        <v>154900</v>
      </c>
      <c r="G212" s="749">
        <v>0.53371387877456355</v>
      </c>
      <c r="H212" s="750">
        <v>5.9431523259444223E-2</v>
      </c>
      <c r="I212" s="750">
        <v>3.0473792219504258E-2</v>
      </c>
      <c r="J212" s="750">
        <v>5.2566132353041105E-2</v>
      </c>
      <c r="K212" s="403"/>
    </row>
    <row r="213" spans="2:11">
      <c r="B213" s="745" t="s">
        <v>435</v>
      </c>
      <c r="C213" s="748"/>
      <c r="D213" s="748"/>
      <c r="E213" s="748"/>
      <c r="F213" s="748"/>
      <c r="G213" s="749"/>
      <c r="H213" s="750"/>
      <c r="I213" s="750"/>
      <c r="J213" s="750"/>
      <c r="K213" s="403"/>
    </row>
    <row r="214" spans="2:11">
      <c r="B214" s="751" t="s">
        <v>447</v>
      </c>
      <c r="C214" s="752">
        <v>1500</v>
      </c>
      <c r="D214" s="752">
        <v>119830</v>
      </c>
      <c r="E214" s="752">
        <v>80.048340013360061</v>
      </c>
      <c r="F214" s="752">
        <v>25600</v>
      </c>
      <c r="G214" s="749">
        <v>0.21343084316161162</v>
      </c>
      <c r="H214" s="753">
        <v>4.0241448692152921E-3</v>
      </c>
      <c r="I214" s="753">
        <v>3.9574815683646554E-3</v>
      </c>
      <c r="J214" s="753">
        <v>2.6459434418070055E-3</v>
      </c>
      <c r="K214" s="403"/>
    </row>
    <row r="215" spans="2:11">
      <c r="B215" s="751" t="s">
        <v>871</v>
      </c>
      <c r="C215" s="752">
        <v>160</v>
      </c>
      <c r="D215" s="752">
        <v>11230</v>
      </c>
      <c r="E215" s="752">
        <v>70.174112500000007</v>
      </c>
      <c r="F215" s="752">
        <v>3700</v>
      </c>
      <c r="G215" s="749">
        <v>0.32843239556467491</v>
      </c>
      <c r="H215" s="753">
        <v>5.9602649006622516E-2</v>
      </c>
      <c r="I215" s="753">
        <v>2.3505742935278046E-2</v>
      </c>
      <c r="J215" s="753">
        <v>-3.7182167101827729E-2</v>
      </c>
      <c r="K215" s="403"/>
    </row>
    <row r="216" spans="2:11">
      <c r="B216" s="751" t="s">
        <v>872</v>
      </c>
      <c r="C216" s="752">
        <v>4920</v>
      </c>
      <c r="D216" s="752">
        <v>154710</v>
      </c>
      <c r="E216" s="752">
        <v>31.432363111189542</v>
      </c>
      <c r="F216" s="752">
        <v>124200</v>
      </c>
      <c r="G216" s="749">
        <v>0.80265924514222908</v>
      </c>
      <c r="H216" s="753">
        <v>7.9599477736345556E-2</v>
      </c>
      <c r="I216" s="753">
        <v>5.5226519337016639E-2</v>
      </c>
      <c r="J216" s="753">
        <v>6.5438105534105631E-2</v>
      </c>
      <c r="K216" s="403"/>
    </row>
    <row r="217" spans="2:11">
      <c r="B217" s="751" t="s">
        <v>441</v>
      </c>
      <c r="C217" s="752">
        <v>60</v>
      </c>
      <c r="D217" s="752">
        <v>820</v>
      </c>
      <c r="E217" s="752">
        <v>12.968253968253968</v>
      </c>
      <c r="F217" s="752">
        <v>400</v>
      </c>
      <c r="G217" s="749">
        <v>0.53407674418604656</v>
      </c>
      <c r="H217" s="753">
        <v>3.2786885245901641E-2</v>
      </c>
      <c r="I217" s="753">
        <v>-0.1061269146608315</v>
      </c>
      <c r="J217" s="753">
        <v>-2.0753510943354724E-2</v>
      </c>
      <c r="K217" s="403"/>
    </row>
    <row r="218" spans="2:11">
      <c r="B218" s="751" t="s">
        <v>450</v>
      </c>
      <c r="C218" s="752">
        <v>140</v>
      </c>
      <c r="D218" s="752">
        <v>3650</v>
      </c>
      <c r="E218" s="752">
        <v>25.21711840398849</v>
      </c>
      <c r="F218" s="752">
        <v>1000</v>
      </c>
      <c r="G218" s="749">
        <v>0.28684367035299607</v>
      </c>
      <c r="H218" s="753">
        <v>5.7244375000000186E-3</v>
      </c>
      <c r="I218" s="753">
        <v>-3.8680705448802283E-2</v>
      </c>
      <c r="J218" s="753">
        <v>0.25798415331063418</v>
      </c>
      <c r="K218" s="403"/>
    </row>
    <row r="219" spans="2:11">
      <c r="B219" s="751" t="s">
        <v>451</v>
      </c>
      <c r="C219" s="748">
        <v>1460</v>
      </c>
      <c r="D219" s="748">
        <v>55640</v>
      </c>
      <c r="E219" s="748">
        <v>38.026544364653247</v>
      </c>
      <c r="F219" s="748">
        <v>8600</v>
      </c>
      <c r="G219" s="749">
        <v>0.15503058261295177</v>
      </c>
      <c r="H219" s="750">
        <v>0.15765954193037973</v>
      </c>
      <c r="I219" s="750">
        <v>0.11064960079840316</v>
      </c>
      <c r="J219" s="750">
        <v>0.16905423499119115</v>
      </c>
      <c r="K219" s="403"/>
    </row>
    <row r="220" spans="2:11">
      <c r="B220" s="745" t="s">
        <v>452</v>
      </c>
      <c r="C220" s="748">
        <v>10</v>
      </c>
      <c r="D220" s="748">
        <v>40</v>
      </c>
      <c r="E220" s="748">
        <v>8.8000000000000007</v>
      </c>
      <c r="F220" s="754" t="s">
        <v>873</v>
      </c>
      <c r="G220" s="749">
        <v>0.63636363636363635</v>
      </c>
      <c r="H220" s="750" t="s">
        <v>870</v>
      </c>
      <c r="I220" s="750" t="s">
        <v>870</v>
      </c>
      <c r="J220" s="750" t="s">
        <v>870</v>
      </c>
      <c r="K220" s="403"/>
    </row>
    <row r="221" spans="2:11">
      <c r="B221" s="413" t="s">
        <v>874</v>
      </c>
      <c r="C221" s="409"/>
      <c r="D221" s="409"/>
      <c r="E221" s="409"/>
      <c r="F221" s="416"/>
      <c r="G221" s="410"/>
      <c r="H221" s="755"/>
      <c r="I221" s="755"/>
      <c r="J221" s="755"/>
      <c r="K221" s="403"/>
    </row>
    <row r="222" spans="2:11">
      <c r="B222" s="382" t="s">
        <v>875</v>
      </c>
      <c r="C222" s="382"/>
      <c r="D222" s="382"/>
      <c r="E222" s="382"/>
      <c r="F222" s="382"/>
      <c r="G222" s="382"/>
      <c r="H222" s="382"/>
      <c r="I222" s="382"/>
      <c r="J222" s="382"/>
      <c r="K222" s="403"/>
    </row>
    <row r="223" spans="2:11">
      <c r="B223" s="382" t="s">
        <v>876</v>
      </c>
      <c r="C223" s="382"/>
      <c r="D223" s="382"/>
      <c r="E223" s="382"/>
      <c r="F223" s="382"/>
      <c r="G223" s="382"/>
      <c r="H223" s="382"/>
      <c r="I223" s="382"/>
      <c r="J223" s="382"/>
      <c r="K223" s="403"/>
    </row>
    <row r="224" spans="2:11">
      <c r="B224" s="382" t="s">
        <v>877</v>
      </c>
      <c r="C224" s="382"/>
      <c r="D224" s="382"/>
      <c r="E224" s="382"/>
      <c r="F224" s="382"/>
      <c r="G224" s="382"/>
      <c r="H224" s="382"/>
      <c r="I224" s="382"/>
      <c r="J224" s="382"/>
      <c r="K224" s="403"/>
    </row>
    <row r="225" spans="2:11" ht="15" customHeight="1">
      <c r="B225" s="1437" t="s">
        <v>878</v>
      </c>
      <c r="C225" s="1437"/>
      <c r="D225" s="1437"/>
      <c r="E225" s="1437"/>
      <c r="F225" s="1437"/>
      <c r="G225" s="1437"/>
      <c r="H225" s="1437"/>
      <c r="I225" s="1437"/>
      <c r="J225" s="1437"/>
      <c r="K225" s="403"/>
    </row>
    <row r="226" spans="2:11">
      <c r="B226" s="382" t="s">
        <v>879</v>
      </c>
      <c r="C226" s="382"/>
      <c r="D226" s="382"/>
      <c r="E226" s="382"/>
      <c r="F226" s="382"/>
      <c r="G226" s="382"/>
      <c r="H226" s="382"/>
      <c r="I226" s="382"/>
      <c r="J226" s="382"/>
      <c r="K226" s="403"/>
    </row>
    <row r="227" spans="2:11">
      <c r="B227" s="382" t="s">
        <v>880</v>
      </c>
      <c r="C227" s="382"/>
      <c r="D227" s="382"/>
      <c r="E227" s="382"/>
      <c r="F227" s="382"/>
      <c r="G227" s="382"/>
      <c r="H227" s="382"/>
      <c r="I227" s="382"/>
      <c r="J227" s="382"/>
      <c r="K227" s="403"/>
    </row>
    <row r="229" spans="2:11">
      <c r="B229" s="100" t="s">
        <v>123</v>
      </c>
    </row>
    <row r="231" spans="2:11" ht="28.8">
      <c r="B231" s="756" t="s">
        <v>881</v>
      </c>
      <c r="C231" s="757">
        <f>D200*D193</f>
        <v>5839755.1033200091</v>
      </c>
    </row>
    <row r="232" spans="2:11" ht="28.8">
      <c r="B232" s="756" t="s">
        <v>882</v>
      </c>
      <c r="C232" s="757">
        <f>D212*D193</f>
        <v>15564100.286387507</v>
      </c>
    </row>
    <row r="233" spans="2:11" ht="27" customHeight="1">
      <c r="B233" s="756" t="s">
        <v>883</v>
      </c>
      <c r="C233" s="757">
        <f>C231+C232</f>
        <v>21403855.389707517</v>
      </c>
    </row>
    <row r="235" spans="2:11">
      <c r="B235" s="98"/>
    </row>
    <row r="236" spans="2:11">
      <c r="B236" s="98"/>
    </row>
    <row r="237" spans="2:11">
      <c r="B237" s="758" t="s">
        <v>884</v>
      </c>
      <c r="C237" s="759">
        <f>C233+C172+C107+C108</f>
        <v>120205412.45970753</v>
      </c>
      <c r="D237" t="s">
        <v>768</v>
      </c>
    </row>
    <row r="238" spans="2:11">
      <c r="B238" s="98"/>
    </row>
    <row r="239" spans="2:11">
      <c r="B239" s="98" t="s">
        <v>885</v>
      </c>
    </row>
    <row r="240" spans="2:11">
      <c r="B240" s="98"/>
    </row>
    <row r="241" spans="2:18">
      <c r="B241" s="152" t="s">
        <v>192</v>
      </c>
    </row>
    <row r="242" spans="2:18">
      <c r="B242" t="s">
        <v>886</v>
      </c>
    </row>
    <row r="243" spans="2:18">
      <c r="D243" s="760"/>
    </row>
    <row r="244" spans="2:18">
      <c r="D244" s="760"/>
    </row>
    <row r="245" spans="2:18">
      <c r="D245" s="760"/>
    </row>
    <row r="246" spans="2:18">
      <c r="B246" s="364" t="s">
        <v>887</v>
      </c>
      <c r="D246" s="760"/>
    </row>
    <row r="247" spans="2:18">
      <c r="B247" s="670"/>
      <c r="C247" s="690" t="s">
        <v>888</v>
      </c>
      <c r="D247" s="690" t="s">
        <v>889</v>
      </c>
      <c r="E247" s="691" t="s">
        <v>890</v>
      </c>
      <c r="G247" s="761" t="s">
        <v>891</v>
      </c>
      <c r="H247" s="762"/>
      <c r="I247" s="762"/>
      <c r="J247" s="762"/>
      <c r="K247" s="762"/>
      <c r="L247" s="762"/>
      <c r="M247" s="762"/>
      <c r="N247" s="762"/>
      <c r="O247" s="762"/>
      <c r="P247" s="762"/>
      <c r="Q247" s="762"/>
      <c r="R247" s="763"/>
    </row>
    <row r="248" spans="2:18">
      <c r="B248" s="764" t="s">
        <v>892</v>
      </c>
      <c r="C248" s="534">
        <f>C108</f>
        <v>46275470.800000004</v>
      </c>
      <c r="D248" s="110">
        <f>C248*1147/30</f>
        <v>1769265500.2533336</v>
      </c>
      <c r="E248" s="271">
        <f t="shared" ref="E248:E251" si="7">D248/10^9</f>
        <v>1.7692655002533335</v>
      </c>
      <c r="G248" s="698" t="s">
        <v>893</v>
      </c>
      <c r="R248" s="699"/>
    </row>
    <row r="249" spans="2:18">
      <c r="B249" s="764" t="s">
        <v>894</v>
      </c>
      <c r="C249" s="534">
        <f>C107</f>
        <v>19232800</v>
      </c>
      <c r="D249" s="110">
        <f>C249*697/30</f>
        <v>446842053.33333331</v>
      </c>
      <c r="E249" s="271">
        <f t="shared" si="7"/>
        <v>0.44684205333333332</v>
      </c>
      <c r="G249" s="698" t="s">
        <v>895</v>
      </c>
      <c r="R249" s="699"/>
    </row>
    <row r="250" spans="2:18">
      <c r="B250" s="764" t="s">
        <v>365</v>
      </c>
      <c r="C250" s="108">
        <f>C172</f>
        <v>33293286.27</v>
      </c>
      <c r="D250" s="110">
        <f t="shared" ref="D250:D251" si="8">C250*1043/30</f>
        <v>1157496585.987</v>
      </c>
      <c r="E250" s="271">
        <f t="shared" si="7"/>
        <v>1.1574965859869999</v>
      </c>
      <c r="G250" s="1426" t="s">
        <v>896</v>
      </c>
      <c r="H250" s="1427"/>
      <c r="I250" s="1430">
        <f>ROUND((C252-D84)*0.7/10^6,0)</f>
        <v>83</v>
      </c>
      <c r="R250" s="699"/>
    </row>
    <row r="251" spans="2:18">
      <c r="B251" s="764" t="s">
        <v>366</v>
      </c>
      <c r="C251" s="534">
        <f>C233</f>
        <v>21403855.389707517</v>
      </c>
      <c r="D251" s="110">
        <f t="shared" si="8"/>
        <v>744140705.71549797</v>
      </c>
      <c r="E251" s="271">
        <f t="shared" si="7"/>
        <v>0.74414070571549795</v>
      </c>
      <c r="F251" s="97" t="s">
        <v>897</v>
      </c>
      <c r="G251" s="1428"/>
      <c r="H251" s="1429"/>
      <c r="I251" s="1431"/>
      <c r="R251" s="699"/>
    </row>
    <row r="252" spans="2:18">
      <c r="B252" s="694" t="s">
        <v>795</v>
      </c>
      <c r="C252" s="349">
        <f>SUM(C248:C251)</f>
        <v>120205412.45970753</v>
      </c>
      <c r="D252" s="765">
        <f>SUM(D248:D251)</f>
        <v>4117744845.289165</v>
      </c>
      <c r="E252" s="766">
        <f>SUM(E248:E251)</f>
        <v>4.117744845289165</v>
      </c>
      <c r="G252" s="706" t="s">
        <v>898</v>
      </c>
      <c r="H252" s="707"/>
      <c r="I252" s="707"/>
      <c r="J252" s="707"/>
      <c r="K252" s="707"/>
      <c r="L252" s="707"/>
      <c r="M252" s="707"/>
      <c r="N252" s="707"/>
      <c r="O252" s="707"/>
      <c r="P252" s="707"/>
      <c r="Q252" s="707"/>
      <c r="R252" s="708"/>
    </row>
    <row r="253" spans="2:18">
      <c r="D253" s="760"/>
    </row>
    <row r="255" spans="2:18">
      <c r="B255" s="98" t="s">
        <v>899</v>
      </c>
    </row>
    <row r="256" spans="2:18">
      <c r="B256" s="100" t="s">
        <v>123</v>
      </c>
    </row>
    <row r="257" spans="2:10">
      <c r="B257" s="152" t="s">
        <v>192</v>
      </c>
    </row>
    <row r="258" spans="2:10">
      <c r="B258" t="s">
        <v>900</v>
      </c>
    </row>
    <row r="260" spans="2:10">
      <c r="B260" t="s">
        <v>901</v>
      </c>
    </row>
    <row r="261" spans="2:10">
      <c r="B261" s="767" t="s">
        <v>902</v>
      </c>
    </row>
    <row r="262" spans="2:10">
      <c r="B262" s="364" t="s">
        <v>903</v>
      </c>
    </row>
    <row r="263" spans="2:10">
      <c r="B263" s="364" t="s">
        <v>887</v>
      </c>
      <c r="D263" s="760"/>
    </row>
    <row r="264" spans="2:10">
      <c r="B264" s="364"/>
      <c r="D264" s="760"/>
    </row>
    <row r="265" spans="2:10">
      <c r="D265" s="760"/>
    </row>
    <row r="266" spans="2:10">
      <c r="B266" s="768" t="s">
        <v>904</v>
      </c>
      <c r="C266" s="769">
        <v>1990</v>
      </c>
      <c r="D266" s="769">
        <v>1995</v>
      </c>
      <c r="E266" s="769">
        <v>2000</v>
      </c>
      <c r="F266" s="769">
        <v>2005</v>
      </c>
      <c r="G266" s="769">
        <v>2010</v>
      </c>
      <c r="H266" s="769">
        <v>2015</v>
      </c>
      <c r="I266" s="770">
        <v>2019</v>
      </c>
      <c r="J266" s="97" t="s">
        <v>489</v>
      </c>
    </row>
    <row r="267" spans="2:10">
      <c r="B267" s="771" t="s">
        <v>218</v>
      </c>
      <c r="C267" s="772">
        <v>79.675531450260536</v>
      </c>
      <c r="D267" s="773">
        <v>84.68353326566681</v>
      </c>
      <c r="E267" s="773">
        <v>91.690919502786983</v>
      </c>
      <c r="F267" s="773">
        <v>98.842405054090051</v>
      </c>
      <c r="G267" s="773">
        <v>107.37951177496902</v>
      </c>
      <c r="H267" s="773">
        <v>114.18751177496901</v>
      </c>
      <c r="I267" s="774">
        <v>118.05451177496901</v>
      </c>
    </row>
    <row r="268" spans="2:10">
      <c r="B268" s="771" t="s">
        <v>905</v>
      </c>
      <c r="C268" s="775">
        <f>EXP(LN(I267/C267)/(29))-1</f>
        <v>1.3650394675211341E-2</v>
      </c>
      <c r="D268" s="760"/>
      <c r="E268" s="760"/>
      <c r="F268" s="760"/>
      <c r="G268" s="760"/>
      <c r="H268" s="760"/>
      <c r="I268" s="760"/>
    </row>
    <row r="269" spans="2:10">
      <c r="B269" s="776" t="s">
        <v>906</v>
      </c>
      <c r="C269" s="161">
        <f>EXP(LN(I267/C267)/(29/5))-1</f>
        <v>7.0140915425756178E-2</v>
      </c>
      <c r="D269" s="777"/>
      <c r="E269" s="777"/>
      <c r="F269" s="777"/>
      <c r="G269" s="777"/>
      <c r="H269" s="777"/>
      <c r="I269" s="777"/>
    </row>
    <row r="270" spans="2:10">
      <c r="D270" s="760"/>
    </row>
    <row r="271" spans="2:10">
      <c r="B271" s="100" t="s">
        <v>123</v>
      </c>
      <c r="G271" s="778"/>
    </row>
    <row r="272" spans="2:10">
      <c r="B272" s="152" t="s">
        <v>192</v>
      </c>
    </row>
    <row r="273" spans="2:7">
      <c r="B273" t="s">
        <v>907</v>
      </c>
    </row>
    <row r="275" spans="2:7">
      <c r="B275" s="779" t="s">
        <v>908</v>
      </c>
      <c r="C275" s="403"/>
      <c r="D275" s="403"/>
    </row>
    <row r="276" spans="2:7">
      <c r="B276" s="779"/>
      <c r="C276" s="403"/>
      <c r="D276" s="403"/>
    </row>
    <row r="277" spans="2:7" ht="30.6">
      <c r="B277" s="734"/>
      <c r="C277" s="780" t="s">
        <v>909</v>
      </c>
      <c r="D277" s="781" t="s">
        <v>910</v>
      </c>
      <c r="E277" s="97" t="s">
        <v>509</v>
      </c>
    </row>
    <row r="278" spans="2:7">
      <c r="B278" s="782" t="s">
        <v>911</v>
      </c>
      <c r="C278" s="783">
        <v>158.33690899999999</v>
      </c>
      <c r="D278" s="784">
        <v>1.5860864441942599</v>
      </c>
    </row>
    <row r="279" spans="2:7">
      <c r="B279" s="782" t="s">
        <v>912</v>
      </c>
      <c r="C279" s="783">
        <v>592.67126600000017</v>
      </c>
      <c r="D279" s="785">
        <v>5.93688399503902</v>
      </c>
      <c r="F279" s="403"/>
      <c r="G279" s="403"/>
    </row>
    <row r="280" spans="2:7">
      <c r="B280" s="782" t="s">
        <v>913</v>
      </c>
      <c r="C280" s="783">
        <v>581.41727900000001</v>
      </c>
      <c r="D280" s="785">
        <v>5.8241509858084397</v>
      </c>
      <c r="F280" s="403"/>
      <c r="G280" s="403"/>
    </row>
    <row r="281" spans="2:7">
      <c r="B281" s="782" t="s">
        <v>914</v>
      </c>
      <c r="C281" s="783">
        <v>674.49839900000006</v>
      </c>
      <c r="D281" s="785">
        <v>6.75655962997629</v>
      </c>
      <c r="F281" s="403"/>
      <c r="G281" s="403"/>
    </row>
    <row r="282" spans="2:7">
      <c r="B282" s="782" t="s">
        <v>915</v>
      </c>
      <c r="C282" s="783">
        <v>2055.4584</v>
      </c>
      <c r="D282" s="785">
        <v>20.589859467606601</v>
      </c>
      <c r="F282" s="403"/>
      <c r="G282" s="403"/>
    </row>
    <row r="283" spans="2:7">
      <c r="B283" s="782" t="s">
        <v>916</v>
      </c>
      <c r="C283" s="783">
        <v>1636.7911799999999</v>
      </c>
      <c r="D283" s="785">
        <v>16.396002163808298</v>
      </c>
      <c r="F283" s="403"/>
      <c r="G283" s="403"/>
    </row>
    <row r="284" spans="2:7">
      <c r="B284" s="782" t="s">
        <v>917</v>
      </c>
      <c r="C284" s="783">
        <v>1890.1268</v>
      </c>
      <c r="D284" s="785">
        <v>18.933706071578499</v>
      </c>
      <c r="F284" s="403"/>
      <c r="G284" s="403"/>
    </row>
    <row r="285" spans="2:7">
      <c r="B285" s="782" t="s">
        <v>918</v>
      </c>
      <c r="C285" s="783">
        <v>1293.16895</v>
      </c>
      <c r="D285" s="785">
        <v>12.9538826708302</v>
      </c>
      <c r="F285" s="403"/>
      <c r="G285" s="403"/>
    </row>
    <row r="286" spans="2:7">
      <c r="B286" s="782" t="s">
        <v>919</v>
      </c>
      <c r="C286" s="783">
        <v>1100.3983700000001</v>
      </c>
      <c r="D286" s="785">
        <v>11.0228685711583</v>
      </c>
      <c r="F286" s="403"/>
      <c r="G286" s="403"/>
    </row>
    <row r="287" spans="2:7">
      <c r="B287" s="786" t="s">
        <v>920</v>
      </c>
      <c r="C287" s="787">
        <v>9982.867553</v>
      </c>
      <c r="D287" s="788">
        <v>100</v>
      </c>
      <c r="F287" s="403"/>
      <c r="G287" s="403"/>
    </row>
    <row r="288" spans="2:7">
      <c r="B288" s="782" t="s">
        <v>921</v>
      </c>
      <c r="C288" s="783">
        <v>618</v>
      </c>
      <c r="D288" s="789"/>
      <c r="F288" s="403"/>
      <c r="G288" s="403"/>
    </row>
    <row r="289" spans="2:7">
      <c r="B289" s="738" t="s">
        <v>845</v>
      </c>
      <c r="C289" s="790">
        <f>C287+C288</f>
        <v>10600.867553</v>
      </c>
      <c r="D289" s="791"/>
      <c r="F289" s="792"/>
      <c r="G289" s="403"/>
    </row>
    <row r="290" spans="2:7">
      <c r="F290" s="403"/>
      <c r="G290" s="403"/>
    </row>
    <row r="291" spans="2:7">
      <c r="B291" t="s">
        <v>922</v>
      </c>
      <c r="C291" s="430">
        <f>SUM(D284:D286)</f>
        <v>42.910457313567001</v>
      </c>
      <c r="D291" t="s">
        <v>469</v>
      </c>
    </row>
    <row r="293" spans="2:7">
      <c r="B293" s="793" t="s">
        <v>923</v>
      </c>
      <c r="C293" s="794">
        <f>C291</f>
        <v>42.910457313567001</v>
      </c>
      <c r="D293" s="795" t="s">
        <v>924</v>
      </c>
      <c r="E293" s="795" t="s">
        <v>925</v>
      </c>
      <c r="F293" s="796"/>
    </row>
    <row r="295" spans="2:7">
      <c r="D295" s="760"/>
    </row>
    <row r="296" spans="2:7">
      <c r="B296" t="s">
        <v>926</v>
      </c>
      <c r="D296" s="760"/>
    </row>
    <row r="297" spans="2:7">
      <c r="D297" s="760"/>
    </row>
    <row r="298" spans="2:7">
      <c r="D298" s="760"/>
    </row>
    <row r="299" spans="2:7">
      <c r="D299" s="760"/>
    </row>
    <row r="304" spans="2:7">
      <c r="D304" s="760"/>
    </row>
    <row r="305" spans="2:5">
      <c r="D305" s="760"/>
    </row>
    <row r="310" spans="2:5">
      <c r="D310" s="760"/>
    </row>
    <row r="311" spans="2:5">
      <c r="D311" s="760"/>
    </row>
    <row r="312" spans="2:5">
      <c r="D312" s="760"/>
    </row>
    <row r="313" spans="2:5">
      <c r="D313" s="760"/>
    </row>
    <row r="317" spans="2:5">
      <c r="B317" s="98" t="s">
        <v>927</v>
      </c>
    </row>
    <row r="318" spans="2:5">
      <c r="D318" s="760"/>
    </row>
    <row r="319" spans="2:5">
      <c r="B319" s="670"/>
      <c r="C319" s="690" t="s">
        <v>928</v>
      </c>
      <c r="D319" s="690" t="s">
        <v>889</v>
      </c>
      <c r="E319" s="691" t="s">
        <v>890</v>
      </c>
    </row>
    <row r="320" spans="2:5">
      <c r="B320" s="764" t="s">
        <v>892</v>
      </c>
      <c r="C320" s="108">
        <f t="shared" ref="C320:C321" si="9">C248*(1-1/(1+$C$268)^30)</f>
        <v>15464524.888091603</v>
      </c>
      <c r="D320" s="110">
        <f>C320*1147/30</f>
        <v>591260334.88803554</v>
      </c>
      <c r="E320" s="271">
        <f t="shared" ref="E320:E323" si="10">D320/10^9</f>
        <v>0.59126033488803553</v>
      </c>
    </row>
    <row r="321" spans="1:34">
      <c r="B321" s="764" t="s">
        <v>894</v>
      </c>
      <c r="C321" s="108">
        <f t="shared" si="9"/>
        <v>6427295.2630378893</v>
      </c>
      <c r="D321" s="110">
        <f>C321*697/30</f>
        <v>149327493.27791363</v>
      </c>
      <c r="E321" s="271">
        <f t="shared" si="10"/>
        <v>0.14932749327791364</v>
      </c>
      <c r="G321">
        <f>1-1/((1+$C$268)^30)</f>
        <v>0.33418406384082866</v>
      </c>
    </row>
    <row r="322" spans="1:34">
      <c r="B322" s="764" t="s">
        <v>365</v>
      </c>
      <c r="C322" s="108">
        <f>C250*C293/100</f>
        <v>14286301.393172015</v>
      </c>
      <c r="D322" s="110">
        <f t="shared" ref="D322:D323" si="11">C322*1043/30</f>
        <v>496687078.43594706</v>
      </c>
      <c r="E322" s="271">
        <f t="shared" si="10"/>
        <v>0.49668707843594706</v>
      </c>
    </row>
    <row r="323" spans="1:34">
      <c r="B323" s="764" t="s">
        <v>366</v>
      </c>
      <c r="C323" s="108">
        <f>C251-C251/(1+$C$268)^30</f>
        <v>7152827.3759938814</v>
      </c>
      <c r="D323" s="110">
        <f t="shared" si="11"/>
        <v>248679965.10538727</v>
      </c>
      <c r="E323" s="271">
        <f t="shared" si="10"/>
        <v>0.24867996510538726</v>
      </c>
      <c r="F323" s="97" t="s">
        <v>897</v>
      </c>
    </row>
    <row r="324" spans="1:34">
      <c r="B324" s="694" t="s">
        <v>795</v>
      </c>
      <c r="C324" s="108">
        <f>SUM(C320:C323)</f>
        <v>43330948.920295388</v>
      </c>
      <c r="D324" s="765">
        <f>SUM(D320:D323)</f>
        <v>1485954871.7072835</v>
      </c>
      <c r="E324" s="766">
        <f>SUM(E320:E323)</f>
        <v>1.4859548717072835</v>
      </c>
    </row>
    <row r="327" spans="1:34">
      <c r="A327" s="97"/>
      <c r="B327" s="98" t="s">
        <v>929</v>
      </c>
    </row>
    <row r="328" spans="1:34">
      <c r="B328" s="100" t="s">
        <v>123</v>
      </c>
    </row>
    <row r="329" spans="1:34">
      <c r="B329" s="797" t="s">
        <v>930</v>
      </c>
    </row>
    <row r="330" spans="1:34">
      <c r="B330" s="797"/>
    </row>
    <row r="331" spans="1:34">
      <c r="B331" t="s">
        <v>931</v>
      </c>
    </row>
    <row r="332" spans="1:34">
      <c r="C332" s="778"/>
    </row>
    <row r="333" spans="1:34" ht="29.25" customHeight="1">
      <c r="B333" s="78" t="s">
        <v>932</v>
      </c>
      <c r="C333">
        <f>C268</f>
        <v>1.3650394675211341E-2</v>
      </c>
    </row>
    <row r="334" spans="1:34">
      <c r="B334" s="695"/>
      <c r="C334" s="695" t="s">
        <v>933</v>
      </c>
      <c r="D334" s="695">
        <v>1990</v>
      </c>
      <c r="E334" s="695">
        <f t="shared" ref="E334:AH334" si="12">D334+1</f>
        <v>1991</v>
      </c>
      <c r="F334" s="695">
        <f t="shared" si="12"/>
        <v>1992</v>
      </c>
      <c r="G334" s="695">
        <f t="shared" si="12"/>
        <v>1993</v>
      </c>
      <c r="H334" s="695">
        <f t="shared" si="12"/>
        <v>1994</v>
      </c>
      <c r="I334" s="695">
        <f t="shared" si="12"/>
        <v>1995</v>
      </c>
      <c r="J334" s="695">
        <f t="shared" si="12"/>
        <v>1996</v>
      </c>
      <c r="K334" s="695">
        <f t="shared" si="12"/>
        <v>1997</v>
      </c>
      <c r="L334" s="695">
        <f t="shared" si="12"/>
        <v>1998</v>
      </c>
      <c r="M334" s="695">
        <f t="shared" si="12"/>
        <v>1999</v>
      </c>
      <c r="N334" s="695">
        <f t="shared" si="12"/>
        <v>2000</v>
      </c>
      <c r="O334" s="695">
        <f t="shared" si="12"/>
        <v>2001</v>
      </c>
      <c r="P334" s="695">
        <f t="shared" si="12"/>
        <v>2002</v>
      </c>
      <c r="Q334" s="695">
        <f t="shared" si="12"/>
        <v>2003</v>
      </c>
      <c r="R334" s="695">
        <f t="shared" si="12"/>
        <v>2004</v>
      </c>
      <c r="S334" s="695">
        <f t="shared" si="12"/>
        <v>2005</v>
      </c>
      <c r="T334" s="695">
        <f t="shared" si="12"/>
        <v>2006</v>
      </c>
      <c r="U334" s="695">
        <f t="shared" si="12"/>
        <v>2007</v>
      </c>
      <c r="V334" s="695">
        <f t="shared" si="12"/>
        <v>2008</v>
      </c>
      <c r="W334" s="695">
        <f t="shared" si="12"/>
        <v>2009</v>
      </c>
      <c r="X334" s="695">
        <f t="shared" si="12"/>
        <v>2010</v>
      </c>
      <c r="Y334" s="695">
        <f t="shared" si="12"/>
        <v>2011</v>
      </c>
      <c r="Z334" s="695">
        <f t="shared" si="12"/>
        <v>2012</v>
      </c>
      <c r="AA334" s="695">
        <f t="shared" si="12"/>
        <v>2013</v>
      </c>
      <c r="AB334" s="695">
        <f t="shared" si="12"/>
        <v>2014</v>
      </c>
      <c r="AC334" s="695">
        <f t="shared" si="12"/>
        <v>2015</v>
      </c>
      <c r="AD334" s="695">
        <f t="shared" si="12"/>
        <v>2016</v>
      </c>
      <c r="AE334" s="695">
        <f t="shared" si="12"/>
        <v>2017</v>
      </c>
      <c r="AF334" s="695">
        <f t="shared" si="12"/>
        <v>2018</v>
      </c>
      <c r="AG334" s="695">
        <f t="shared" si="12"/>
        <v>2019</v>
      </c>
      <c r="AH334" s="695">
        <f t="shared" si="12"/>
        <v>2020</v>
      </c>
    </row>
    <row r="335" spans="1:34">
      <c r="B335" s="695" t="s">
        <v>892</v>
      </c>
      <c r="C335" s="798">
        <f t="shared" ref="C335:C339" si="13">C248</f>
        <v>46275470.800000004</v>
      </c>
      <c r="D335" s="798">
        <f t="shared" ref="D335:D336" si="14">C335-C320</f>
        <v>30810945.911908403</v>
      </c>
      <c r="E335" s="798">
        <f t="shared" ref="E335:AH339" si="15">D335*(1+$C$333)</f>
        <v>31231527.483922541</v>
      </c>
      <c r="F335" s="798">
        <f t="shared" si="15"/>
        <v>31657850.160387795</v>
      </c>
      <c r="G335" s="798">
        <f t="shared" si="15"/>
        <v>32089992.309645791</v>
      </c>
      <c r="H335" s="798">
        <f t="shared" si="15"/>
        <v>32528033.369796954</v>
      </c>
      <c r="I335" s="798">
        <f t="shared" si="15"/>
        <v>32972053.863303129</v>
      </c>
      <c r="J335" s="798">
        <f t="shared" si="15"/>
        <v>33422135.411789544</v>
      </c>
      <c r="K335" s="798">
        <f t="shared" si="15"/>
        <v>33878360.751048826</v>
      </c>
      <c r="L335" s="798">
        <f t="shared" si="15"/>
        <v>34340813.746249832</v>
      </c>
      <c r="M335" s="798">
        <f t="shared" si="15"/>
        <v>34809579.407354064</v>
      </c>
      <c r="N335" s="798">
        <f t="shared" si="15"/>
        <v>35284743.904742554</v>
      </c>
      <c r="O335" s="798">
        <f t="shared" si="15"/>
        <v>35766394.585056044</v>
      </c>
      <c r="P335" s="798">
        <f t="shared" si="15"/>
        <v>36254619.987251401</v>
      </c>
      <c r="Q335" s="798">
        <f t="shared" si="15"/>
        <v>36749509.858877189</v>
      </c>
      <c r="R335" s="798">
        <f t="shared" si="15"/>
        <v>37251155.172571436</v>
      </c>
      <c r="S335" s="798">
        <f t="shared" si="15"/>
        <v>37759648.142784573</v>
      </c>
      <c r="T335" s="798">
        <f t="shared" si="15"/>
        <v>38275082.242730692</v>
      </c>
      <c r="U335" s="798">
        <f t="shared" si="15"/>
        <v>38797552.221570142</v>
      </c>
      <c r="V335" s="798">
        <f t="shared" si="15"/>
        <v>39327154.121826693</v>
      </c>
      <c r="W335" s="798">
        <f t="shared" si="15"/>
        <v>39863985.297042489</v>
      </c>
      <c r="X335" s="798">
        <f t="shared" si="15"/>
        <v>40408144.42967394</v>
      </c>
      <c r="Y335" s="798">
        <f t="shared" si="15"/>
        <v>40959731.549231932</v>
      </c>
      <c r="Z335" s="798">
        <f t="shared" si="15"/>
        <v>41518848.050669655</v>
      </c>
      <c r="AA335" s="798">
        <f t="shared" si="15"/>
        <v>42085596.713021427</v>
      </c>
      <c r="AB335" s="798">
        <f t="shared" si="15"/>
        <v>42660081.718295947</v>
      </c>
      <c r="AC335" s="798">
        <f t="shared" si="15"/>
        <v>43242408.670627452</v>
      </c>
      <c r="AD335" s="798">
        <f t="shared" si="15"/>
        <v>43832684.615688302</v>
      </c>
      <c r="AE335" s="798">
        <f t="shared" si="15"/>
        <v>44431018.060366511</v>
      </c>
      <c r="AF335" s="798">
        <f t="shared" si="15"/>
        <v>45037518.992711954</v>
      </c>
      <c r="AG335" s="798">
        <f t="shared" si="15"/>
        <v>45652298.902154796</v>
      </c>
      <c r="AH335" s="798">
        <f t="shared" si="15"/>
        <v>46275470.799999923</v>
      </c>
    </row>
    <row r="336" spans="1:34">
      <c r="B336" s="695" t="s">
        <v>894</v>
      </c>
      <c r="C336" s="798">
        <f t="shared" si="13"/>
        <v>19232800</v>
      </c>
      <c r="D336" s="798">
        <f t="shared" si="14"/>
        <v>12805504.73696211</v>
      </c>
      <c r="E336" s="798">
        <f t="shared" si="15"/>
        <v>12980304.930636931</v>
      </c>
      <c r="F336" s="798">
        <f t="shared" si="15"/>
        <v>13157491.215944717</v>
      </c>
      <c r="G336" s="798">
        <f t="shared" si="15"/>
        <v>13337096.163977988</v>
      </c>
      <c r="H336" s="798">
        <f t="shared" si="15"/>
        <v>13519152.790437534</v>
      </c>
      <c r="I336" s="798">
        <f t="shared" si="15"/>
        <v>13703694.561701491</v>
      </c>
      <c r="J336" s="798">
        <f t="shared" si="15"/>
        <v>13890755.400977263</v>
      </c>
      <c r="K336" s="798">
        <f t="shared" si="15"/>
        <v>14080369.694537427</v>
      </c>
      <c r="L336" s="798">
        <f t="shared" si="15"/>
        <v>14272572.298040748</v>
      </c>
      <c r="M336" s="798">
        <f t="shared" si="15"/>
        <v>14467398.542939492</v>
      </c>
      <c r="N336" s="798">
        <f t="shared" si="15"/>
        <v>14664884.242974194</v>
      </c>
      <c r="O336" s="798">
        <f t="shared" si="15"/>
        <v>14865065.700757079</v>
      </c>
      <c r="P336" s="798">
        <f t="shared" si="15"/>
        <v>15067979.71444536</v>
      </c>
      <c r="Q336" s="798">
        <f t="shared" si="15"/>
        <v>15273663.584505618</v>
      </c>
      <c r="R336" s="798">
        <f t="shared" si="15"/>
        <v>15482155.120570522</v>
      </c>
      <c r="S336" s="798">
        <f t="shared" si="15"/>
        <v>15693492.648389153</v>
      </c>
      <c r="T336" s="798">
        <f t="shared" si="15"/>
        <v>15907715.016872194</v>
      </c>
      <c r="U336" s="798">
        <f t="shared" si="15"/>
        <v>16124861.605233286</v>
      </c>
      <c r="V336" s="798">
        <f t="shared" si="15"/>
        <v>16344972.330227882</v>
      </c>
      <c r="W336" s="798">
        <f t="shared" si="15"/>
        <v>16568087.653490901</v>
      </c>
      <c r="X336" s="798">
        <f t="shared" si="15"/>
        <v>16794248.588974547</v>
      </c>
      <c r="Y336" s="798">
        <f t="shared" si="15"/>
        <v>17023496.71048766</v>
      </c>
      <c r="Z336" s="798">
        <f t="shared" si="15"/>
        <v>17255874.159337979</v>
      </c>
      <c r="AA336" s="798">
        <f t="shared" si="15"/>
        <v>17491423.652078722</v>
      </c>
      <c r="AB336" s="798">
        <f t="shared" si="15"/>
        <v>17730188.488360923</v>
      </c>
      <c r="AC336" s="798">
        <f t="shared" si="15"/>
        <v>17972212.558892939</v>
      </c>
      <c r="AD336" s="798">
        <f t="shared" si="15"/>
        <v>18217540.353508618</v>
      </c>
      <c r="AE336" s="798">
        <f t="shared" si="15"/>
        <v>18466216.969345599</v>
      </c>
      <c r="AF336" s="798">
        <f t="shared" si="15"/>
        <v>18718288.119135253</v>
      </c>
      <c r="AG336" s="798">
        <f t="shared" si="15"/>
        <v>18973800.139605768</v>
      </c>
      <c r="AH336" s="798">
        <f t="shared" si="15"/>
        <v>19232799.999999966</v>
      </c>
    </row>
    <row r="337" spans="2:34">
      <c r="B337" s="695" t="s">
        <v>365</v>
      </c>
      <c r="C337" s="798">
        <f t="shared" si="13"/>
        <v>33293286.27</v>
      </c>
      <c r="D337" s="798">
        <f>C337-(C250-C250/(1+C269)^6)</f>
        <v>22167200.565675396</v>
      </c>
      <c r="E337" s="798">
        <f t="shared" si="15"/>
        <v>22469791.602241434</v>
      </c>
      <c r="F337" s="798">
        <f t="shared" si="15"/>
        <v>22776513.12588178</v>
      </c>
      <c r="G337" s="798">
        <f t="shared" si="15"/>
        <v>23087421.519375198</v>
      </c>
      <c r="H337" s="798">
        <f t="shared" si="15"/>
        <v>23402573.935147636</v>
      </c>
      <c r="I337" s="798">
        <f t="shared" si="15"/>
        <v>23722028.305778213</v>
      </c>
      <c r="J337" s="798">
        <f t="shared" si="15"/>
        <v>24045843.35464862</v>
      </c>
      <c r="K337" s="798">
        <f t="shared" si="15"/>
        <v>24374078.606737882</v>
      </c>
      <c r="L337" s="798">
        <f t="shared" si="15"/>
        <v>24706794.399564479</v>
      </c>
      <c r="M337" s="798">
        <f t="shared" si="15"/>
        <v>25044051.894277833</v>
      </c>
      <c r="N337" s="798">
        <f t="shared" si="15"/>
        <v>25385913.086901199</v>
      </c>
      <c r="O337" s="798">
        <f t="shared" si="15"/>
        <v>25732440.819728013</v>
      </c>
      <c r="P337" s="798">
        <f t="shared" si="15"/>
        <v>26083698.792873818</v>
      </c>
      <c r="Q337" s="798">
        <f t="shared" si="15"/>
        <v>26439751.575985879</v>
      </c>
      <c r="R337" s="798">
        <f t="shared" si="15"/>
        <v>26800664.620112628</v>
      </c>
      <c r="S337" s="798">
        <f t="shared" si="15"/>
        <v>27166504.269735139</v>
      </c>
      <c r="T337" s="798">
        <f t="shared" si="15"/>
        <v>27537337.774962839</v>
      </c>
      <c r="U337" s="798">
        <f t="shared" si="15"/>
        <v>27913233.303895686</v>
      </c>
      <c r="V337" s="798">
        <f t="shared" si="15"/>
        <v>28294259.955155116</v>
      </c>
      <c r="W337" s="798">
        <f t="shared" si="15"/>
        <v>28680487.77058601</v>
      </c>
      <c r="X337" s="798">
        <f t="shared" si="15"/>
        <v>29071987.74813208</v>
      </c>
      <c r="Y337" s="798">
        <f t="shared" si="15"/>
        <v>29468831.85488699</v>
      </c>
      <c r="Z337" s="798">
        <f t="shared" si="15"/>
        <v>29871093.040323637</v>
      </c>
      <c r="AA337" s="798">
        <f t="shared" si="15"/>
        <v>30278845.249704015</v>
      </c>
      <c r="AB337" s="798">
        <f t="shared" si="15"/>
        <v>30692163.437672123</v>
      </c>
      <c r="AC337" s="798">
        <f t="shared" si="15"/>
        <v>31111123.582032438</v>
      </c>
      <c r="AD337" s="798">
        <f t="shared" si="15"/>
        <v>31535802.697716456</v>
      </c>
      <c r="AE337" s="798">
        <f t="shared" si="15"/>
        <v>31966278.850939881</v>
      </c>
      <c r="AF337" s="798">
        <f t="shared" si="15"/>
        <v>32402631.173553072</v>
      </c>
      <c r="AG337" s="798">
        <f t="shared" si="15"/>
        <v>32844939.877587378</v>
      </c>
      <c r="AH337" s="798">
        <f t="shared" si="15"/>
        <v>33293286.270000033</v>
      </c>
    </row>
    <row r="338" spans="2:34">
      <c r="B338" s="695" t="s">
        <v>366</v>
      </c>
      <c r="C338" s="798">
        <f t="shared" si="13"/>
        <v>21403855.389707517</v>
      </c>
      <c r="D338" s="798">
        <f t="shared" ref="D338:D339" si="16">C338-C323</f>
        <v>14251028.013713636</v>
      </c>
      <c r="E338" s="798">
        <f t="shared" si="15"/>
        <v>14445560.17062832</v>
      </c>
      <c r="F338" s="798">
        <f t="shared" si="15"/>
        <v>14642747.768261909</v>
      </c>
      <c r="G338" s="798">
        <f t="shared" si="15"/>
        <v>14842627.054428255</v>
      </c>
      <c r="H338" s="798">
        <f t="shared" si="15"/>
        <v>15045234.77173817</v>
      </c>
      <c r="I338" s="798">
        <f t="shared" si="15"/>
        <v>15250608.164353609</v>
      </c>
      <c r="J338" s="798">
        <f t="shared" si="15"/>
        <v>15458784.984834036</v>
      </c>
      <c r="K338" s="798">
        <f t="shared" si="15"/>
        <v>15669803.501076251</v>
      </c>
      <c r="L338" s="798">
        <f t="shared" si="15"/>
        <v>15883702.50334895</v>
      </c>
      <c r="M338" s="798">
        <f t="shared" si="15"/>
        <v>16100521.311423305</v>
      </c>
      <c r="N338" s="798">
        <f t="shared" si="15"/>
        <v>16320299.781800885</v>
      </c>
      <c r="O338" s="798">
        <f t="shared" si="15"/>
        <v>16543078.315040233</v>
      </c>
      <c r="P338" s="798">
        <f t="shared" si="15"/>
        <v>16768897.863183461</v>
      </c>
      <c r="Q338" s="798">
        <f t="shared" si="15"/>
        <v>16997799.937284224</v>
      </c>
      <c r="R338" s="798">
        <f t="shared" si="15"/>
        <v>17229826.615038436</v>
      </c>
      <c r="S338" s="798">
        <f t="shared" si="15"/>
        <v>17465020.548519172</v>
      </c>
      <c r="T338" s="798">
        <f t="shared" si="15"/>
        <v>17703424.972017135</v>
      </c>
      <c r="U338" s="798">
        <f t="shared" si="15"/>
        <v>17945083.709988162</v>
      </c>
      <c r="V338" s="798">
        <f t="shared" si="15"/>
        <v>18190041.185109206</v>
      </c>
      <c r="W338" s="798">
        <f t="shared" si="15"/>
        <v>18438342.426444296</v>
      </c>
      <c r="X338" s="798">
        <f t="shared" si="15"/>
        <v>18690033.077721953</v>
      </c>
      <c r="Y338" s="798">
        <f t="shared" si="15"/>
        <v>18945159.405725613</v>
      </c>
      <c r="Z338" s="798">
        <f t="shared" si="15"/>
        <v>19203768.308798559</v>
      </c>
      <c r="AA338" s="798">
        <f t="shared" si="15"/>
        <v>19465907.325464975</v>
      </c>
      <c r="AB338" s="798">
        <f t="shared" si="15"/>
        <v>19731624.643168658</v>
      </c>
      <c r="AC338" s="798">
        <f t="shared" si="15"/>
        <v>20000969.107131038</v>
      </c>
      <c r="AD338" s="798">
        <f t="shared" si="15"/>
        <v>20273990.229330085</v>
      </c>
      <c r="AE338" s="798">
        <f t="shared" si="15"/>
        <v>20550738.197601818</v>
      </c>
      <c r="AF338" s="798">
        <f t="shared" si="15"/>
        <v>20831263.884866025</v>
      </c>
      <c r="AG338" s="798">
        <f t="shared" si="15"/>
        <v>21115618.858477924</v>
      </c>
      <c r="AH338" s="798">
        <f t="shared" si="15"/>
        <v>21403855.389707483</v>
      </c>
    </row>
    <row r="339" spans="2:34">
      <c r="B339" s="695" t="s">
        <v>795</v>
      </c>
      <c r="C339" s="798">
        <f t="shared" si="13"/>
        <v>120205412.45970753</v>
      </c>
      <c r="D339" s="798">
        <f t="shared" si="16"/>
        <v>76874463.539412141</v>
      </c>
      <c r="E339" s="798">
        <f t="shared" si="15"/>
        <v>77923830.307170257</v>
      </c>
      <c r="F339" s="798">
        <f t="shared" si="15"/>
        <v>78987521.345467329</v>
      </c>
      <c r="G339" s="798">
        <f t="shared" si="15"/>
        <v>80065732.186249644</v>
      </c>
      <c r="H339" s="798">
        <f t="shared" si="15"/>
        <v>81158661.030551717</v>
      </c>
      <c r="I339" s="798">
        <f t="shared" si="15"/>
        <v>82266508.784930438</v>
      </c>
      <c r="J339" s="798">
        <f t="shared" si="15"/>
        <v>83389479.09839648</v>
      </c>
      <c r="K339" s="798">
        <f t="shared" si="15"/>
        <v>84527778.399849877</v>
      </c>
      <c r="L339" s="798">
        <f t="shared" si="15"/>
        <v>85681615.936026633</v>
      </c>
      <c r="M339" s="798">
        <f t="shared" si="15"/>
        <v>86851203.809963271</v>
      </c>
      <c r="N339" s="798">
        <f t="shared" si="15"/>
        <v>88036757.019986495</v>
      </c>
      <c r="O339" s="798">
        <f t="shared" si="15"/>
        <v>89238493.499234989</v>
      </c>
      <c r="P339" s="798">
        <f t="shared" si="15"/>
        <v>90456634.15572083</v>
      </c>
      <c r="Q339" s="798">
        <f t="shared" si="15"/>
        <v>91691402.912937626</v>
      </c>
      <c r="R339" s="798">
        <f t="shared" si="15"/>
        <v>92943026.751023054</v>
      </c>
      <c r="S339" s="798">
        <f t="shared" si="15"/>
        <v>94211735.748483241</v>
      </c>
      <c r="T339" s="798">
        <f t="shared" si="15"/>
        <v>95497763.124486759</v>
      </c>
      <c r="U339" s="798">
        <f t="shared" si="15"/>
        <v>96801345.281735852</v>
      </c>
      <c r="V339" s="798">
        <f t="shared" si="15"/>
        <v>98122721.849922955</v>
      </c>
      <c r="W339" s="798">
        <f t="shared" si="15"/>
        <v>99462135.729780391</v>
      </c>
      <c r="X339" s="798">
        <f t="shared" si="15"/>
        <v>100819833.13773133</v>
      </c>
      <c r="Y339" s="798">
        <f t="shared" si="15"/>
        <v>102196063.65115032</v>
      </c>
      <c r="Z339" s="798">
        <f t="shared" si="15"/>
        <v>103591080.25424154</v>
      </c>
      <c r="AA339" s="798">
        <f t="shared" si="15"/>
        <v>105005139.38454343</v>
      </c>
      <c r="AB339" s="798">
        <f t="shared" si="15"/>
        <v>106438500.98006803</v>
      </c>
      <c r="AC339" s="798">
        <f t="shared" si="15"/>
        <v>107891428.52708383</v>
      </c>
      <c r="AD339" s="798">
        <f t="shared" si="15"/>
        <v>109364189.10855088</v>
      </c>
      <c r="AE339" s="798">
        <f t="shared" si="15"/>
        <v>110857053.45321704</v>
      </c>
      <c r="AF339" s="798">
        <f t="shared" si="15"/>
        <v>112370295.98538446</v>
      </c>
      <c r="AG339" s="798">
        <f t="shared" si="15"/>
        <v>113904194.87535527</v>
      </c>
      <c r="AH339" s="798">
        <f t="shared" si="15"/>
        <v>115459032.09056605</v>
      </c>
    </row>
    <row r="341" spans="2:34">
      <c r="B341" s="100" t="s">
        <v>123</v>
      </c>
    </row>
    <row r="342" spans="2:34">
      <c r="B342" s="98" t="s">
        <v>934</v>
      </c>
    </row>
    <row r="343" spans="2:34">
      <c r="B343" t="s">
        <v>935</v>
      </c>
    </row>
    <row r="344" spans="2:34">
      <c r="B344" t="s">
        <v>936</v>
      </c>
    </row>
    <row r="345" spans="2:34" ht="32.549999999999997" customHeight="1">
      <c r="B345" t="s">
        <v>937</v>
      </c>
      <c r="D345" s="346"/>
    </row>
    <row r="347" spans="2:34">
      <c r="B347" t="s">
        <v>938</v>
      </c>
    </row>
    <row r="348" spans="2:34" ht="43.2">
      <c r="B348" t="s">
        <v>939</v>
      </c>
      <c r="C348">
        <f>LN(0.5^(-1/(2030-2019)))</f>
        <v>6.3013380050904108E-2</v>
      </c>
      <c r="G348" s="799" t="s">
        <v>940</v>
      </c>
      <c r="H348" s="800">
        <f>SUM(D335:AH335)/31</f>
        <v>38037901.304912962</v>
      </c>
    </row>
    <row r="349" spans="2:34" ht="28.8">
      <c r="B349" t="s">
        <v>941</v>
      </c>
      <c r="C349">
        <f>1.5/(EXP(C348*2019))</f>
        <v>8.3830850656131041E-56</v>
      </c>
      <c r="G349" s="801" t="s">
        <v>942</v>
      </c>
      <c r="H349" s="267">
        <f>100*C353/(H348*31)</f>
        <v>0.77130763020881288</v>
      </c>
      <c r="J349">
        <f>31*H348*H349/100</f>
        <v>9095066.2892188281</v>
      </c>
    </row>
    <row r="350" spans="2:34">
      <c r="E350" s="243"/>
    </row>
    <row r="351" spans="2:34">
      <c r="B351" t="s">
        <v>943</v>
      </c>
    </row>
    <row r="352" spans="2:34">
      <c r="B352" s="695"/>
      <c r="C352" s="695" t="s">
        <v>944</v>
      </c>
      <c r="D352" s="695">
        <v>1990</v>
      </c>
      <c r="E352" s="695">
        <f t="shared" ref="E352:AH352" si="17">D352+1</f>
        <v>1991</v>
      </c>
      <c r="F352" s="695">
        <f t="shared" si="17"/>
        <v>1992</v>
      </c>
      <c r="G352" s="695">
        <f t="shared" si="17"/>
        <v>1993</v>
      </c>
      <c r="H352" s="695">
        <f t="shared" si="17"/>
        <v>1994</v>
      </c>
      <c r="I352" s="695">
        <f t="shared" si="17"/>
        <v>1995</v>
      </c>
      <c r="J352" s="695">
        <f t="shared" si="17"/>
        <v>1996</v>
      </c>
      <c r="K352" s="695">
        <f t="shared" si="17"/>
        <v>1997</v>
      </c>
      <c r="L352" s="695">
        <f t="shared" si="17"/>
        <v>1998</v>
      </c>
      <c r="M352" s="695">
        <f t="shared" si="17"/>
        <v>1999</v>
      </c>
      <c r="N352" s="695">
        <f t="shared" si="17"/>
        <v>2000</v>
      </c>
      <c r="O352" s="695">
        <f t="shared" si="17"/>
        <v>2001</v>
      </c>
      <c r="P352" s="695">
        <f t="shared" si="17"/>
        <v>2002</v>
      </c>
      <c r="Q352" s="695">
        <f t="shared" si="17"/>
        <v>2003</v>
      </c>
      <c r="R352" s="695">
        <f t="shared" si="17"/>
        <v>2004</v>
      </c>
      <c r="S352" s="695">
        <f t="shared" si="17"/>
        <v>2005</v>
      </c>
      <c r="T352" s="695">
        <f t="shared" si="17"/>
        <v>2006</v>
      </c>
      <c r="U352" s="695">
        <f t="shared" si="17"/>
        <v>2007</v>
      </c>
      <c r="V352" s="695">
        <f t="shared" si="17"/>
        <v>2008</v>
      </c>
      <c r="W352" s="695">
        <f t="shared" si="17"/>
        <v>2009</v>
      </c>
      <c r="X352" s="695">
        <f t="shared" si="17"/>
        <v>2010</v>
      </c>
      <c r="Y352" s="695">
        <f t="shared" si="17"/>
        <v>2011</v>
      </c>
      <c r="Z352" s="695">
        <f t="shared" si="17"/>
        <v>2012</v>
      </c>
      <c r="AA352" s="695">
        <f t="shared" si="17"/>
        <v>2013</v>
      </c>
      <c r="AB352" s="695">
        <f t="shared" si="17"/>
        <v>2014</v>
      </c>
      <c r="AC352" s="695">
        <f t="shared" si="17"/>
        <v>2015</v>
      </c>
      <c r="AD352" s="695">
        <f t="shared" si="17"/>
        <v>2016</v>
      </c>
      <c r="AE352" s="695">
        <f t="shared" si="17"/>
        <v>2017</v>
      </c>
      <c r="AF352" s="695">
        <f t="shared" si="17"/>
        <v>2018</v>
      </c>
      <c r="AG352" s="695">
        <f t="shared" si="17"/>
        <v>2019</v>
      </c>
      <c r="AH352" s="695">
        <f t="shared" si="17"/>
        <v>2020</v>
      </c>
    </row>
    <row r="353" spans="2:34">
      <c r="B353" s="695" t="s">
        <v>892</v>
      </c>
      <c r="C353" s="798">
        <f t="shared" ref="C353:C356" si="18">SUM(D353:AH353)</f>
        <v>9095066.2892188281</v>
      </c>
      <c r="D353" s="798">
        <f t="shared" ref="D353:D356" si="19">D335*0.01*$C$349*EXP($C$348*D$352)</f>
        <v>74331.304836225216</v>
      </c>
      <c r="E353" s="798">
        <f t="shared" ref="E353:AH353" si="20">E335*0.01*$C$349*EXP($C$348*E352)</f>
        <v>80246.539578576107</v>
      </c>
      <c r="F353" s="798">
        <f t="shared" si="20"/>
        <v>86632.504683244886</v>
      </c>
      <c r="G353" s="798">
        <f t="shared" si="20"/>
        <v>93526.660552676985</v>
      </c>
      <c r="H353" s="798">
        <f t="shared" si="20"/>
        <v>100969.448662696</v>
      </c>
      <c r="I353" s="798">
        <f t="shared" si="20"/>
        <v>109004.5287942979</v>
      </c>
      <c r="J353" s="798">
        <f t="shared" si="20"/>
        <v>117679.03514419026</v>
      </c>
      <c r="K353" s="798">
        <f t="shared" si="20"/>
        <v>127043.85281643442</v>
      </c>
      <c r="L353" s="798">
        <f t="shared" si="20"/>
        <v>137153.91631710433</v>
      </c>
      <c r="M353" s="798">
        <f t="shared" si="20"/>
        <v>148068.53180294795</v>
      </c>
      <c r="N353" s="798">
        <f t="shared" si="20"/>
        <v>159851.72497437787</v>
      </c>
      <c r="O353" s="798">
        <f t="shared" si="20"/>
        <v>172572.61665355027</v>
      </c>
      <c r="P353" s="798">
        <f t="shared" si="20"/>
        <v>186305.82825069147</v>
      </c>
      <c r="Q353" s="798">
        <f t="shared" si="20"/>
        <v>201131.91949716015</v>
      </c>
      <c r="R353" s="798">
        <f t="shared" si="20"/>
        <v>217137.86101300869</v>
      </c>
      <c r="S353" s="798">
        <f t="shared" si="20"/>
        <v>234417.54448115022</v>
      </c>
      <c r="T353" s="798">
        <f t="shared" si="20"/>
        <v>253072.3334208396</v>
      </c>
      <c r="U353" s="798">
        <f t="shared" si="20"/>
        <v>273211.65779133304</v>
      </c>
      <c r="V353" s="798">
        <f t="shared" si="20"/>
        <v>294953.65591370384</v>
      </c>
      <c r="W353" s="798">
        <f t="shared" si="20"/>
        <v>318425.86747635534</v>
      </c>
      <c r="X353" s="798">
        <f t="shared" si="20"/>
        <v>343765.9816894643</v>
      </c>
      <c r="Y353" s="798">
        <f t="shared" si="20"/>
        <v>371122.64497700136</v>
      </c>
      <c r="Z353" s="798">
        <f t="shared" si="20"/>
        <v>400656.33294437925</v>
      </c>
      <c r="AA353" s="798">
        <f t="shared" si="20"/>
        <v>432540.29173667141</v>
      </c>
      <c r="AB353" s="798">
        <f t="shared" si="20"/>
        <v>466961.55430948228</v>
      </c>
      <c r="AC353" s="798">
        <f t="shared" si="20"/>
        <v>504122.03757396399</v>
      </c>
      <c r="AD353" s="798">
        <f t="shared" si="20"/>
        <v>544239.72685188684</v>
      </c>
      <c r="AE353" s="798">
        <f t="shared" si="20"/>
        <v>587549.95458884072</v>
      </c>
      <c r="AF353" s="798">
        <f t="shared" si="20"/>
        <v>634306.78082656371</v>
      </c>
      <c r="AG353" s="798">
        <f t="shared" si="20"/>
        <v>684784.48353232187</v>
      </c>
      <c r="AH353" s="798">
        <f t="shared" si="20"/>
        <v>739279.16752768646</v>
      </c>
    </row>
    <row r="354" spans="2:34">
      <c r="B354" s="695" t="s">
        <v>894</v>
      </c>
      <c r="C354" s="798">
        <f t="shared" si="18"/>
        <v>3780049.9466185402</v>
      </c>
      <c r="D354" s="798">
        <f t="shared" si="19"/>
        <v>30893.237711892751</v>
      </c>
      <c r="E354" s="798">
        <f t="shared" ref="E354:AH356" si="21">E336*0.01*$C$349*EXP($C$348*E$352)</f>
        <v>33351.70058187368</v>
      </c>
      <c r="F354" s="798">
        <f t="shared" si="21"/>
        <v>36005.806256906028</v>
      </c>
      <c r="G354" s="798">
        <f t="shared" si="21"/>
        <v>38871.123858507031</v>
      </c>
      <c r="H354" s="798">
        <f t="shared" si="21"/>
        <v>41964.461488307512</v>
      </c>
      <c r="I354" s="798">
        <f t="shared" si="21"/>
        <v>45303.964825247596</v>
      </c>
      <c r="J354" s="798">
        <f t="shared" si="21"/>
        <v>48909.223569070236</v>
      </c>
      <c r="K354" s="798">
        <f t="shared" si="21"/>
        <v>52801.386354515911</v>
      </c>
      <c r="L354" s="798">
        <f t="shared" si="21"/>
        <v>57003.284810310412</v>
      </c>
      <c r="M354" s="798">
        <f t="shared" si="21"/>
        <v>61539.567490683119</v>
      </c>
      <c r="N354" s="798">
        <f t="shared" si="21"/>
        <v>66436.844465064089</v>
      </c>
      <c r="O354" s="798">
        <f t="shared" si="21"/>
        <v>71723.843414131217</v>
      </c>
      <c r="P354" s="798">
        <f t="shared" si="21"/>
        <v>77431.578147874796</v>
      </c>
      <c r="Q354" s="798">
        <f t="shared" si="21"/>
        <v>83593.530534215141</v>
      </c>
      <c r="R354" s="798">
        <f t="shared" si="21"/>
        <v>90245.846905375874</v>
      </c>
      <c r="S354" s="798">
        <f t="shared" si="21"/>
        <v>97427.550094143284</v>
      </c>
      <c r="T354" s="798">
        <f t="shared" si="21"/>
        <v>105180.76834382683</v>
      </c>
      <c r="U354" s="798">
        <f t="shared" si="21"/>
        <v>113550.98243471893</v>
      </c>
      <c r="V354" s="798">
        <f t="shared" si="21"/>
        <v>122587.29247671062</v>
      </c>
      <c r="W354" s="798">
        <f t="shared" si="21"/>
        <v>132342.70593308035</v>
      </c>
      <c r="X354" s="798">
        <f t="shared" si="21"/>
        <v>142874.44856502957</v>
      </c>
      <c r="Y354" s="798">
        <f t="shared" si="21"/>
        <v>154244.30012095461</v>
      </c>
      <c r="Z354" s="798">
        <f t="shared" si="21"/>
        <v>166518.95673966123</v>
      </c>
      <c r="AA354" s="798">
        <f t="shared" si="21"/>
        <v>179770.42219337184</v>
      </c>
      <c r="AB354" s="798">
        <f t="shared" si="21"/>
        <v>194076.430265587</v>
      </c>
      <c r="AC354" s="798">
        <f t="shared" si="21"/>
        <v>209520.9007414903</v>
      </c>
      <c r="AD354" s="798">
        <f t="shared" si="21"/>
        <v>226194.43168575966</v>
      </c>
      <c r="AE354" s="798">
        <f t="shared" si="21"/>
        <v>244194.83089551303</v>
      </c>
      <c r="AF354" s="798">
        <f t="shared" si="21"/>
        <v>263627.68964591785</v>
      </c>
      <c r="AG354" s="798">
        <f t="shared" si="21"/>
        <v>284607.00209408655</v>
      </c>
      <c r="AH354" s="798">
        <f t="shared" si="21"/>
        <v>307255.83397471323</v>
      </c>
    </row>
    <row r="355" spans="2:34">
      <c r="B355" s="695" t="s">
        <v>365</v>
      </c>
      <c r="C355" s="798">
        <f t="shared" si="18"/>
        <v>6543523.8232430853</v>
      </c>
      <c r="D355" s="798">
        <f t="shared" si="19"/>
        <v>53478.297853105527</v>
      </c>
      <c r="E355" s="798">
        <f t="shared" si="21"/>
        <v>57734.064466102129</v>
      </c>
      <c r="F355" s="798">
        <f t="shared" si="21"/>
        <v>62328.502095032061</v>
      </c>
      <c r="G355" s="798">
        <f t="shared" si="21"/>
        <v>67288.561949269235</v>
      </c>
      <c r="H355" s="798">
        <f t="shared" si="21"/>
        <v>72643.339997120362</v>
      </c>
      <c r="I355" s="798">
        <f t="shared" si="21"/>
        <v>78424.247644283867</v>
      </c>
      <c r="J355" s="798">
        <f t="shared" si="21"/>
        <v>84665.195994784488</v>
      </c>
      <c r="K355" s="798">
        <f t="shared" si="21"/>
        <v>91402.794775268005</v>
      </c>
      <c r="L355" s="798">
        <f t="shared" si="21"/>
        <v>98676.567089556003</v>
      </c>
      <c r="M355" s="798">
        <f t="shared" si="21"/>
        <v>106529.18126322243</v>
      </c>
      <c r="N355" s="798">
        <f t="shared" si="21"/>
        <v>115006.70113820398</v>
      </c>
      <c r="O355" s="798">
        <f t="shared" si="21"/>
        <v>124158.85628568544</v>
      </c>
      <c r="P355" s="798">
        <f t="shared" si="21"/>
        <v>134039.333722343</v>
      </c>
      <c r="Q355" s="798">
        <f t="shared" si="21"/>
        <v>144706.09284116811</v>
      </c>
      <c r="R355" s="798">
        <f t="shared" si="21"/>
        <v>156221.70540427192</v>
      </c>
      <c r="S355" s="798">
        <f t="shared" si="21"/>
        <v>168653.72259208679</v>
      </c>
      <c r="T355" s="798">
        <f t="shared" si="21"/>
        <v>182075.07126209341</v>
      </c>
      <c r="U355" s="798">
        <f t="shared" si="21"/>
        <v>196564.48174154825</v>
      </c>
      <c r="V355" s="798">
        <f t="shared" si="21"/>
        <v>212206.94966366596</v>
      </c>
      <c r="W355" s="798">
        <f t="shared" si="21"/>
        <v>229094.23455640796</v>
      </c>
      <c r="X355" s="798">
        <f t="shared" si="21"/>
        <v>247325.39810864427</v>
      </c>
      <c r="Y355" s="798">
        <f t="shared" si="21"/>
        <v>267007.3852711384</v>
      </c>
      <c r="Z355" s="798">
        <f t="shared" si="21"/>
        <v>288255.65160118655</v>
      </c>
      <c r="AA355" s="798">
        <f t="shared" si="21"/>
        <v>311194.84053090069</v>
      </c>
      <c r="AB355" s="798">
        <f t="shared" si="21"/>
        <v>335959.51453204418</v>
      </c>
      <c r="AC355" s="798">
        <f t="shared" si="21"/>
        <v>362694.94446646929</v>
      </c>
      <c r="AD355" s="798">
        <f t="shared" si="21"/>
        <v>391557.96175252571</v>
      </c>
      <c r="AE355" s="798">
        <f t="shared" si="21"/>
        <v>422717.87834629271</v>
      </c>
      <c r="AF355" s="798">
        <f t="shared" si="21"/>
        <v>456357.47993429366</v>
      </c>
      <c r="AG355" s="798">
        <f t="shared" si="21"/>
        <v>492674.09816381062</v>
      </c>
      <c r="AH355" s="798">
        <f t="shared" si="21"/>
        <v>531880.76820056082</v>
      </c>
    </row>
    <row r="356" spans="2:34">
      <c r="B356" s="695" t="s">
        <v>366</v>
      </c>
      <c r="C356" s="798">
        <f t="shared" si="18"/>
        <v>4206753.172876277</v>
      </c>
      <c r="D356" s="798">
        <f t="shared" si="19"/>
        <v>34380.557823364827</v>
      </c>
      <c r="E356" s="798">
        <f t="shared" si="21"/>
        <v>37116.539258727193</v>
      </c>
      <c r="F356" s="798">
        <f t="shared" si="21"/>
        <v>40070.248238043481</v>
      </c>
      <c r="G356" s="798">
        <f t="shared" si="21"/>
        <v>43259.01137134969</v>
      </c>
      <c r="H356" s="798">
        <f t="shared" si="21"/>
        <v>46701.534108537722</v>
      </c>
      <c r="I356" s="798">
        <f t="shared" si="21"/>
        <v>50418.01046649451</v>
      </c>
      <c r="J356" s="798">
        <f t="shared" si="21"/>
        <v>54430.241488252053</v>
      </c>
      <c r="K356" s="798">
        <f t="shared" si="21"/>
        <v>58761.763129036553</v>
      </c>
      <c r="L356" s="798">
        <f t="shared" si="21"/>
        <v>63437.984319402036</v>
      </c>
      <c r="M356" s="798">
        <f t="shared" si="21"/>
        <v>68486.3360153346</v>
      </c>
      <c r="N356" s="798">
        <f t="shared" si="21"/>
        <v>73936.432109662754</v>
      </c>
      <c r="O356" s="798">
        <f t="shared" si="21"/>
        <v>79820.243148688212</v>
      </c>
      <c r="P356" s="798">
        <f t="shared" si="21"/>
        <v>86172.283873068343</v>
      </c>
      <c r="Q356" s="798">
        <f t="shared" si="21"/>
        <v>93029.815683074776</v>
      </c>
      <c r="R356" s="798">
        <f t="shared" si="21"/>
        <v>100433.06521589936</v>
      </c>
      <c r="S356" s="798">
        <f t="shared" si="21"/>
        <v>108425.46031719397</v>
      </c>
      <c r="T356" s="798">
        <f t="shared" si="21"/>
        <v>117053.88479106507</v>
      </c>
      <c r="U356" s="798">
        <f t="shared" si="21"/>
        <v>126368.95342289955</v>
      </c>
      <c r="V356" s="798">
        <f t="shared" si="21"/>
        <v>136425.30888832072</v>
      </c>
      <c r="W356" s="798">
        <f t="shared" si="21"/>
        <v>147281.9422899546</v>
      </c>
      <c r="X356" s="798">
        <f t="shared" si="21"/>
        <v>159002.53920230534</v>
      </c>
      <c r="Y356" s="798">
        <f t="shared" si="21"/>
        <v>171655.85325462534</v>
      </c>
      <c r="Z356" s="798">
        <f t="shared" si="21"/>
        <v>185316.10944327767</v>
      </c>
      <c r="AA356" s="798">
        <f t="shared" si="21"/>
        <v>200063.43953941177</v>
      </c>
      <c r="AB356" s="798">
        <f t="shared" si="21"/>
        <v>215984.35214608797</v>
      </c>
      <c r="AC356" s="798">
        <f t="shared" si="21"/>
        <v>233172.24016222919</v>
      </c>
      <c r="AD356" s="798">
        <f t="shared" si="21"/>
        <v>251727.92863020865</v>
      </c>
      <c r="AE356" s="798">
        <f t="shared" si="21"/>
        <v>271760.26618077676</v>
      </c>
      <c r="AF356" s="798">
        <f t="shared" si="21"/>
        <v>293386.76354477351</v>
      </c>
      <c r="AG356" s="798">
        <f t="shared" si="21"/>
        <v>316734.28287716885</v>
      </c>
      <c r="AH356" s="798">
        <f t="shared" si="21"/>
        <v>341939.78193704213</v>
      </c>
    </row>
    <row r="357" spans="2:34">
      <c r="B357" s="695" t="s">
        <v>795</v>
      </c>
      <c r="C357" s="798">
        <f t="shared" ref="C357:AH357" si="22">SUM(C353:C356)</f>
        <v>23625393.231956728</v>
      </c>
      <c r="D357" s="798">
        <f t="shared" si="22"/>
        <v>193083.39822458834</v>
      </c>
      <c r="E357" s="798">
        <f t="shared" si="22"/>
        <v>208448.84388527912</v>
      </c>
      <c r="F357" s="798">
        <f t="shared" si="22"/>
        <v>225037.06127322646</v>
      </c>
      <c r="G357" s="798">
        <f t="shared" si="22"/>
        <v>242945.35773180294</v>
      </c>
      <c r="H357" s="798">
        <f t="shared" si="22"/>
        <v>262278.7842566616</v>
      </c>
      <c r="I357" s="798">
        <f t="shared" si="22"/>
        <v>283150.75173032389</v>
      </c>
      <c r="J357" s="798">
        <f t="shared" si="22"/>
        <v>305683.69619629707</v>
      </c>
      <c r="K357" s="798">
        <f t="shared" si="22"/>
        <v>330009.79707525484</v>
      </c>
      <c r="L357" s="798">
        <f t="shared" si="22"/>
        <v>356271.75253637275</v>
      </c>
      <c r="M357" s="798">
        <f t="shared" si="22"/>
        <v>384623.6165721881</v>
      </c>
      <c r="N357" s="798">
        <f t="shared" si="22"/>
        <v>415231.70268730866</v>
      </c>
      <c r="O357" s="798">
        <f t="shared" si="22"/>
        <v>448275.55950205517</v>
      </c>
      <c r="P357" s="798">
        <f t="shared" si="22"/>
        <v>483949.02399397764</v>
      </c>
      <c r="Q357" s="798">
        <f t="shared" si="22"/>
        <v>522461.35855561815</v>
      </c>
      <c r="R357" s="798">
        <f t="shared" si="22"/>
        <v>564038.47853855591</v>
      </c>
      <c r="S357" s="798">
        <f t="shared" si="22"/>
        <v>608924.27748457424</v>
      </c>
      <c r="T357" s="798">
        <f t="shared" si="22"/>
        <v>657382.05781782488</v>
      </c>
      <c r="U357" s="798">
        <f t="shared" si="22"/>
        <v>709696.07539049978</v>
      </c>
      <c r="V357" s="798">
        <f t="shared" si="22"/>
        <v>766173.20694240113</v>
      </c>
      <c r="W357" s="798">
        <f t="shared" si="22"/>
        <v>827144.75025579834</v>
      </c>
      <c r="X357" s="798">
        <f t="shared" si="22"/>
        <v>892968.36756544351</v>
      </c>
      <c r="Y357" s="798">
        <f t="shared" si="22"/>
        <v>964030.18362371973</v>
      </c>
      <c r="Z357" s="798">
        <f t="shared" si="22"/>
        <v>1040747.0507285047</v>
      </c>
      <c r="AA357" s="798">
        <f t="shared" si="22"/>
        <v>1123568.9940003557</v>
      </c>
      <c r="AB357" s="798">
        <f t="shared" si="22"/>
        <v>1212981.8512532015</v>
      </c>
      <c r="AC357" s="798">
        <f t="shared" si="22"/>
        <v>1309510.1229441527</v>
      </c>
      <c r="AD357" s="798">
        <f t="shared" si="22"/>
        <v>1413720.0489203809</v>
      </c>
      <c r="AE357" s="798">
        <f t="shared" si="22"/>
        <v>1526222.9300114233</v>
      </c>
      <c r="AF357" s="798">
        <f t="shared" si="22"/>
        <v>1647678.7139515488</v>
      </c>
      <c r="AG357" s="798">
        <f t="shared" si="22"/>
        <v>1778799.8666673878</v>
      </c>
      <c r="AH357" s="798">
        <f t="shared" si="22"/>
        <v>1920355.5516400025</v>
      </c>
    </row>
    <row r="359" spans="2:34">
      <c r="B359" s="98" t="s">
        <v>945</v>
      </c>
    </row>
    <row r="360" spans="2:34">
      <c r="B360" s="346" t="s">
        <v>946</v>
      </c>
      <c r="C360" s="97"/>
    </row>
    <row r="361" spans="2:34">
      <c r="B361" s="670"/>
      <c r="C361" s="690" t="s">
        <v>928</v>
      </c>
      <c r="D361" s="690" t="s">
        <v>889</v>
      </c>
      <c r="E361" s="691" t="s">
        <v>890</v>
      </c>
    </row>
    <row r="362" spans="2:34">
      <c r="B362" s="764" t="s">
        <v>892</v>
      </c>
      <c r="C362" s="108">
        <f t="shared" ref="C362:C366" si="23">C353</f>
        <v>9095066.2892188281</v>
      </c>
      <c r="D362" s="110">
        <f t="shared" ref="D362:D365" si="24">C362*190/30</f>
        <v>57602086.498385914</v>
      </c>
      <c r="E362" s="271">
        <f t="shared" ref="E362:E365" si="25">D362/10^9</f>
        <v>5.7602086498385913E-2</v>
      </c>
    </row>
    <row r="363" spans="2:34">
      <c r="B363" s="764" t="s">
        <v>894</v>
      </c>
      <c r="C363" s="108">
        <f t="shared" si="23"/>
        <v>3780049.9466185402</v>
      </c>
      <c r="D363" s="110">
        <f t="shared" si="24"/>
        <v>23940316.328584086</v>
      </c>
      <c r="E363" s="271">
        <f t="shared" si="25"/>
        <v>2.3940316328584087E-2</v>
      </c>
    </row>
    <row r="364" spans="2:34">
      <c r="B364" s="764" t="s">
        <v>365</v>
      </c>
      <c r="C364" s="108">
        <f t="shared" si="23"/>
        <v>6543523.8232430853</v>
      </c>
      <c r="D364" s="110">
        <f t="shared" si="24"/>
        <v>41442317.547206201</v>
      </c>
      <c r="E364" s="271">
        <f t="shared" si="25"/>
        <v>4.1442317547206203E-2</v>
      </c>
    </row>
    <row r="365" spans="2:34">
      <c r="B365" s="764" t="s">
        <v>366</v>
      </c>
      <c r="C365" s="108">
        <f t="shared" si="23"/>
        <v>4206753.172876277</v>
      </c>
      <c r="D365" s="110">
        <f t="shared" si="24"/>
        <v>26642770.094883088</v>
      </c>
      <c r="E365" s="271">
        <f t="shared" si="25"/>
        <v>2.6642770094883087E-2</v>
      </c>
    </row>
    <row r="366" spans="2:34">
      <c r="B366" s="694" t="s">
        <v>795</v>
      </c>
      <c r="C366" s="108">
        <f t="shared" si="23"/>
        <v>23625393.231956728</v>
      </c>
      <c r="D366" s="765">
        <f>SUM(D362:D365)</f>
        <v>149627490.46905929</v>
      </c>
      <c r="E366" s="766">
        <f>SUM(E362:E365)</f>
        <v>0.14962749046905929</v>
      </c>
    </row>
    <row r="369" spans="2:3">
      <c r="B369" s="98" t="s">
        <v>947</v>
      </c>
    </row>
    <row r="373" spans="2:3">
      <c r="B373" s="670"/>
      <c r="C373" s="691" t="s">
        <v>890</v>
      </c>
    </row>
    <row r="374" spans="2:3">
      <c r="B374" s="764" t="s">
        <v>892</v>
      </c>
      <c r="C374" s="89">
        <f t="shared" ref="C374:C377" si="26">E362+E320</f>
        <v>0.64886242138642147</v>
      </c>
    </row>
    <row r="375" spans="2:3">
      <c r="B375" s="764" t="s">
        <v>894</v>
      </c>
      <c r="C375" s="89">
        <f t="shared" si="26"/>
        <v>0.17326780960649774</v>
      </c>
    </row>
    <row r="376" spans="2:3">
      <c r="B376" s="764" t="s">
        <v>365</v>
      </c>
      <c r="C376" s="89">
        <f t="shared" si="26"/>
        <v>0.53812939598315324</v>
      </c>
    </row>
    <row r="377" spans="2:3">
      <c r="B377" s="764" t="s">
        <v>366</v>
      </c>
      <c r="C377" s="89">
        <f t="shared" si="26"/>
        <v>0.27532273520027034</v>
      </c>
    </row>
    <row r="378" spans="2:3">
      <c r="B378" s="694" t="s">
        <v>795</v>
      </c>
      <c r="C378" s="802">
        <f>SUM(C374:C377)</f>
        <v>1.6355823621763428</v>
      </c>
    </row>
    <row r="379" spans="2:3">
      <c r="C379" s="253"/>
    </row>
  </sheetData>
  <mergeCells count="27">
    <mergeCell ref="C10:D10"/>
    <mergeCell ref="B5:D5"/>
    <mergeCell ref="F5:Q5"/>
    <mergeCell ref="F6:G6"/>
    <mergeCell ref="H6:Q6"/>
    <mergeCell ref="C7:D7"/>
    <mergeCell ref="F7:G8"/>
    <mergeCell ref="H7:Q8"/>
    <mergeCell ref="C8:D8"/>
    <mergeCell ref="B197:B198"/>
    <mergeCell ref="C197:G197"/>
    <mergeCell ref="H197:J197"/>
    <mergeCell ref="B225:J225"/>
    <mergeCell ref="C12:D12"/>
    <mergeCell ref="B14:Q14"/>
    <mergeCell ref="C15:Q15"/>
    <mergeCell ref="C16:Q16"/>
    <mergeCell ref="C17:Q17"/>
    <mergeCell ref="C18:Q18"/>
    <mergeCell ref="C19:Q19"/>
    <mergeCell ref="C20:Q20"/>
    <mergeCell ref="G250:H251"/>
    <mergeCell ref="I250:I251"/>
    <mergeCell ref="C21:Q21"/>
    <mergeCell ref="C22:Q22"/>
    <mergeCell ref="G92:I92"/>
    <mergeCell ref="G105:H105"/>
  </mergeCells>
  <conditionalFormatting sqref="C8">
    <cfRule type="containsText" dxfId="541" priority="100" operator="containsText" text="Calcul validé">
      <formula>NOT(ISERROR(SEARCH("Calcul validé",C8)))</formula>
    </cfRule>
  </conditionalFormatting>
  <conditionalFormatting sqref="C8">
    <cfRule type="containsText" dxfId="540" priority="99" operator="containsText" text="Bon ordre de grandeur">
      <formula>NOT(ISERROR(SEARCH("Bon ordre de grandeur",C8)))</formula>
    </cfRule>
  </conditionalFormatting>
  <conditionalFormatting sqref="C8">
    <cfRule type="containsText" dxfId="539" priority="98" operator="containsText" text="Calcul brouillon, ordre de grandeur">
      <formula>NOT(ISERROR(SEARCH("Calcul brouillon, ordre de grandeur",C8)))</formula>
    </cfRule>
  </conditionalFormatting>
  <conditionalFormatting sqref="C8">
    <cfRule type="containsText" dxfId="538" priority="97" operator="containsText" text="Pas ok">
      <formula>NOT(ISERROR(SEARCH("Pas ok",C8)))</formula>
    </cfRule>
  </conditionalFormatting>
  <conditionalFormatting sqref="C8">
    <cfRule type="containsText" dxfId="537" priority="96" operator="containsText" text="Calcul validé">
      <formula>NOT(ISERROR(SEARCH("Calcul validé",C8)))</formula>
    </cfRule>
  </conditionalFormatting>
  <conditionalFormatting sqref="C8">
    <cfRule type="containsText" dxfId="536" priority="95" operator="containsText" text="Calcul validé">
      <formula>NOT(ISERROR(SEARCH("Calcul validé",C8)))</formula>
    </cfRule>
  </conditionalFormatting>
  <conditionalFormatting sqref="C8">
    <cfRule type="containsText" dxfId="535" priority="94" operator="containsText" text="Bon ordre de grandeur">
      <formula>NOT(ISERROR(SEARCH("Bon ordre de grandeur",C8)))</formula>
    </cfRule>
  </conditionalFormatting>
  <conditionalFormatting sqref="C8">
    <cfRule type="containsText" dxfId="534" priority="93" operator="containsText" text="Calcul brouillon, ordre de grandeur">
      <formula>NOT(ISERROR(SEARCH("Calcul brouillon, ordre de grandeur",C8)))</formula>
    </cfRule>
  </conditionalFormatting>
  <conditionalFormatting sqref="C8">
    <cfRule type="containsText" dxfId="533" priority="92" operator="containsText" text="Pas ok">
      <formula>NOT(ISERROR(SEARCH("Pas ok",C8)))</formula>
    </cfRule>
  </conditionalFormatting>
  <conditionalFormatting sqref="C8:D8">
    <cfRule type="containsText" dxfId="532" priority="91" operator="containsText" text="Calcul brouillon, odg">
      <formula>NOT(ISERROR(SEARCH("Calcul brouillon, odg",C8)))</formula>
    </cfRule>
  </conditionalFormatting>
  <conditionalFormatting sqref="C12">
    <cfRule type="containsText" dxfId="531" priority="10" operator="containsText" text="Calcul validé">
      <formula>NOT(ISERROR(SEARCH("Calcul validé",C12)))</formula>
    </cfRule>
  </conditionalFormatting>
  <conditionalFormatting sqref="C12">
    <cfRule type="containsText" dxfId="530" priority="9" operator="containsText" text="Bon ordre de grandeur">
      <formula>NOT(ISERROR(SEARCH("Bon ordre de grandeur",C12)))</formula>
    </cfRule>
  </conditionalFormatting>
  <conditionalFormatting sqref="C12">
    <cfRule type="containsText" dxfId="529" priority="8" operator="containsText" text="Calcul brouillon, ordre de grandeur">
      <formula>NOT(ISERROR(SEARCH("Calcul brouillon, ordre de grandeur",C12)))</formula>
    </cfRule>
  </conditionalFormatting>
  <conditionalFormatting sqref="C12">
    <cfRule type="containsText" dxfId="528" priority="7" operator="containsText" text="Pas ok">
      <formula>NOT(ISERROR(SEARCH("Pas ok",C12)))</formula>
    </cfRule>
  </conditionalFormatting>
  <conditionalFormatting sqref="C12">
    <cfRule type="containsText" dxfId="527" priority="6" operator="containsText" text="Calcul validé">
      <formula>NOT(ISERROR(SEARCH("Calcul validé",C12)))</formula>
    </cfRule>
  </conditionalFormatting>
  <conditionalFormatting sqref="C12">
    <cfRule type="containsText" dxfId="526" priority="5" operator="containsText" text="Calcul validé">
      <formula>NOT(ISERROR(SEARCH("Calcul validé",C12)))</formula>
    </cfRule>
  </conditionalFormatting>
  <conditionalFormatting sqref="C12">
    <cfRule type="containsText" dxfId="525" priority="4" operator="containsText" text="Bon ordre de grandeur">
      <formula>NOT(ISERROR(SEARCH("Bon ordre de grandeur",C12)))</formula>
    </cfRule>
  </conditionalFormatting>
  <conditionalFormatting sqref="C12">
    <cfRule type="containsText" dxfId="524" priority="3" operator="containsText" text="Calcul brouillon, ordre de grandeur">
      <formula>NOT(ISERROR(SEARCH("Calcul brouillon, ordre de grandeur",C12)))</formula>
    </cfRule>
  </conditionalFormatting>
  <conditionalFormatting sqref="C12">
    <cfRule type="containsText" dxfId="523" priority="2" operator="containsText" text="Pas ok">
      <formula>NOT(ISERROR(SEARCH("Pas ok",C12)))</formula>
    </cfRule>
  </conditionalFormatting>
  <conditionalFormatting sqref="C12:D12">
    <cfRule type="containsText" dxfId="522" priority="1" operator="containsText" text="Calcul brouillon, odg">
      <formula>NOT(ISERROR(SEARCH("Calcul brouillon, odg",C12)))</formula>
    </cfRule>
  </conditionalFormatting>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E00-000000000000}">
          <x14:formula1>
            <xm:f>'Annexe 1'!$B$5:$B$8</xm:f>
          </x14:formula1>
          <xm:sqref>C8</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35">
    <tabColor theme="7" tint="0.39997558519241921"/>
  </sheetPr>
  <dimension ref="B2:Q69"/>
  <sheetViews>
    <sheetView zoomScale="75" workbookViewId="0">
      <pane ySplit="2" topLeftCell="A3" activePane="bottomLeft" state="frozen"/>
      <selection activeCell="A19" sqref="A19:XFD19"/>
      <selection pane="bottomLeft"/>
    </sheetView>
  </sheetViews>
  <sheetFormatPr baseColWidth="10" defaultRowHeight="14.4"/>
  <cols>
    <col min="2" max="2" width="43.109375" customWidth="1"/>
    <col min="3" max="3" width="33.44140625" customWidth="1"/>
    <col min="4" max="4" width="20.109375" customWidth="1"/>
    <col min="5" max="5" width="33.44140625" customWidth="1"/>
    <col min="6" max="6" width="14.77734375" customWidth="1"/>
    <col min="7" max="7" width="23.109375" customWidth="1"/>
    <col min="8" max="8" width="18.109375" customWidth="1"/>
    <col min="10" max="10" width="11.44140625" bestFit="1" customWidth="1"/>
  </cols>
  <sheetData>
    <row r="2" spans="2:17" ht="18">
      <c r="B2" s="57" t="s">
        <v>948</v>
      </c>
    </row>
    <row r="5" spans="2:17">
      <c r="B5" s="1297" t="s">
        <v>90</v>
      </c>
      <c r="C5" s="1298"/>
      <c r="D5" s="1299"/>
      <c r="F5" s="1300" t="s">
        <v>63</v>
      </c>
      <c r="G5" s="1301"/>
      <c r="H5" s="1301"/>
      <c r="I5" s="1301"/>
      <c r="J5" s="1301"/>
      <c r="K5" s="1301"/>
      <c r="L5" s="1301"/>
      <c r="M5" s="1301"/>
      <c r="N5" s="1301"/>
      <c r="O5" s="1301"/>
      <c r="P5" s="1301"/>
      <c r="Q5" s="1302"/>
    </row>
    <row r="6" spans="2:17">
      <c r="B6" s="58" t="s">
        <v>64</v>
      </c>
      <c r="C6" s="265">
        <f>C11</f>
        <v>1.7818737313408259</v>
      </c>
      <c r="D6" s="266" t="s">
        <v>65</v>
      </c>
      <c r="F6" s="1303" t="s">
        <v>66</v>
      </c>
      <c r="G6" s="1304"/>
      <c r="H6" s="1305" t="s">
        <v>949</v>
      </c>
      <c r="I6" s="1306"/>
      <c r="J6" s="1306"/>
      <c r="K6" s="1306"/>
      <c r="L6" s="1306"/>
      <c r="M6" s="1306"/>
      <c r="N6" s="1306"/>
      <c r="O6" s="1306"/>
      <c r="P6" s="1306"/>
      <c r="Q6" s="1307"/>
    </row>
    <row r="7" spans="2:17">
      <c r="B7" s="61" t="s">
        <v>68</v>
      </c>
      <c r="C7" s="1287" t="str">
        <f>C10</f>
        <v>v1.0.g</v>
      </c>
      <c r="D7" s="1288"/>
      <c r="F7" s="1308" t="s">
        <v>69</v>
      </c>
      <c r="G7" s="1309"/>
      <c r="H7" s="1312" t="s">
        <v>950</v>
      </c>
      <c r="I7" s="1313"/>
      <c r="J7" s="1313"/>
      <c r="K7" s="1313"/>
      <c r="L7" s="1313"/>
      <c r="M7" s="1313"/>
      <c r="N7" s="1313"/>
      <c r="O7" s="1313"/>
      <c r="P7" s="1313"/>
      <c r="Q7" s="1314"/>
    </row>
    <row r="8" spans="2:17">
      <c r="B8" s="63" t="s">
        <v>28</v>
      </c>
      <c r="C8" s="1289" t="s">
        <v>742</v>
      </c>
      <c r="D8" s="1290"/>
      <c r="F8" s="1310"/>
      <c r="G8" s="1311"/>
      <c r="H8" s="1315"/>
      <c r="I8" s="1316"/>
      <c r="J8" s="1316"/>
      <c r="K8" s="1316"/>
      <c r="L8" s="1316"/>
      <c r="M8" s="1316"/>
      <c r="N8" s="1316"/>
      <c r="O8" s="1316"/>
      <c r="P8" s="1316"/>
      <c r="Q8" s="1317"/>
    </row>
    <row r="10" spans="2:17">
      <c r="B10" s="64" t="s">
        <v>93</v>
      </c>
      <c r="C10" s="1287" t="s">
        <v>259</v>
      </c>
      <c r="D10" s="1288"/>
      <c r="E10" s="65"/>
      <c r="F10" s="65"/>
      <c r="G10" s="65"/>
      <c r="H10" s="65"/>
      <c r="I10" s="65"/>
      <c r="J10" s="65"/>
      <c r="K10" s="65"/>
      <c r="L10" s="65"/>
      <c r="M10" s="65"/>
      <c r="N10" s="65"/>
      <c r="O10" s="65"/>
      <c r="P10" s="65"/>
      <c r="Q10" s="66"/>
    </row>
    <row r="11" spans="2:17">
      <c r="B11" s="67" t="s">
        <v>95</v>
      </c>
      <c r="C11" s="666">
        <f>C69</f>
        <v>1.7818737313408259</v>
      </c>
      <c r="D11" s="69" t="s">
        <v>96</v>
      </c>
      <c r="E11" s="70"/>
      <c r="F11" s="70"/>
      <c r="G11" s="70"/>
      <c r="H11" s="70"/>
      <c r="I11" s="70"/>
      <c r="J11" s="70"/>
      <c r="K11" s="70"/>
      <c r="L11" s="70"/>
      <c r="M11" s="70"/>
      <c r="N11" s="70"/>
      <c r="O11" s="70"/>
      <c r="P11" s="70"/>
      <c r="Q11" s="71"/>
    </row>
    <row r="12" spans="2:17">
      <c r="B12" s="72" t="s">
        <v>97</v>
      </c>
      <c r="C12" s="1289" t="s">
        <v>742</v>
      </c>
      <c r="D12" s="1290"/>
      <c r="E12" s="70"/>
      <c r="F12" s="70"/>
      <c r="G12" s="70"/>
      <c r="H12" s="70"/>
      <c r="I12" s="70"/>
      <c r="J12" s="70"/>
      <c r="K12" s="70"/>
      <c r="L12" s="70"/>
      <c r="M12" s="70"/>
      <c r="N12" s="70"/>
      <c r="O12" s="70"/>
      <c r="P12" s="70"/>
      <c r="Q12" s="71"/>
    </row>
    <row r="13" spans="2:17">
      <c r="B13" s="73"/>
      <c r="C13" s="74"/>
      <c r="D13" s="74"/>
      <c r="E13" s="74"/>
      <c r="F13" s="74"/>
      <c r="G13" s="74"/>
      <c r="H13" s="74"/>
      <c r="I13" s="74"/>
      <c r="J13" s="74"/>
      <c r="K13" s="74"/>
      <c r="L13" s="74"/>
      <c r="M13" s="74"/>
      <c r="N13" s="74"/>
      <c r="O13" s="74"/>
      <c r="P13" s="74"/>
      <c r="Q13" s="75"/>
    </row>
    <row r="14" spans="2:17">
      <c r="B14" s="1291" t="s">
        <v>71</v>
      </c>
      <c r="C14" s="1292"/>
      <c r="D14" s="1292"/>
      <c r="E14" s="1292"/>
      <c r="F14" s="1292"/>
      <c r="G14" s="1292"/>
      <c r="H14" s="1292"/>
      <c r="I14" s="1292"/>
      <c r="J14" s="1292"/>
      <c r="K14" s="1292"/>
      <c r="L14" s="1292"/>
      <c r="M14" s="1292"/>
      <c r="N14" s="1292"/>
      <c r="O14" s="1292"/>
      <c r="P14" s="1292"/>
      <c r="Q14" s="1293"/>
    </row>
    <row r="15" spans="2:17" ht="66" customHeight="1">
      <c r="B15" s="76" t="s">
        <v>72</v>
      </c>
      <c r="C15" s="1294" t="s">
        <v>951</v>
      </c>
      <c r="D15" s="1295"/>
      <c r="E15" s="1295"/>
      <c r="F15" s="1295"/>
      <c r="G15" s="1295"/>
      <c r="H15" s="1295"/>
      <c r="I15" s="1295"/>
      <c r="J15" s="1295"/>
      <c r="K15" s="1295"/>
      <c r="L15" s="1295"/>
      <c r="M15" s="1295"/>
      <c r="N15" s="1295"/>
      <c r="O15" s="1295"/>
      <c r="P15" s="1295"/>
      <c r="Q15" s="1296"/>
    </row>
    <row r="16" spans="2:17" ht="64.95" customHeight="1">
      <c r="B16" s="77" t="s">
        <v>74</v>
      </c>
      <c r="C16" s="1275" t="s">
        <v>952</v>
      </c>
      <c r="D16" s="1276"/>
      <c r="E16" s="1276"/>
      <c r="F16" s="1276"/>
      <c r="G16" s="1276"/>
      <c r="H16" s="1276"/>
      <c r="I16" s="1276"/>
      <c r="J16" s="1276"/>
      <c r="K16" s="1276"/>
      <c r="L16" s="1276"/>
      <c r="M16" s="1276"/>
      <c r="N16" s="1276"/>
      <c r="O16" s="1276"/>
      <c r="P16" s="1276"/>
      <c r="Q16" s="1277"/>
    </row>
    <row r="17" spans="2:17">
      <c r="B17" s="77" t="s">
        <v>76</v>
      </c>
      <c r="C17" s="1275" t="s">
        <v>953</v>
      </c>
      <c r="D17" s="1276"/>
      <c r="E17" s="1276"/>
      <c r="F17" s="1276"/>
      <c r="G17" s="1276"/>
      <c r="H17" s="1276"/>
      <c r="I17" s="1276"/>
      <c r="J17" s="1276"/>
      <c r="K17" s="1276"/>
      <c r="L17" s="1276"/>
      <c r="M17" s="1276"/>
      <c r="N17" s="1276"/>
      <c r="O17" s="1276"/>
      <c r="P17" s="1276"/>
      <c r="Q17" s="1277"/>
    </row>
    <row r="18" spans="2:17">
      <c r="B18" s="77" t="s">
        <v>78</v>
      </c>
      <c r="C18" s="1275" t="s">
        <v>954</v>
      </c>
      <c r="D18" s="1276"/>
      <c r="E18" s="1276"/>
      <c r="F18" s="1276"/>
      <c r="G18" s="1276"/>
      <c r="H18" s="1276"/>
      <c r="I18" s="1276"/>
      <c r="J18" s="1276"/>
      <c r="K18" s="1276"/>
      <c r="L18" s="1276"/>
      <c r="M18" s="1276"/>
      <c r="N18" s="1276"/>
      <c r="O18" s="1276"/>
      <c r="P18" s="1276"/>
      <c r="Q18" s="1277"/>
    </row>
    <row r="19" spans="2:17">
      <c r="B19" s="77" t="s">
        <v>82</v>
      </c>
      <c r="C19" s="1275" t="s">
        <v>955</v>
      </c>
      <c r="D19" s="1276"/>
      <c r="E19" s="1276"/>
      <c r="F19" s="1276"/>
      <c r="G19" s="1276"/>
      <c r="H19" s="1276"/>
      <c r="I19" s="1276"/>
      <c r="J19" s="1276"/>
      <c r="K19" s="1276"/>
      <c r="L19" s="1276"/>
      <c r="M19" s="1276"/>
      <c r="N19" s="1276"/>
      <c r="O19" s="1276"/>
      <c r="P19" s="1276"/>
      <c r="Q19" s="1277"/>
    </row>
    <row r="20" spans="2:17">
      <c r="B20" s="77" t="s">
        <v>84</v>
      </c>
      <c r="C20" s="1275" t="s">
        <v>956</v>
      </c>
      <c r="D20" s="1276"/>
      <c r="E20" s="1276"/>
      <c r="F20" s="1276"/>
      <c r="G20" s="1276"/>
      <c r="H20" s="1276"/>
      <c r="I20" s="1276"/>
      <c r="J20" s="1276"/>
      <c r="K20" s="1276"/>
      <c r="L20" s="1276"/>
      <c r="M20" s="1276"/>
      <c r="N20" s="1276"/>
      <c r="O20" s="1276"/>
      <c r="P20" s="1276"/>
      <c r="Q20" s="1277"/>
    </row>
    <row r="21" spans="2:17">
      <c r="B21" s="77" t="s">
        <v>86</v>
      </c>
      <c r="C21" s="1275" t="s">
        <v>957</v>
      </c>
      <c r="D21" s="1276"/>
      <c r="E21" s="1276"/>
      <c r="F21" s="1276"/>
      <c r="G21" s="1276"/>
      <c r="H21" s="1276"/>
      <c r="I21" s="1276"/>
      <c r="J21" s="1276"/>
      <c r="K21" s="1276"/>
      <c r="L21" s="1276"/>
      <c r="M21" s="1276"/>
      <c r="N21" s="1276"/>
      <c r="O21" s="1276"/>
      <c r="P21" s="1276"/>
      <c r="Q21" s="1277"/>
    </row>
    <row r="22" spans="2:17">
      <c r="B22" s="79" t="s">
        <v>88</v>
      </c>
      <c r="C22" s="1442">
        <v>44900</v>
      </c>
      <c r="D22" s="1443"/>
      <c r="E22" s="1443"/>
      <c r="F22" s="1443"/>
      <c r="G22" s="1443"/>
      <c r="H22" s="1443"/>
      <c r="I22" s="1443"/>
      <c r="J22" s="1443"/>
      <c r="K22" s="1443"/>
      <c r="L22" s="1443"/>
      <c r="M22" s="1443"/>
      <c r="N22" s="1443"/>
      <c r="O22" s="1443"/>
      <c r="P22" s="1443"/>
      <c r="Q22" s="1444"/>
    </row>
    <row r="25" spans="2:17">
      <c r="B25" s="98" t="s">
        <v>958</v>
      </c>
    </row>
    <row r="27" spans="2:17" ht="43.2">
      <c r="B27" s="803" t="s">
        <v>959</v>
      </c>
      <c r="C27" s="804" t="s">
        <v>960</v>
      </c>
      <c r="D27" s="804" t="s">
        <v>961</v>
      </c>
      <c r="E27" s="805" t="s">
        <v>962</v>
      </c>
      <c r="G27" s="806" t="s">
        <v>963</v>
      </c>
    </row>
    <row r="28" spans="2:17">
      <c r="B28" s="807">
        <f>'10.bâtiments'!C374</f>
        <v>0.64886242138642147</v>
      </c>
      <c r="C28" s="281">
        <v>0.31</v>
      </c>
      <c r="D28" s="808">
        <f>E28*B28/C28</f>
        <v>1.3186558886240178</v>
      </c>
      <c r="E28" s="809">
        <v>0.63</v>
      </c>
    </row>
    <row r="31" spans="2:17">
      <c r="B31" s="98" t="s">
        <v>964</v>
      </c>
    </row>
    <row r="33" spans="2:14" ht="43.2">
      <c r="B33" s="803" t="s">
        <v>965</v>
      </c>
      <c r="C33" s="804" t="s">
        <v>960</v>
      </c>
      <c r="D33" s="804" t="s">
        <v>966</v>
      </c>
      <c r="E33" s="805" t="s">
        <v>962</v>
      </c>
    </row>
    <row r="34" spans="2:14">
      <c r="B34" s="807">
        <f>'10.bâtiments'!C375</f>
        <v>0.17326780960649774</v>
      </c>
      <c r="C34" s="281">
        <v>0.55000000000000004</v>
      </c>
      <c r="D34" s="808">
        <f>E34*B34/C34</f>
        <v>7.8758095275680784E-2</v>
      </c>
      <c r="E34" s="809">
        <v>0.25</v>
      </c>
    </row>
    <row r="36" spans="2:14">
      <c r="B36" s="98" t="s">
        <v>967</v>
      </c>
    </row>
    <row r="38" spans="2:14" ht="43.2">
      <c r="B38" s="803" t="s">
        <v>968</v>
      </c>
      <c r="C38" s="804" t="s">
        <v>960</v>
      </c>
      <c r="D38" s="804" t="s">
        <v>969</v>
      </c>
      <c r="E38" s="805" t="s">
        <v>962</v>
      </c>
    </row>
    <row r="39" spans="2:14">
      <c r="B39" s="807">
        <f>'10.bâtiments'!C376+'10.bâtiments'!C377</f>
        <v>0.81345213118342352</v>
      </c>
      <c r="C39" s="281">
        <v>0.55000000000000004</v>
      </c>
      <c r="D39" s="808">
        <f>E39*B39/C39</f>
        <v>0.36975096871973795</v>
      </c>
      <c r="E39" s="809">
        <v>0.25</v>
      </c>
    </row>
    <row r="41" spans="2:14">
      <c r="B41" s="98" t="s">
        <v>244</v>
      </c>
      <c r="N41" s="253"/>
    </row>
    <row r="42" spans="2:14">
      <c r="B42" s="178"/>
      <c r="N42" s="253"/>
    </row>
    <row r="43" spans="2:14">
      <c r="B43" s="234" t="s">
        <v>123</v>
      </c>
      <c r="N43" s="253"/>
    </row>
    <row r="44" spans="2:14">
      <c r="B44" t="s">
        <v>970</v>
      </c>
      <c r="N44" s="253"/>
    </row>
    <row r="45" spans="2:14">
      <c r="N45" s="253"/>
    </row>
    <row r="46" spans="2:14">
      <c r="D46" s="254" t="s">
        <v>129</v>
      </c>
      <c r="E46" s="255" t="s">
        <v>130</v>
      </c>
      <c r="N46" s="253"/>
    </row>
    <row r="47" spans="2:14">
      <c r="B47" s="215" t="s">
        <v>971</v>
      </c>
      <c r="C47" s="256">
        <v>1473600</v>
      </c>
      <c r="D47" s="110" t="s">
        <v>972</v>
      </c>
      <c r="E47" s="257" t="s">
        <v>431</v>
      </c>
      <c r="N47" s="253"/>
    </row>
    <row r="48" spans="2:14">
      <c r="B48" s="119" t="s">
        <v>604</v>
      </c>
      <c r="C48" s="120">
        <f>5951793</f>
        <v>5951793</v>
      </c>
      <c r="D48" s="120"/>
      <c r="E48" s="258" t="s">
        <v>169</v>
      </c>
      <c r="N48" s="253"/>
    </row>
    <row r="49" spans="2:14">
      <c r="N49" s="253"/>
    </row>
    <row r="50" spans="2:14">
      <c r="B50" s="321" t="s">
        <v>973</v>
      </c>
      <c r="N50" s="253"/>
    </row>
    <row r="51" spans="2:14" s="78" customFormat="1">
      <c r="B51" t="s">
        <v>250</v>
      </c>
    </row>
    <row r="52" spans="2:14" s="78" customFormat="1">
      <c r="B52" s="215"/>
      <c r="C52" s="217" t="s">
        <v>251</v>
      </c>
    </row>
    <row r="53" spans="2:14">
      <c r="B53" s="218" t="s">
        <v>252</v>
      </c>
      <c r="C53" s="260">
        <f>'Annexe 2'!C5</f>
        <v>98433.71</v>
      </c>
    </row>
    <row r="54" spans="2:14">
      <c r="B54" s="261" t="s">
        <v>253</v>
      </c>
      <c r="C54" s="260">
        <f>'Annexe 2'!C6</f>
        <v>50086.251713683101</v>
      </c>
    </row>
    <row r="55" spans="2:14">
      <c r="H55" s="98"/>
      <c r="I55" s="98"/>
      <c r="J55" s="98"/>
    </row>
    <row r="56" spans="2:14">
      <c r="H56" s="98"/>
      <c r="I56" s="98"/>
      <c r="J56" s="98"/>
    </row>
    <row r="57" spans="2:14">
      <c r="B57" s="215" t="s">
        <v>974</v>
      </c>
      <c r="C57" s="256">
        <f>C47*(C53+C54)/C48</f>
        <v>36771.946803473074</v>
      </c>
      <c r="D57" s="320" t="s">
        <v>972</v>
      </c>
      <c r="H57" s="98"/>
      <c r="I57" s="98"/>
      <c r="J57" s="98"/>
    </row>
    <row r="58" spans="2:14">
      <c r="B58" s="218" t="s">
        <v>594</v>
      </c>
      <c r="C58" s="110">
        <v>400</v>
      </c>
      <c r="D58" s="271" t="s">
        <v>975</v>
      </c>
      <c r="E58" s="810" t="s">
        <v>172</v>
      </c>
      <c r="H58" s="98"/>
      <c r="I58" s="98"/>
      <c r="J58" s="98"/>
    </row>
    <row r="59" spans="2:14" ht="28.8">
      <c r="B59" s="261" t="s">
        <v>254</v>
      </c>
      <c r="C59" s="811">
        <f>C57*C58/10^9</f>
        <v>1.470877872138923E-2</v>
      </c>
      <c r="D59" s="121" t="s">
        <v>96</v>
      </c>
      <c r="H59" s="98"/>
      <c r="I59" s="98"/>
      <c r="J59" s="98"/>
    </row>
    <row r="60" spans="2:14">
      <c r="B60" s="98"/>
      <c r="K60" s="98"/>
      <c r="L60" s="98"/>
    </row>
    <row r="62" spans="2:14">
      <c r="B62" s="98" t="s">
        <v>976</v>
      </c>
    </row>
    <row r="64" spans="2:14" ht="28.8">
      <c r="B64" s="812" t="s">
        <v>977</v>
      </c>
      <c r="C64" s="813" t="s">
        <v>978</v>
      </c>
    </row>
    <row r="65" spans="2:3">
      <c r="B65" s="228" t="s">
        <v>979</v>
      </c>
      <c r="C65" s="814">
        <f>D39</f>
        <v>0.36975096871973795</v>
      </c>
    </row>
    <row r="66" spans="2:3">
      <c r="B66" s="228" t="s">
        <v>894</v>
      </c>
      <c r="C66" s="814">
        <f>D34</f>
        <v>7.8758095275680784E-2</v>
      </c>
    </row>
    <row r="67" spans="2:3">
      <c r="B67" s="228" t="s">
        <v>370</v>
      </c>
      <c r="C67" s="814">
        <f>D28</f>
        <v>1.3186558886240178</v>
      </c>
    </row>
    <row r="68" spans="2:3">
      <c r="B68" s="815" t="s">
        <v>118</v>
      </c>
      <c r="C68" s="816">
        <f>C59</f>
        <v>1.470877872138923E-2</v>
      </c>
    </row>
    <row r="69" spans="2:3">
      <c r="B69" s="231" t="s">
        <v>696</v>
      </c>
      <c r="C69" s="817">
        <f>SUM(C65:C68)</f>
        <v>1.7818737313408259</v>
      </c>
    </row>
  </sheetData>
  <mergeCells count="19">
    <mergeCell ref="B5:D5"/>
    <mergeCell ref="F5:Q5"/>
    <mergeCell ref="F6:G6"/>
    <mergeCell ref="H6:Q6"/>
    <mergeCell ref="C7:D7"/>
    <mergeCell ref="F7:G8"/>
    <mergeCell ref="H7:Q8"/>
    <mergeCell ref="C8:D8"/>
    <mergeCell ref="C10:D10"/>
    <mergeCell ref="C12:D12"/>
    <mergeCell ref="B14:Q14"/>
    <mergeCell ref="C15:Q15"/>
    <mergeCell ref="C16:Q16"/>
    <mergeCell ref="C21:Q21"/>
    <mergeCell ref="C22:Q22"/>
    <mergeCell ref="C17:Q17"/>
    <mergeCell ref="C18:Q18"/>
    <mergeCell ref="C19:Q19"/>
    <mergeCell ref="C20:Q20"/>
  </mergeCells>
  <conditionalFormatting sqref="C8">
    <cfRule type="containsText" dxfId="521" priority="90" operator="containsText" text="Calcul validé">
      <formula>NOT(ISERROR(SEARCH("Calcul validé",C8)))</formula>
    </cfRule>
  </conditionalFormatting>
  <conditionalFormatting sqref="C8">
    <cfRule type="containsText" dxfId="520" priority="89" operator="containsText" text="Bon ordre de grandeur">
      <formula>NOT(ISERROR(SEARCH("Bon ordre de grandeur",C8)))</formula>
    </cfRule>
  </conditionalFormatting>
  <conditionalFormatting sqref="C8">
    <cfRule type="containsText" dxfId="519" priority="88" operator="containsText" text="Calcul brouillon, ordre de grandeur">
      <formula>NOT(ISERROR(SEARCH("Calcul brouillon, ordre de grandeur",C8)))</formula>
    </cfRule>
  </conditionalFormatting>
  <conditionalFormatting sqref="C8">
    <cfRule type="containsText" dxfId="518" priority="87" operator="containsText" text="Pas ok">
      <formula>NOT(ISERROR(SEARCH("Pas ok",C8)))</formula>
    </cfRule>
  </conditionalFormatting>
  <conditionalFormatting sqref="C8">
    <cfRule type="containsText" dxfId="517" priority="86" operator="containsText" text="Calcul validé">
      <formula>NOT(ISERROR(SEARCH("Calcul validé",C8)))</formula>
    </cfRule>
  </conditionalFormatting>
  <conditionalFormatting sqref="C8">
    <cfRule type="containsText" dxfId="516" priority="85" operator="containsText" text="Calcul validé">
      <formula>NOT(ISERROR(SEARCH("Calcul validé",C8)))</formula>
    </cfRule>
  </conditionalFormatting>
  <conditionalFormatting sqref="C8">
    <cfRule type="containsText" dxfId="515" priority="84" operator="containsText" text="Bon ordre de grandeur">
      <formula>NOT(ISERROR(SEARCH("Bon ordre de grandeur",C8)))</formula>
    </cfRule>
  </conditionalFormatting>
  <conditionalFormatting sqref="C8">
    <cfRule type="containsText" dxfId="514" priority="83" operator="containsText" text="Calcul brouillon, ordre de grandeur">
      <formula>NOT(ISERROR(SEARCH("Calcul brouillon, ordre de grandeur",C8)))</formula>
    </cfRule>
  </conditionalFormatting>
  <conditionalFormatting sqref="C8">
    <cfRule type="containsText" dxfId="513" priority="82" operator="containsText" text="Pas ok">
      <formula>NOT(ISERROR(SEARCH("Pas ok",C8)))</formula>
    </cfRule>
  </conditionalFormatting>
  <conditionalFormatting sqref="C8:D8">
    <cfRule type="containsText" dxfId="512" priority="81" operator="containsText" text="Calcul brouillon, odg">
      <formula>NOT(ISERROR(SEARCH("Calcul brouillon, odg",C8)))</formula>
    </cfRule>
  </conditionalFormatting>
  <conditionalFormatting sqref="C12">
    <cfRule type="containsText" dxfId="511" priority="10" operator="containsText" text="Calcul validé">
      <formula>NOT(ISERROR(SEARCH("Calcul validé",C12)))</formula>
    </cfRule>
  </conditionalFormatting>
  <conditionalFormatting sqref="C12">
    <cfRule type="containsText" dxfId="510" priority="9" operator="containsText" text="Bon ordre de grandeur">
      <formula>NOT(ISERROR(SEARCH("Bon ordre de grandeur",C12)))</formula>
    </cfRule>
  </conditionalFormatting>
  <conditionalFormatting sqref="C12">
    <cfRule type="containsText" dxfId="509" priority="8" operator="containsText" text="Calcul brouillon, ordre de grandeur">
      <formula>NOT(ISERROR(SEARCH("Calcul brouillon, ordre de grandeur",C12)))</formula>
    </cfRule>
  </conditionalFormatting>
  <conditionalFormatting sqref="C12">
    <cfRule type="containsText" dxfId="508" priority="7" operator="containsText" text="Pas ok">
      <formula>NOT(ISERROR(SEARCH("Pas ok",C12)))</formula>
    </cfRule>
  </conditionalFormatting>
  <conditionalFormatting sqref="C12">
    <cfRule type="containsText" dxfId="507" priority="6" operator="containsText" text="Calcul validé">
      <formula>NOT(ISERROR(SEARCH("Calcul validé",C12)))</formula>
    </cfRule>
  </conditionalFormatting>
  <conditionalFormatting sqref="C12">
    <cfRule type="containsText" dxfId="506" priority="5" operator="containsText" text="Calcul validé">
      <formula>NOT(ISERROR(SEARCH("Calcul validé",C12)))</formula>
    </cfRule>
  </conditionalFormatting>
  <conditionalFormatting sqref="C12">
    <cfRule type="containsText" dxfId="505" priority="4" operator="containsText" text="Bon ordre de grandeur">
      <formula>NOT(ISERROR(SEARCH("Bon ordre de grandeur",C12)))</formula>
    </cfRule>
  </conditionalFormatting>
  <conditionalFormatting sqref="C12">
    <cfRule type="containsText" dxfId="504" priority="3" operator="containsText" text="Calcul brouillon, ordre de grandeur">
      <formula>NOT(ISERROR(SEARCH("Calcul brouillon, ordre de grandeur",C12)))</formula>
    </cfRule>
  </conditionalFormatting>
  <conditionalFormatting sqref="C12">
    <cfRule type="containsText" dxfId="503" priority="2" operator="containsText" text="Pas ok">
      <formula>NOT(ISERROR(SEARCH("Pas ok",C12)))</formula>
    </cfRule>
  </conditionalFormatting>
  <conditionalFormatting sqref="C12:D12">
    <cfRule type="containsText" dxfId="502" priority="1" operator="containsText" text="Calcul brouillon, odg">
      <formula>NOT(ISERROR(SEARCH("Calcul brouillon, odg",C12)))</formula>
    </cfRule>
  </conditionalFormatting>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'Annexe 1'!$B$5:$B$8</xm:f>
          </x14:formula1>
          <xm:sqref>C12 C8</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39">
    <tabColor theme="7" tint="0.39997558519241921"/>
  </sheetPr>
  <dimension ref="B2:Q49"/>
  <sheetViews>
    <sheetView zoomScale="69" workbookViewId="0">
      <pane ySplit="2" topLeftCell="A3" activePane="bottomLeft" state="frozen"/>
      <selection activeCell="A19" sqref="A19:XFD19"/>
      <selection pane="bottomLeft"/>
    </sheetView>
  </sheetViews>
  <sheetFormatPr baseColWidth="10" defaultRowHeight="14.4"/>
  <cols>
    <col min="2" max="2" width="40.77734375" customWidth="1"/>
    <col min="3" max="3" width="27.44140625" customWidth="1"/>
    <col min="4" max="4" width="18.44140625" customWidth="1"/>
    <col min="5" max="5" width="21.109375" customWidth="1"/>
    <col min="11" max="11" width="18.109375" customWidth="1"/>
    <col min="13" max="13" width="11.44140625" bestFit="1" customWidth="1"/>
  </cols>
  <sheetData>
    <row r="2" spans="2:17" ht="18">
      <c r="B2" s="57" t="s">
        <v>980</v>
      </c>
    </row>
    <row r="5" spans="2:17">
      <c r="B5" s="1297" t="s">
        <v>90</v>
      </c>
      <c r="C5" s="1298"/>
      <c r="D5" s="1299"/>
      <c r="F5" s="1300" t="s">
        <v>63</v>
      </c>
      <c r="G5" s="1301"/>
      <c r="H5" s="1301"/>
      <c r="I5" s="1301"/>
      <c r="J5" s="1301"/>
      <c r="K5" s="1301"/>
      <c r="L5" s="1301"/>
      <c r="M5" s="1301"/>
      <c r="N5" s="1301"/>
      <c r="O5" s="1301"/>
      <c r="P5" s="1301"/>
      <c r="Q5" s="1302"/>
    </row>
    <row r="6" spans="2:17">
      <c r="B6" s="58" t="s">
        <v>64</v>
      </c>
      <c r="C6" s="265">
        <f>C11</f>
        <v>0.3259209465563917</v>
      </c>
      <c r="D6" s="266" t="s">
        <v>65</v>
      </c>
      <c r="F6" s="1303" t="s">
        <v>66</v>
      </c>
      <c r="G6" s="1304"/>
      <c r="H6" s="1305" t="s">
        <v>981</v>
      </c>
      <c r="I6" s="1306"/>
      <c r="J6" s="1306"/>
      <c r="K6" s="1306"/>
      <c r="L6" s="1306"/>
      <c r="M6" s="1306"/>
      <c r="N6" s="1306"/>
      <c r="O6" s="1306"/>
      <c r="P6" s="1306"/>
      <c r="Q6" s="1307"/>
    </row>
    <row r="7" spans="2:17">
      <c r="B7" s="61" t="s">
        <v>68</v>
      </c>
      <c r="C7" s="1287" t="e">
        <f>#REF!</f>
        <v>#REF!</v>
      </c>
      <c r="D7" s="1288"/>
      <c r="F7" s="1308" t="s">
        <v>69</v>
      </c>
      <c r="G7" s="1309"/>
      <c r="H7" s="1312" t="s">
        <v>982</v>
      </c>
      <c r="I7" s="1313"/>
      <c r="J7" s="1313"/>
      <c r="K7" s="1313"/>
      <c r="L7" s="1313"/>
      <c r="M7" s="1313"/>
      <c r="N7" s="1313"/>
      <c r="O7" s="1313"/>
      <c r="P7" s="1313"/>
      <c r="Q7" s="1314"/>
    </row>
    <row r="8" spans="2:17">
      <c r="B8" s="63" t="s">
        <v>28</v>
      </c>
      <c r="C8" s="1289" t="s">
        <v>742</v>
      </c>
      <c r="D8" s="1290"/>
      <c r="F8" s="1310"/>
      <c r="G8" s="1311"/>
      <c r="H8" s="1315"/>
      <c r="I8" s="1316"/>
      <c r="J8" s="1316"/>
      <c r="K8" s="1316"/>
      <c r="L8" s="1316"/>
      <c r="M8" s="1316"/>
      <c r="N8" s="1316"/>
      <c r="O8" s="1316"/>
      <c r="P8" s="1316"/>
      <c r="Q8" s="1317"/>
    </row>
    <row r="10" spans="2:17">
      <c r="B10" s="64" t="s">
        <v>93</v>
      </c>
      <c r="C10" s="1287" t="s">
        <v>94</v>
      </c>
      <c r="D10" s="1288"/>
      <c r="E10" s="65"/>
      <c r="F10" s="65"/>
      <c r="G10" s="65"/>
      <c r="H10" s="65"/>
      <c r="I10" s="65"/>
      <c r="J10" s="65"/>
      <c r="K10" s="65"/>
      <c r="L10" s="65"/>
      <c r="M10" s="65"/>
      <c r="N10" s="65"/>
      <c r="O10" s="65"/>
      <c r="P10" s="65"/>
      <c r="Q10" s="66"/>
    </row>
    <row r="11" spans="2:17">
      <c r="B11" s="67" t="s">
        <v>95</v>
      </c>
      <c r="C11" s="666">
        <f>C49</f>
        <v>0.3259209465563917</v>
      </c>
      <c r="D11" s="69" t="s">
        <v>96</v>
      </c>
      <c r="E11" s="70"/>
      <c r="F11" s="70"/>
      <c r="G11" s="70"/>
      <c r="H11" s="70"/>
      <c r="I11" s="70"/>
      <c r="J11" s="70"/>
      <c r="K11" s="70"/>
      <c r="L11" s="70"/>
      <c r="M11" s="70"/>
      <c r="N11" s="70"/>
      <c r="O11" s="70"/>
      <c r="P11" s="70"/>
      <c r="Q11" s="71"/>
    </row>
    <row r="12" spans="2:17">
      <c r="B12" s="72" t="s">
        <v>97</v>
      </c>
      <c r="C12" s="1289" t="s">
        <v>742</v>
      </c>
      <c r="D12" s="1290"/>
      <c r="E12" s="70"/>
      <c r="F12" s="70"/>
      <c r="G12" s="70"/>
      <c r="H12" s="70"/>
      <c r="I12" s="70"/>
      <c r="J12" s="70"/>
      <c r="K12" s="70"/>
      <c r="L12" s="70"/>
      <c r="M12" s="70"/>
      <c r="N12" s="70"/>
      <c r="O12" s="70"/>
      <c r="P12" s="70"/>
      <c r="Q12" s="71"/>
    </row>
    <row r="13" spans="2:17">
      <c r="B13" s="73"/>
      <c r="C13" s="74"/>
      <c r="D13" s="74"/>
      <c r="E13" s="74"/>
      <c r="F13" s="74"/>
      <c r="G13" s="74"/>
      <c r="H13" s="74"/>
      <c r="I13" s="74"/>
      <c r="J13" s="74"/>
      <c r="K13" s="74"/>
      <c r="L13" s="74"/>
      <c r="M13" s="74"/>
      <c r="N13" s="74"/>
      <c r="O13" s="74"/>
      <c r="P13" s="74"/>
      <c r="Q13" s="75"/>
    </row>
    <row r="14" spans="2:17">
      <c r="B14" s="1291" t="s">
        <v>71</v>
      </c>
      <c r="C14" s="1292"/>
      <c r="D14" s="1292"/>
      <c r="E14" s="1292"/>
      <c r="F14" s="1292"/>
      <c r="G14" s="1292"/>
      <c r="H14" s="1292"/>
      <c r="I14" s="1292"/>
      <c r="J14" s="1292"/>
      <c r="K14" s="1292"/>
      <c r="L14" s="1292"/>
      <c r="M14" s="1292"/>
      <c r="N14" s="1292"/>
      <c r="O14" s="1292"/>
      <c r="P14" s="1292"/>
      <c r="Q14" s="1293"/>
    </row>
    <row r="15" spans="2:17" ht="72" customHeight="1">
      <c r="B15" s="76" t="s">
        <v>72</v>
      </c>
      <c r="C15" s="1294" t="s">
        <v>983</v>
      </c>
      <c r="D15" s="1295"/>
      <c r="E15" s="1295"/>
      <c r="F15" s="1295"/>
      <c r="G15" s="1295"/>
      <c r="H15" s="1295"/>
      <c r="I15" s="1295"/>
      <c r="J15" s="1295"/>
      <c r="K15" s="1295"/>
      <c r="L15" s="1295"/>
      <c r="M15" s="1295"/>
      <c r="N15" s="1295"/>
      <c r="O15" s="1295"/>
      <c r="P15" s="1295"/>
      <c r="Q15" s="1296"/>
    </row>
    <row r="16" spans="2:17" ht="24" customHeight="1">
      <c r="B16" s="77" t="s">
        <v>74</v>
      </c>
      <c r="C16" s="1275" t="s">
        <v>984</v>
      </c>
      <c r="D16" s="1276"/>
      <c r="E16" s="1276"/>
      <c r="F16" s="1276"/>
      <c r="G16" s="1276"/>
      <c r="H16" s="1276"/>
      <c r="I16" s="1276"/>
      <c r="J16" s="1276"/>
      <c r="K16" s="1276"/>
      <c r="L16" s="1276"/>
      <c r="M16" s="1276"/>
      <c r="N16" s="1276"/>
      <c r="O16" s="1276"/>
      <c r="P16" s="1276"/>
      <c r="Q16" s="1277"/>
    </row>
    <row r="17" spans="2:17" ht="76.95" customHeight="1">
      <c r="B17" s="77" t="s">
        <v>76</v>
      </c>
      <c r="C17" s="1275" t="s">
        <v>985</v>
      </c>
      <c r="D17" s="1276"/>
      <c r="E17" s="1276"/>
      <c r="F17" s="1276"/>
      <c r="G17" s="1276"/>
      <c r="H17" s="1276"/>
      <c r="I17" s="1276"/>
      <c r="J17" s="1276"/>
      <c r="K17" s="1276"/>
      <c r="L17" s="1276"/>
      <c r="M17" s="1276"/>
      <c r="N17" s="1276"/>
      <c r="O17" s="1276"/>
      <c r="P17" s="1276"/>
      <c r="Q17" s="1277"/>
    </row>
    <row r="18" spans="2:17" ht="19.05" customHeight="1">
      <c r="B18" s="77" t="s">
        <v>78</v>
      </c>
      <c r="C18" s="1275" t="s">
        <v>954</v>
      </c>
      <c r="D18" s="1276"/>
      <c r="E18" s="1276"/>
      <c r="F18" s="1276"/>
      <c r="G18" s="1276"/>
      <c r="H18" s="1276"/>
      <c r="I18" s="1276"/>
      <c r="J18" s="1276"/>
      <c r="K18" s="1276"/>
      <c r="L18" s="1276"/>
      <c r="M18" s="1276"/>
      <c r="N18" s="1276"/>
      <c r="O18" s="1276"/>
      <c r="P18" s="1276"/>
      <c r="Q18" s="1277"/>
    </row>
    <row r="19" spans="2:17" ht="30" customHeight="1">
      <c r="B19" s="77" t="s">
        <v>82</v>
      </c>
      <c r="C19" s="1275" t="s">
        <v>986</v>
      </c>
      <c r="D19" s="1276"/>
      <c r="E19" s="1276"/>
      <c r="F19" s="1276"/>
      <c r="G19" s="1276"/>
      <c r="H19" s="1276"/>
      <c r="I19" s="1276"/>
      <c r="J19" s="1276"/>
      <c r="K19" s="1276"/>
      <c r="L19" s="1276"/>
      <c r="M19" s="1276"/>
      <c r="N19" s="1276"/>
      <c r="O19" s="1276"/>
      <c r="P19" s="1276"/>
      <c r="Q19" s="1277"/>
    </row>
    <row r="20" spans="2:17">
      <c r="B20" s="77" t="s">
        <v>84</v>
      </c>
      <c r="C20" s="1275" t="s">
        <v>956</v>
      </c>
      <c r="D20" s="1276"/>
      <c r="E20" s="1276"/>
      <c r="F20" s="1276"/>
      <c r="G20" s="1276"/>
      <c r="H20" s="1276"/>
      <c r="I20" s="1276"/>
      <c r="J20" s="1276"/>
      <c r="K20" s="1276"/>
      <c r="L20" s="1276"/>
      <c r="M20" s="1276"/>
      <c r="N20" s="1276"/>
      <c r="O20" s="1276"/>
      <c r="P20" s="1276"/>
      <c r="Q20" s="1277"/>
    </row>
    <row r="21" spans="2:17" ht="16.05" customHeight="1">
      <c r="B21" s="77" t="s">
        <v>86</v>
      </c>
      <c r="C21" s="1275" t="s">
        <v>987</v>
      </c>
      <c r="D21" s="1276"/>
      <c r="E21" s="1276"/>
      <c r="F21" s="1276"/>
      <c r="G21" s="1276"/>
      <c r="H21" s="1276"/>
      <c r="I21" s="1276"/>
      <c r="J21" s="1276"/>
      <c r="K21" s="1276"/>
      <c r="L21" s="1276"/>
      <c r="M21" s="1276"/>
      <c r="N21" s="1276"/>
      <c r="O21" s="1276"/>
      <c r="P21" s="1276"/>
      <c r="Q21" s="1277"/>
    </row>
    <row r="22" spans="2:17">
      <c r="B22" s="79" t="s">
        <v>88</v>
      </c>
      <c r="C22" s="1279">
        <v>44900</v>
      </c>
      <c r="D22" s="1280"/>
      <c r="E22" s="1280"/>
      <c r="F22" s="1280"/>
      <c r="G22" s="1280"/>
      <c r="H22" s="1280"/>
      <c r="I22" s="1280"/>
      <c r="J22" s="1280"/>
      <c r="K22" s="1280"/>
      <c r="L22" s="1280"/>
      <c r="M22" s="1280"/>
      <c r="N22" s="1280"/>
      <c r="O22" s="1280"/>
      <c r="P22" s="1280"/>
      <c r="Q22" s="1281"/>
    </row>
    <row r="25" spans="2:17">
      <c r="B25" s="98" t="s">
        <v>988</v>
      </c>
    </row>
    <row r="27" spans="2:17" ht="57.6">
      <c r="B27" s="803" t="s">
        <v>989</v>
      </c>
      <c r="C27" s="804" t="s">
        <v>960</v>
      </c>
      <c r="D27" s="804" t="s">
        <v>990</v>
      </c>
      <c r="E27" s="805" t="s">
        <v>991</v>
      </c>
      <c r="G27" s="806" t="s">
        <v>963</v>
      </c>
    </row>
    <row r="28" spans="2:17">
      <c r="B28" s="807">
        <f>'10.bâtiments'!C374</f>
        <v>0.64886242138642147</v>
      </c>
      <c r="C28" s="281">
        <v>0.31</v>
      </c>
      <c r="D28" s="808">
        <f>E28*B28/C28</f>
        <v>0.14651732095822423</v>
      </c>
      <c r="E28" s="809">
        <v>7.0000000000000007E-2</v>
      </c>
    </row>
    <row r="31" spans="2:17">
      <c r="B31" s="98" t="s">
        <v>992</v>
      </c>
    </row>
    <row r="33" spans="2:5" ht="57.6">
      <c r="B33" s="803" t="s">
        <v>993</v>
      </c>
      <c r="C33" s="804" t="s">
        <v>960</v>
      </c>
      <c r="D33" s="804" t="s">
        <v>994</v>
      </c>
      <c r="E33" s="805" t="s">
        <v>991</v>
      </c>
    </row>
    <row r="34" spans="2:5">
      <c r="B34" s="807">
        <f>'10.bâtiments'!C375</f>
        <v>0.17326780960649774</v>
      </c>
      <c r="C34" s="281">
        <v>0.55000000000000004</v>
      </c>
      <c r="D34" s="808">
        <f>E34*B34/C34</f>
        <v>3.1503238110272315E-2</v>
      </c>
      <c r="E34" s="809">
        <v>0.1</v>
      </c>
    </row>
    <row r="37" spans="2:5">
      <c r="B37" s="98" t="s">
        <v>995</v>
      </c>
    </row>
    <row r="39" spans="2:5" ht="43.2">
      <c r="B39" s="803" t="s">
        <v>996</v>
      </c>
      <c r="C39" s="804" t="s">
        <v>960</v>
      </c>
      <c r="D39" s="804" t="s">
        <v>997</v>
      </c>
      <c r="E39" s="805" t="s">
        <v>991</v>
      </c>
    </row>
    <row r="40" spans="2:5">
      <c r="B40" s="807">
        <f>'10.bâtiments'!C376+'10.bâtiments'!C377</f>
        <v>0.81345213118342352</v>
      </c>
      <c r="C40" s="281">
        <v>0.55000000000000004</v>
      </c>
      <c r="D40" s="808">
        <f>E40*B40/C40</f>
        <v>0.14790038748789519</v>
      </c>
      <c r="E40" s="809">
        <v>0.1</v>
      </c>
    </row>
    <row r="43" spans="2:5">
      <c r="B43" s="98" t="s">
        <v>998</v>
      </c>
    </row>
    <row r="45" spans="2:5" ht="28.8">
      <c r="B45" s="818" t="s">
        <v>977</v>
      </c>
      <c r="C45" s="819" t="s">
        <v>978</v>
      </c>
    </row>
    <row r="46" spans="2:5">
      <c r="B46" s="820" t="s">
        <v>979</v>
      </c>
      <c r="C46" s="821">
        <f>D40</f>
        <v>0.14790038748789519</v>
      </c>
    </row>
    <row r="47" spans="2:5">
      <c r="B47" s="820" t="s">
        <v>894</v>
      </c>
      <c r="C47" s="821">
        <f>D34</f>
        <v>3.1503238110272315E-2</v>
      </c>
    </row>
    <row r="48" spans="2:5">
      <c r="B48" s="820" t="s">
        <v>370</v>
      </c>
      <c r="C48" s="821">
        <f>D28</f>
        <v>0.14651732095822423</v>
      </c>
    </row>
    <row r="49" spans="2:3">
      <c r="B49" s="822" t="s">
        <v>696</v>
      </c>
      <c r="C49" s="823">
        <f>SUM(C46:C48)</f>
        <v>0.3259209465563917</v>
      </c>
    </row>
  </sheetData>
  <mergeCells count="19">
    <mergeCell ref="B5:D5"/>
    <mergeCell ref="F5:Q5"/>
    <mergeCell ref="F6:G6"/>
    <mergeCell ref="H6:Q6"/>
    <mergeCell ref="C7:D7"/>
    <mergeCell ref="F7:G8"/>
    <mergeCell ref="H7:Q8"/>
    <mergeCell ref="C8:D8"/>
    <mergeCell ref="C10:D10"/>
    <mergeCell ref="C12:D12"/>
    <mergeCell ref="B14:Q14"/>
    <mergeCell ref="C15:Q15"/>
    <mergeCell ref="C16:Q16"/>
    <mergeCell ref="C21:Q21"/>
    <mergeCell ref="C22:Q22"/>
    <mergeCell ref="C17:Q17"/>
    <mergeCell ref="C18:Q18"/>
    <mergeCell ref="C19:Q19"/>
    <mergeCell ref="C20:Q20"/>
  </mergeCells>
  <conditionalFormatting sqref="C8">
    <cfRule type="containsText" dxfId="501" priority="60" operator="containsText" text="Calcul validé">
      <formula>NOT(ISERROR(SEARCH("Calcul validé",C8)))</formula>
    </cfRule>
  </conditionalFormatting>
  <conditionalFormatting sqref="C8">
    <cfRule type="containsText" dxfId="500" priority="59" operator="containsText" text="Bon ordre de grandeur">
      <formula>NOT(ISERROR(SEARCH("Bon ordre de grandeur",C8)))</formula>
    </cfRule>
  </conditionalFormatting>
  <conditionalFormatting sqref="C8">
    <cfRule type="containsText" dxfId="499" priority="58" operator="containsText" text="Calcul brouillon, ordre de grandeur">
      <formula>NOT(ISERROR(SEARCH("Calcul brouillon, ordre de grandeur",C8)))</formula>
    </cfRule>
  </conditionalFormatting>
  <conditionalFormatting sqref="C8">
    <cfRule type="containsText" dxfId="498" priority="57" operator="containsText" text="Pas ok">
      <formula>NOT(ISERROR(SEARCH("Pas ok",C8)))</formula>
    </cfRule>
  </conditionalFormatting>
  <conditionalFormatting sqref="C8">
    <cfRule type="containsText" dxfId="497" priority="56" operator="containsText" text="Calcul validé">
      <formula>NOT(ISERROR(SEARCH("Calcul validé",C8)))</formula>
    </cfRule>
  </conditionalFormatting>
  <conditionalFormatting sqref="C8">
    <cfRule type="containsText" dxfId="496" priority="55" operator="containsText" text="Calcul validé">
      <formula>NOT(ISERROR(SEARCH("Calcul validé",C8)))</formula>
    </cfRule>
  </conditionalFormatting>
  <conditionalFormatting sqref="C8">
    <cfRule type="containsText" dxfId="495" priority="54" operator="containsText" text="Bon ordre de grandeur">
      <formula>NOT(ISERROR(SEARCH("Bon ordre de grandeur",C8)))</formula>
    </cfRule>
  </conditionalFormatting>
  <conditionalFormatting sqref="C8">
    <cfRule type="containsText" dxfId="494" priority="53" operator="containsText" text="Calcul brouillon, ordre de grandeur">
      <formula>NOT(ISERROR(SEARCH("Calcul brouillon, ordre de grandeur",C8)))</formula>
    </cfRule>
  </conditionalFormatting>
  <conditionalFormatting sqref="C8">
    <cfRule type="containsText" dxfId="493" priority="52" operator="containsText" text="Pas ok">
      <formula>NOT(ISERROR(SEARCH("Pas ok",C8)))</formula>
    </cfRule>
  </conditionalFormatting>
  <conditionalFormatting sqref="C8:D8">
    <cfRule type="containsText" dxfId="492" priority="51" operator="containsText" text="Calcul brouillon, odg">
      <formula>NOT(ISERROR(SEARCH("Calcul brouillon, odg",C8)))</formula>
    </cfRule>
  </conditionalFormatting>
  <conditionalFormatting sqref="C12">
    <cfRule type="containsText" dxfId="491" priority="10" operator="containsText" text="Calcul validé">
      <formula>NOT(ISERROR(SEARCH("Calcul validé",C12)))</formula>
    </cfRule>
  </conditionalFormatting>
  <conditionalFormatting sqref="C12">
    <cfRule type="containsText" dxfId="490" priority="9" operator="containsText" text="Bon ordre de grandeur">
      <formula>NOT(ISERROR(SEARCH("Bon ordre de grandeur",C12)))</formula>
    </cfRule>
  </conditionalFormatting>
  <conditionalFormatting sqref="C12">
    <cfRule type="containsText" dxfId="489" priority="8" operator="containsText" text="Calcul brouillon, ordre de grandeur">
      <formula>NOT(ISERROR(SEARCH("Calcul brouillon, ordre de grandeur",C12)))</formula>
    </cfRule>
  </conditionalFormatting>
  <conditionalFormatting sqref="C12">
    <cfRule type="containsText" dxfId="488" priority="7" operator="containsText" text="Pas ok">
      <formula>NOT(ISERROR(SEARCH("Pas ok",C12)))</formula>
    </cfRule>
  </conditionalFormatting>
  <conditionalFormatting sqref="C12">
    <cfRule type="containsText" dxfId="487" priority="6" operator="containsText" text="Calcul validé">
      <formula>NOT(ISERROR(SEARCH("Calcul validé",C12)))</formula>
    </cfRule>
  </conditionalFormatting>
  <conditionalFormatting sqref="C12">
    <cfRule type="containsText" dxfId="486" priority="5" operator="containsText" text="Calcul validé">
      <formula>NOT(ISERROR(SEARCH("Calcul validé",C12)))</formula>
    </cfRule>
  </conditionalFormatting>
  <conditionalFormatting sqref="C12">
    <cfRule type="containsText" dxfId="485" priority="4" operator="containsText" text="Bon ordre de grandeur">
      <formula>NOT(ISERROR(SEARCH("Bon ordre de grandeur",C12)))</formula>
    </cfRule>
  </conditionalFormatting>
  <conditionalFormatting sqref="C12">
    <cfRule type="containsText" dxfId="484" priority="3" operator="containsText" text="Calcul brouillon, ordre de grandeur">
      <formula>NOT(ISERROR(SEARCH("Calcul brouillon, ordre de grandeur",C12)))</formula>
    </cfRule>
  </conditionalFormatting>
  <conditionalFormatting sqref="C12">
    <cfRule type="containsText" dxfId="483" priority="2" operator="containsText" text="Pas ok">
      <formula>NOT(ISERROR(SEARCH("Pas ok",C12)))</formula>
    </cfRule>
  </conditionalFormatting>
  <conditionalFormatting sqref="C12:D12">
    <cfRule type="containsText" dxfId="482" priority="1" operator="containsText" text="Calcul brouillon, odg">
      <formula>NOT(ISERROR(SEARCH("Calcul brouillon, odg",C12)))</formula>
    </cfRule>
  </conditionalFormatting>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'Annexe 1'!$B$5:$B$8</xm:f>
          </x14:formula1>
          <xm:sqref>C8 C12</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40">
    <tabColor rgb="FF00B0F0"/>
  </sheetPr>
  <dimension ref="B2:S174"/>
  <sheetViews>
    <sheetView zoomScale="60" workbookViewId="0">
      <pane ySplit="2" topLeftCell="A3" activePane="bottomLeft" state="frozen"/>
      <selection activeCell="C16" sqref="C16:Q16"/>
      <selection pane="bottomLeft"/>
    </sheetView>
  </sheetViews>
  <sheetFormatPr baseColWidth="10" defaultColWidth="11.44140625" defaultRowHeight="14.4"/>
  <cols>
    <col min="2" max="2" width="48.77734375" customWidth="1"/>
    <col min="3" max="3" width="24" customWidth="1"/>
    <col min="4" max="4" width="17.77734375" customWidth="1"/>
    <col min="5" max="5" width="16.44140625" customWidth="1"/>
    <col min="6" max="6" width="19.77734375" customWidth="1"/>
    <col min="7" max="7" width="17.44140625" customWidth="1"/>
    <col min="8" max="8" width="13.44140625" customWidth="1"/>
    <col min="10" max="10" width="16.44140625" customWidth="1"/>
    <col min="11" max="11" width="18.44140625" customWidth="1"/>
    <col min="12" max="12" width="17.44140625" customWidth="1"/>
    <col min="13" max="13" width="21.44140625" customWidth="1"/>
    <col min="14" max="14" width="19.44140625" customWidth="1"/>
  </cols>
  <sheetData>
    <row r="2" spans="2:17" ht="18">
      <c r="B2" s="57" t="s">
        <v>39</v>
      </c>
    </row>
    <row r="5" spans="2:17">
      <c r="B5" s="1297" t="s">
        <v>90</v>
      </c>
      <c r="C5" s="1298"/>
      <c r="D5" s="1299"/>
      <c r="F5" s="1300" t="s">
        <v>63</v>
      </c>
      <c r="G5" s="1301"/>
      <c r="H5" s="1301"/>
      <c r="I5" s="1301"/>
      <c r="J5" s="1301"/>
      <c r="K5" s="1301"/>
      <c r="L5" s="1301"/>
      <c r="M5" s="1301"/>
      <c r="N5" s="1301"/>
      <c r="O5" s="1301"/>
      <c r="P5" s="1301"/>
      <c r="Q5" s="1302"/>
    </row>
    <row r="6" spans="2:17" ht="45" customHeight="1">
      <c r="B6" s="58" t="s">
        <v>64</v>
      </c>
      <c r="C6" s="824">
        <f>C11</f>
        <v>0.28033973337519469</v>
      </c>
      <c r="D6" s="60" t="s">
        <v>65</v>
      </c>
      <c r="F6" s="1303" t="s">
        <v>66</v>
      </c>
      <c r="G6" s="1304"/>
      <c r="H6" s="1305" t="s">
        <v>999</v>
      </c>
      <c r="I6" s="1306"/>
      <c r="J6" s="1306"/>
      <c r="K6" s="1306"/>
      <c r="L6" s="1306"/>
      <c r="M6" s="1306"/>
      <c r="N6" s="1306"/>
      <c r="O6" s="1306"/>
      <c r="P6" s="1306"/>
      <c r="Q6" s="1307"/>
    </row>
    <row r="7" spans="2:17" ht="29.25" customHeight="1">
      <c r="B7" s="61" t="s">
        <v>68</v>
      </c>
      <c r="C7" s="1344" t="str">
        <f>C10</f>
        <v>v1.2</v>
      </c>
      <c r="D7" s="1345"/>
      <c r="F7" s="1308" t="s">
        <v>69</v>
      </c>
      <c r="G7" s="1309"/>
      <c r="H7" s="1312" t="s">
        <v>1000</v>
      </c>
      <c r="I7" s="1313"/>
      <c r="J7" s="1313"/>
      <c r="K7" s="1313"/>
      <c r="L7" s="1313"/>
      <c r="M7" s="1313"/>
      <c r="N7" s="1313"/>
      <c r="O7" s="1313"/>
      <c r="P7" s="1313"/>
      <c r="Q7" s="1314"/>
    </row>
    <row r="8" spans="2:17" ht="36" customHeight="1">
      <c r="B8" s="63" t="s">
        <v>28</v>
      </c>
      <c r="C8" s="1318" t="str">
        <f>C12</f>
        <v>Bon ordre de grandeur</v>
      </c>
      <c r="D8" s="1319"/>
      <c r="F8" s="1310"/>
      <c r="G8" s="1311"/>
      <c r="H8" s="1315"/>
      <c r="I8" s="1316"/>
      <c r="J8" s="1316"/>
      <c r="K8" s="1316"/>
      <c r="L8" s="1316"/>
      <c r="M8" s="1316"/>
      <c r="N8" s="1316"/>
      <c r="O8" s="1316"/>
      <c r="P8" s="1316"/>
      <c r="Q8" s="1317"/>
    </row>
    <row r="10" spans="2:17">
      <c r="B10" s="64" t="s">
        <v>93</v>
      </c>
      <c r="C10" s="1287" t="s">
        <v>1001</v>
      </c>
      <c r="D10" s="1288"/>
      <c r="E10" s="65"/>
      <c r="F10" s="65"/>
      <c r="G10" s="65"/>
      <c r="H10" s="65"/>
      <c r="I10" s="65"/>
      <c r="J10" s="65"/>
      <c r="K10" s="65"/>
      <c r="L10" s="65"/>
      <c r="M10" s="65"/>
      <c r="N10" s="65"/>
      <c r="O10" s="65"/>
      <c r="P10" s="65"/>
      <c r="Q10" s="66"/>
    </row>
    <row r="11" spans="2:17">
      <c r="B11" s="67" t="s">
        <v>95</v>
      </c>
      <c r="C11" s="532">
        <f>C174</f>
        <v>0.28033973337519469</v>
      </c>
      <c r="D11" s="69" t="s">
        <v>96</v>
      </c>
      <c r="E11" s="70"/>
      <c r="F11" s="70"/>
      <c r="G11" s="70"/>
      <c r="H11" s="70"/>
      <c r="I11" s="70"/>
      <c r="J11" s="70"/>
      <c r="K11" s="70"/>
      <c r="L11" s="70"/>
      <c r="M11" s="70"/>
      <c r="N11" s="70"/>
      <c r="O11" s="70"/>
      <c r="P11" s="70"/>
      <c r="Q11" s="71"/>
    </row>
    <row r="12" spans="2:17">
      <c r="B12" s="72" t="s">
        <v>97</v>
      </c>
      <c r="C12" s="1289" t="s">
        <v>98</v>
      </c>
      <c r="D12" s="1290"/>
      <c r="E12" s="70"/>
      <c r="F12" s="70"/>
      <c r="G12" s="70"/>
      <c r="H12" s="70"/>
      <c r="I12" s="70"/>
      <c r="J12" s="70"/>
      <c r="K12" s="70"/>
      <c r="L12" s="70"/>
      <c r="M12" s="70"/>
      <c r="N12" s="70"/>
      <c r="O12" s="70"/>
      <c r="P12" s="70"/>
      <c r="Q12" s="71"/>
    </row>
    <row r="13" spans="2:17">
      <c r="B13" s="73"/>
      <c r="C13" s="74"/>
      <c r="D13" s="74"/>
      <c r="E13" s="74"/>
      <c r="F13" s="74"/>
      <c r="G13" s="74"/>
      <c r="H13" s="74"/>
      <c r="I13" s="74"/>
      <c r="J13" s="74"/>
      <c r="K13" s="74"/>
      <c r="L13" s="74"/>
      <c r="M13" s="74"/>
      <c r="N13" s="74"/>
      <c r="O13" s="74"/>
      <c r="P13" s="74"/>
      <c r="Q13" s="75"/>
    </row>
    <row r="14" spans="2:17">
      <c r="B14" s="1351" t="s">
        <v>71</v>
      </c>
      <c r="C14" s="1352"/>
      <c r="D14" s="1352"/>
      <c r="E14" s="1352"/>
      <c r="F14" s="1352"/>
      <c r="G14" s="1352"/>
      <c r="H14" s="1352"/>
      <c r="I14" s="1352"/>
      <c r="J14" s="1352"/>
      <c r="K14" s="1352"/>
      <c r="L14" s="1352"/>
      <c r="M14" s="1352"/>
      <c r="N14" s="1352"/>
      <c r="O14" s="1352"/>
      <c r="P14" s="1352"/>
      <c r="Q14" s="1353"/>
    </row>
    <row r="15" spans="2:17" ht="63" customHeight="1">
      <c r="B15" s="76" t="s">
        <v>72</v>
      </c>
      <c r="C15" s="1294" t="s">
        <v>1002</v>
      </c>
      <c r="D15" s="1295"/>
      <c r="E15" s="1295"/>
      <c r="F15" s="1295"/>
      <c r="G15" s="1295"/>
      <c r="H15" s="1295"/>
      <c r="I15" s="1295"/>
      <c r="J15" s="1295"/>
      <c r="K15" s="1295"/>
      <c r="L15" s="1295"/>
      <c r="M15" s="1295"/>
      <c r="N15" s="1295"/>
      <c r="O15" s="1295"/>
      <c r="P15" s="1295"/>
      <c r="Q15" s="1296"/>
    </row>
    <row r="16" spans="2:17" ht="187.95" customHeight="1">
      <c r="B16" s="77" t="s">
        <v>74</v>
      </c>
      <c r="C16" s="1275" t="s">
        <v>1003</v>
      </c>
      <c r="D16" s="1276"/>
      <c r="E16" s="1276"/>
      <c r="F16" s="1276"/>
      <c r="G16" s="1276"/>
      <c r="H16" s="1276"/>
      <c r="I16" s="1276"/>
      <c r="J16" s="1276"/>
      <c r="K16" s="1276"/>
      <c r="L16" s="1276"/>
      <c r="M16" s="1276"/>
      <c r="N16" s="1276"/>
      <c r="O16" s="1276"/>
      <c r="P16" s="1276"/>
      <c r="Q16" s="1277"/>
    </row>
    <row r="17" spans="2:19" ht="19.05" customHeight="1">
      <c r="B17" s="77" t="s">
        <v>76</v>
      </c>
      <c r="C17" s="1275" t="s">
        <v>1004</v>
      </c>
      <c r="D17" s="1276"/>
      <c r="E17" s="1276"/>
      <c r="F17" s="1276"/>
      <c r="G17" s="1276"/>
      <c r="H17" s="1276"/>
      <c r="I17" s="1276"/>
      <c r="J17" s="1276"/>
      <c r="K17" s="1276"/>
      <c r="L17" s="1276"/>
      <c r="M17" s="1276"/>
      <c r="N17" s="1276"/>
      <c r="O17" s="1276"/>
      <c r="P17" s="1276"/>
      <c r="Q17" s="1277"/>
    </row>
    <row r="18" spans="2:19" ht="21" customHeight="1">
      <c r="B18" s="77" t="s">
        <v>78</v>
      </c>
      <c r="C18" s="1275" t="s">
        <v>1005</v>
      </c>
      <c r="D18" s="1276"/>
      <c r="E18" s="1276"/>
      <c r="F18" s="1276"/>
      <c r="G18" s="1276"/>
      <c r="H18" s="1276"/>
      <c r="I18" s="1276"/>
      <c r="J18" s="1276"/>
      <c r="K18" s="1276"/>
      <c r="L18" s="1276"/>
      <c r="M18" s="1276"/>
      <c r="N18" s="1276"/>
      <c r="O18" s="1276"/>
      <c r="P18" s="1276"/>
      <c r="Q18" s="1277"/>
    </row>
    <row r="19" spans="2:19">
      <c r="B19" s="77" t="s">
        <v>82</v>
      </c>
      <c r="C19" s="1275" t="s">
        <v>1006</v>
      </c>
      <c r="D19" s="1276"/>
      <c r="E19" s="1276"/>
      <c r="F19" s="1276"/>
      <c r="G19" s="1276"/>
      <c r="H19" s="1276"/>
      <c r="I19" s="1276"/>
      <c r="J19" s="1276"/>
      <c r="K19" s="1276"/>
      <c r="L19" s="1276"/>
      <c r="M19" s="1276"/>
      <c r="N19" s="1276"/>
      <c r="O19" s="1276"/>
      <c r="P19" s="1276"/>
      <c r="Q19" s="1277"/>
    </row>
    <row r="20" spans="2:19">
      <c r="B20" s="77" t="s">
        <v>84</v>
      </c>
      <c r="C20" s="1275" t="s">
        <v>1007</v>
      </c>
      <c r="D20" s="1276"/>
      <c r="E20" s="1276"/>
      <c r="F20" s="1276"/>
      <c r="G20" s="1276"/>
      <c r="H20" s="1276"/>
      <c r="I20" s="1276"/>
      <c r="J20" s="1276"/>
      <c r="K20" s="1276"/>
      <c r="L20" s="1276"/>
      <c r="M20" s="1276"/>
      <c r="N20" s="1276"/>
      <c r="O20" s="1276"/>
      <c r="P20" s="1276"/>
      <c r="Q20" s="1277"/>
    </row>
    <row r="21" spans="2:19" ht="19.05" customHeight="1">
      <c r="B21" s="77" t="s">
        <v>86</v>
      </c>
      <c r="C21" s="1275" t="s">
        <v>98</v>
      </c>
      <c r="D21" s="1276"/>
      <c r="E21" s="1276"/>
      <c r="F21" s="1276"/>
      <c r="G21" s="1276"/>
      <c r="H21" s="1276"/>
      <c r="I21" s="1276"/>
      <c r="J21" s="1276"/>
      <c r="K21" s="1276"/>
      <c r="L21" s="1276"/>
      <c r="M21" s="1276"/>
      <c r="N21" s="1276"/>
      <c r="O21" s="1276"/>
      <c r="P21" s="1276"/>
      <c r="Q21" s="1277"/>
    </row>
    <row r="22" spans="2:19">
      <c r="B22" s="79" t="s">
        <v>88</v>
      </c>
      <c r="C22" s="1279">
        <v>44909</v>
      </c>
      <c r="D22" s="1347"/>
      <c r="E22" s="1347"/>
      <c r="F22" s="1347"/>
      <c r="G22" s="1347"/>
      <c r="H22" s="1347"/>
      <c r="I22" s="1347"/>
      <c r="J22" s="1347"/>
      <c r="K22" s="1347"/>
      <c r="L22" s="1347"/>
      <c r="M22" s="1347"/>
      <c r="N22" s="1347"/>
      <c r="O22" s="1347"/>
      <c r="P22" s="1347"/>
      <c r="Q22" s="1348"/>
    </row>
    <row r="24" spans="2:19">
      <c r="B24" s="82" t="s">
        <v>104</v>
      </c>
      <c r="C24" s="80"/>
      <c r="J24" s="81"/>
      <c r="K24" s="81"/>
      <c r="L24" s="81"/>
      <c r="M24" s="81"/>
      <c r="N24" s="81"/>
      <c r="O24" s="81"/>
      <c r="P24" s="81"/>
      <c r="Q24" s="81"/>
    </row>
    <row r="25" spans="2:19" ht="15" customHeight="1">
      <c r="B25" s="82"/>
      <c r="C25" s="1446" t="s">
        <v>1008</v>
      </c>
      <c r="D25" s="1447"/>
      <c r="E25" s="1447"/>
      <c r="F25" s="1447"/>
      <c r="G25" s="1447"/>
      <c r="H25" s="1284"/>
      <c r="I25" s="1446" t="s">
        <v>1009</v>
      </c>
      <c r="J25" s="1447"/>
      <c r="K25" s="1447"/>
      <c r="L25" s="1447"/>
      <c r="M25" s="1447"/>
      <c r="N25" s="1448"/>
      <c r="O25" s="81"/>
      <c r="P25" s="81"/>
      <c r="Q25" s="81"/>
    </row>
    <row r="26" spans="2:19" ht="45" customHeight="1">
      <c r="B26" s="215" t="s">
        <v>1010</v>
      </c>
      <c r="C26" s="825" t="s">
        <v>1011</v>
      </c>
      <c r="D26" s="825" t="s">
        <v>1012</v>
      </c>
      <c r="E26" s="825" t="s">
        <v>1013</v>
      </c>
      <c r="F26" s="825" t="s">
        <v>1014</v>
      </c>
      <c r="G26" s="825" t="s">
        <v>1015</v>
      </c>
      <c r="H26" s="826" t="s">
        <v>1016</v>
      </c>
      <c r="I26" s="268" t="s">
        <v>1012</v>
      </c>
      <c r="J26" s="825" t="s">
        <v>1013</v>
      </c>
      <c r="K26" s="85" t="s">
        <v>1017</v>
      </c>
      <c r="L26" s="827" t="s">
        <v>1018</v>
      </c>
      <c r="M26" s="827" t="s">
        <v>1015</v>
      </c>
      <c r="N26" s="828" t="s">
        <v>1019</v>
      </c>
      <c r="O26" s="86"/>
      <c r="P26" s="86"/>
      <c r="Q26" s="86"/>
      <c r="R26" s="86"/>
      <c r="S26" s="86"/>
    </row>
    <row r="27" spans="2:19" ht="15" customHeight="1">
      <c r="B27" s="119" t="s">
        <v>1020</v>
      </c>
      <c r="C27" s="829">
        <f>C107</f>
        <v>2.6390166849900001E-2</v>
      </c>
      <c r="D27" s="829">
        <f>D107</f>
        <v>4.4358619999999996E-3</v>
      </c>
      <c r="E27" s="829">
        <f>E107</f>
        <v>2.4740806211099999E-2</v>
      </c>
      <c r="F27" s="829">
        <f>F107</f>
        <v>1.2228062061946901E-3</v>
      </c>
      <c r="G27" s="829">
        <f>C158</f>
        <v>8.8489139199999997E-3</v>
      </c>
      <c r="H27" s="830">
        <f>SUM(C27:G27)</f>
        <v>6.5638555187194692E-2</v>
      </c>
      <c r="I27" s="831">
        <f>C132</f>
        <v>8.283457000000001E-4</v>
      </c>
      <c r="J27" s="829">
        <f>C133</f>
        <v>7.5834199116000006E-2</v>
      </c>
      <c r="K27" s="829">
        <f>C134</f>
        <v>5.2337762581000001E-2</v>
      </c>
      <c r="L27" s="829">
        <f>C135</f>
        <v>7.0050725511000014E-2</v>
      </c>
      <c r="M27" s="832">
        <f>C159</f>
        <v>1.5650145280000003E-2</v>
      </c>
      <c r="N27" s="833">
        <f>SUM(I27:M27)</f>
        <v>0.21470117818800002</v>
      </c>
      <c r="O27" s="86"/>
      <c r="P27" s="86"/>
      <c r="Q27" s="86"/>
      <c r="R27" s="86"/>
      <c r="S27" s="86"/>
    </row>
    <row r="28" spans="2:19">
      <c r="B28" s="80"/>
      <c r="C28" s="80"/>
      <c r="D28" s="81"/>
      <c r="E28" s="81"/>
      <c r="F28" s="81"/>
      <c r="G28" s="81"/>
      <c r="H28" s="81"/>
      <c r="I28" s="81"/>
      <c r="J28" s="81"/>
      <c r="K28" s="81"/>
      <c r="L28" s="81"/>
      <c r="M28" s="81"/>
      <c r="N28" s="81"/>
      <c r="O28" s="81"/>
      <c r="P28" s="81"/>
      <c r="Q28" s="81"/>
    </row>
    <row r="29" spans="2:19" ht="15" customHeight="1">
      <c r="B29" s="82"/>
      <c r="C29" s="1445"/>
      <c r="D29" s="1445"/>
      <c r="E29" s="1445"/>
      <c r="F29" s="1445"/>
      <c r="G29" s="1445"/>
      <c r="H29" s="1445"/>
      <c r="I29" s="1445"/>
      <c r="J29" s="1445"/>
      <c r="K29" s="1445"/>
      <c r="L29" s="1445"/>
      <c r="M29" s="1445"/>
      <c r="N29" s="1445"/>
      <c r="O29" s="81"/>
      <c r="P29" s="81"/>
      <c r="Q29" s="81"/>
    </row>
    <row r="30" spans="2:19" ht="45" customHeight="1">
      <c r="B30" s="215" t="s">
        <v>1010</v>
      </c>
      <c r="C30" s="216" t="s">
        <v>1021</v>
      </c>
      <c r="D30" s="216" t="s">
        <v>1022</v>
      </c>
      <c r="E30" s="217" t="s">
        <v>1015</v>
      </c>
      <c r="F30" s="326"/>
      <c r="G30" s="326"/>
      <c r="H30" s="326"/>
      <c r="I30" s="86"/>
      <c r="J30" s="326"/>
      <c r="K30" s="86"/>
      <c r="L30" s="86"/>
      <c r="M30" s="86"/>
      <c r="N30" s="86"/>
      <c r="O30" s="86"/>
      <c r="P30" s="86"/>
      <c r="Q30" s="86"/>
      <c r="R30" s="86"/>
      <c r="S30" s="86"/>
    </row>
    <row r="31" spans="2:19" ht="15" customHeight="1">
      <c r="B31" s="119" t="s">
        <v>1020</v>
      </c>
      <c r="C31" s="834">
        <f>SUM(C27:F27)</f>
        <v>5.6789641267194692E-2</v>
      </c>
      <c r="D31" s="834">
        <f>SUM(I27:L27)</f>
        <v>0.19905103290800003</v>
      </c>
      <c r="E31" s="444">
        <f>G27+M27</f>
        <v>2.4499059200000003E-2</v>
      </c>
      <c r="M31" s="86"/>
      <c r="N31" s="86"/>
      <c r="O31" s="86"/>
      <c r="P31" s="86"/>
      <c r="Q31" s="86"/>
      <c r="R31" s="86"/>
      <c r="S31" s="86"/>
    </row>
    <row r="32" spans="2:19">
      <c r="B32" s="80"/>
      <c r="C32" s="80"/>
      <c r="D32" s="81"/>
      <c r="E32" s="81"/>
      <c r="F32" s="81"/>
      <c r="G32" s="81"/>
      <c r="H32" s="81"/>
      <c r="I32" s="81"/>
      <c r="J32" s="81"/>
      <c r="K32" s="81"/>
      <c r="L32" s="81"/>
      <c r="M32" s="81"/>
      <c r="N32" s="81"/>
      <c r="O32" s="81"/>
      <c r="P32" s="81"/>
      <c r="Q32" s="81"/>
    </row>
    <row r="33" spans="2:17">
      <c r="B33" s="80"/>
      <c r="D33" s="81"/>
      <c r="E33" s="81"/>
      <c r="F33" s="81"/>
      <c r="G33" s="81"/>
      <c r="H33" s="81"/>
      <c r="I33" s="81"/>
      <c r="J33" s="81"/>
      <c r="K33" s="81"/>
      <c r="L33" s="81"/>
      <c r="M33" s="81"/>
      <c r="N33" s="81"/>
      <c r="O33" s="81"/>
      <c r="P33" s="81"/>
      <c r="Q33" s="81"/>
    </row>
    <row r="34" spans="2:17">
      <c r="B34" s="80"/>
      <c r="D34" s="81"/>
      <c r="E34" s="81"/>
      <c r="F34" s="81"/>
      <c r="G34" s="81"/>
      <c r="H34" s="96"/>
      <c r="I34" s="81"/>
      <c r="J34" s="81"/>
      <c r="K34" s="81"/>
      <c r="L34" s="81"/>
      <c r="M34" s="81"/>
      <c r="N34" s="81"/>
      <c r="O34" s="81"/>
      <c r="P34" s="81"/>
      <c r="Q34" s="81"/>
    </row>
    <row r="35" spans="2:17">
      <c r="D35" s="81"/>
      <c r="E35" s="81"/>
      <c r="F35" s="81"/>
      <c r="G35" s="81"/>
      <c r="H35" s="81"/>
      <c r="I35" s="81"/>
      <c r="J35" s="81"/>
      <c r="K35" s="81"/>
      <c r="L35" s="81"/>
      <c r="M35" s="81"/>
      <c r="N35" s="81"/>
      <c r="O35" s="81"/>
      <c r="P35" s="81"/>
      <c r="Q35" s="81"/>
    </row>
    <row r="36" spans="2:17">
      <c r="D36" s="81"/>
      <c r="E36" s="81"/>
      <c r="F36" s="81"/>
      <c r="G36" s="81"/>
      <c r="H36" s="81"/>
      <c r="I36" s="81"/>
      <c r="J36" s="81"/>
      <c r="K36" s="81"/>
      <c r="L36" s="81"/>
      <c r="M36" s="81"/>
      <c r="N36" s="81"/>
      <c r="O36" s="81"/>
      <c r="P36" s="81"/>
      <c r="Q36" s="81"/>
    </row>
    <row r="37" spans="2:17">
      <c r="D37" s="81"/>
      <c r="E37" s="81"/>
      <c r="F37" s="81"/>
      <c r="G37" s="81"/>
      <c r="H37" s="81"/>
      <c r="I37" s="81"/>
      <c r="J37" s="81"/>
      <c r="K37" s="81"/>
      <c r="L37" s="81"/>
      <c r="M37" s="81"/>
      <c r="N37" s="81"/>
      <c r="O37" s="81"/>
      <c r="P37" s="81"/>
      <c r="Q37" s="81"/>
    </row>
    <row r="38" spans="2:17">
      <c r="D38" s="81"/>
      <c r="E38" s="81"/>
      <c r="F38" s="81"/>
      <c r="G38" s="81"/>
      <c r="H38" s="81"/>
      <c r="I38" s="81"/>
      <c r="J38" s="81"/>
      <c r="K38" s="81"/>
      <c r="L38" s="81"/>
      <c r="M38" s="81"/>
      <c r="N38" s="81"/>
      <c r="O38" s="81"/>
      <c r="P38" s="81"/>
      <c r="Q38" s="81"/>
    </row>
    <row r="39" spans="2:17">
      <c r="D39" s="81"/>
      <c r="E39" s="81"/>
      <c r="F39" s="81"/>
      <c r="G39" s="81"/>
      <c r="H39" s="81"/>
      <c r="I39" s="81"/>
      <c r="J39" s="81"/>
      <c r="K39" s="81"/>
      <c r="L39" s="81"/>
      <c r="M39" s="81"/>
      <c r="N39" s="81"/>
      <c r="O39" s="81"/>
      <c r="P39" s="81"/>
      <c r="Q39" s="81"/>
    </row>
    <row r="40" spans="2:17">
      <c r="D40" s="81"/>
      <c r="E40" s="81"/>
      <c r="F40" s="81"/>
      <c r="G40" s="81"/>
      <c r="H40" s="81"/>
      <c r="I40" s="81"/>
      <c r="J40" s="81"/>
      <c r="K40" s="81"/>
      <c r="L40" s="81"/>
      <c r="M40" s="81"/>
      <c r="N40" s="81"/>
      <c r="O40" s="81"/>
      <c r="P40" s="81"/>
      <c r="Q40" s="81"/>
    </row>
    <row r="41" spans="2:17">
      <c r="D41" s="81"/>
      <c r="E41" s="81"/>
      <c r="F41" s="81"/>
      <c r="G41" s="81"/>
      <c r="H41" s="81"/>
      <c r="I41" s="81"/>
      <c r="J41" s="81"/>
      <c r="K41" s="81"/>
      <c r="L41" s="81"/>
      <c r="M41" s="81"/>
      <c r="N41" s="81"/>
      <c r="O41" s="81"/>
      <c r="P41" s="81"/>
      <c r="Q41" s="81"/>
    </row>
    <row r="42" spans="2:17">
      <c r="D42" s="81"/>
      <c r="E42" s="81"/>
      <c r="F42" s="81"/>
      <c r="G42" s="81"/>
      <c r="H42" s="81"/>
      <c r="I42" s="81"/>
      <c r="J42" s="81"/>
      <c r="K42" s="81"/>
      <c r="L42" s="81"/>
      <c r="M42" s="81"/>
      <c r="N42" s="81"/>
      <c r="O42" s="81"/>
      <c r="P42" s="81"/>
      <c r="Q42" s="81"/>
    </row>
    <row r="43" spans="2:17">
      <c r="D43" s="81"/>
      <c r="E43" s="81"/>
      <c r="F43" s="81"/>
      <c r="G43" s="81"/>
      <c r="H43" s="81"/>
      <c r="I43" s="81"/>
      <c r="J43" s="81"/>
      <c r="K43" s="81"/>
      <c r="L43" s="81"/>
      <c r="M43" s="81"/>
      <c r="N43" s="81"/>
      <c r="O43" s="81"/>
      <c r="P43" s="81"/>
      <c r="Q43" s="81"/>
    </row>
    <row r="44" spans="2:17">
      <c r="D44" s="81"/>
      <c r="E44" s="81"/>
      <c r="F44" s="81"/>
      <c r="G44" s="81"/>
      <c r="H44" s="81"/>
      <c r="I44" s="81"/>
      <c r="J44" s="81"/>
      <c r="K44" s="81"/>
      <c r="L44" s="81"/>
      <c r="M44" s="81"/>
      <c r="N44" s="81"/>
      <c r="O44" s="81"/>
      <c r="P44" s="81"/>
      <c r="Q44" s="81"/>
    </row>
    <row r="54" spans="2:6" ht="15.75" customHeight="1">
      <c r="B54" s="98" t="s">
        <v>1023</v>
      </c>
    </row>
    <row r="55" spans="2:6" ht="15.75" customHeight="1">
      <c r="B55" s="152"/>
    </row>
    <row r="56" spans="2:6">
      <c r="B56" s="100" t="s">
        <v>123</v>
      </c>
    </row>
    <row r="57" spans="2:6">
      <c r="B57" t="s">
        <v>1024</v>
      </c>
    </row>
    <row r="58" spans="2:6">
      <c r="C58" s="835"/>
    </row>
    <row r="59" spans="2:6">
      <c r="B59" s="98" t="s">
        <v>1025</v>
      </c>
      <c r="C59" s="835"/>
    </row>
    <row r="60" spans="2:6" ht="59.25" customHeight="1">
      <c r="B60" s="836" t="s">
        <v>1026</v>
      </c>
      <c r="C60" s="837" t="s">
        <v>1027</v>
      </c>
      <c r="D60" s="837" t="s">
        <v>1028</v>
      </c>
      <c r="E60" s="838" t="s">
        <v>1029</v>
      </c>
      <c r="F60" s="839" t="s">
        <v>133</v>
      </c>
    </row>
    <row r="61" spans="2:6">
      <c r="B61" s="764" t="s">
        <v>1030</v>
      </c>
      <c r="C61" s="108">
        <v>2987049</v>
      </c>
      <c r="D61" s="110">
        <v>90</v>
      </c>
      <c r="E61" s="271">
        <v>10</v>
      </c>
    </row>
    <row r="62" spans="2:6">
      <c r="B62" s="764" t="s">
        <v>1031</v>
      </c>
      <c r="C62" s="108">
        <v>293700</v>
      </c>
      <c r="D62" s="91">
        <v>85</v>
      </c>
      <c r="E62" s="121">
        <v>15</v>
      </c>
    </row>
    <row r="63" spans="2:6">
      <c r="B63" s="694" t="s">
        <v>62</v>
      </c>
      <c r="C63" s="840">
        <f>SUM(C61:C62)</f>
        <v>3280749</v>
      </c>
      <c r="D63" s="841"/>
    </row>
    <row r="65" spans="2:8">
      <c r="B65" s="98" t="s">
        <v>1032</v>
      </c>
      <c r="C65" s="97" t="s">
        <v>431</v>
      </c>
    </row>
    <row r="66" spans="2:8">
      <c r="B66" s="842">
        <f>553100</f>
        <v>553100</v>
      </c>
    </row>
    <row r="68" spans="2:8">
      <c r="B68" s="98" t="s">
        <v>1033</v>
      </c>
    </row>
    <row r="69" spans="2:8">
      <c r="B69" s="152" t="s">
        <v>192</v>
      </c>
    </row>
    <row r="70" spans="2:8">
      <c r="B70" t="s">
        <v>1034</v>
      </c>
    </row>
    <row r="72" spans="2:8">
      <c r="B72" s="351"/>
      <c r="C72" s="113" t="s">
        <v>1035</v>
      </c>
      <c r="D72" s="113" t="s">
        <v>1011</v>
      </c>
      <c r="E72" s="113" t="s">
        <v>1036</v>
      </c>
      <c r="F72" s="113" t="s">
        <v>1012</v>
      </c>
      <c r="G72" s="114" t="s">
        <v>1014</v>
      </c>
    </row>
    <row r="73" spans="2:8">
      <c r="B73" s="87" t="s">
        <v>1037</v>
      </c>
      <c r="C73" s="110">
        <v>72</v>
      </c>
      <c r="D73" s="110">
        <v>16.100000000000001</v>
      </c>
      <c r="E73" s="110">
        <v>9.6</v>
      </c>
      <c r="F73" s="110">
        <v>1.6</v>
      </c>
      <c r="G73" s="271">
        <v>0.7</v>
      </c>
      <c r="H73" s="97" t="s">
        <v>169</v>
      </c>
    </row>
    <row r="74" spans="2:8">
      <c r="B74" s="87" t="s">
        <v>1038</v>
      </c>
      <c r="C74" s="110">
        <v>69.900000000000006</v>
      </c>
      <c r="D74" s="110">
        <v>10.36</v>
      </c>
      <c r="E74" s="110">
        <v>15.03</v>
      </c>
      <c r="F74" s="110">
        <v>1.79</v>
      </c>
      <c r="G74" s="271">
        <v>0.19</v>
      </c>
      <c r="H74" s="97" t="s">
        <v>172</v>
      </c>
    </row>
    <row r="75" spans="2:8">
      <c r="B75" s="119" t="s">
        <v>1039</v>
      </c>
      <c r="C75" s="120">
        <v>72.871680317696701</v>
      </c>
      <c r="D75" s="120">
        <v>12.35004550343344</v>
      </c>
      <c r="E75" s="120">
        <v>12.203193513692396</v>
      </c>
      <c r="F75" s="120">
        <v>1.5098866550839745</v>
      </c>
      <c r="G75" s="121">
        <v>1.0631256722098121</v>
      </c>
      <c r="H75" s="97" t="s">
        <v>172</v>
      </c>
    </row>
    <row r="76" spans="2:8" ht="15.75" customHeight="1"/>
    <row r="77" spans="2:8" ht="15.75" customHeight="1">
      <c r="B77" s="99" t="s">
        <v>1040</v>
      </c>
    </row>
    <row r="78" spans="2:8">
      <c r="B78" t="s">
        <v>1041</v>
      </c>
    </row>
    <row r="79" spans="2:8">
      <c r="B79" t="s">
        <v>1042</v>
      </c>
      <c r="C79">
        <f>(G73+G74)/(F74+F73)</f>
        <v>0.26253687315634217</v>
      </c>
      <c r="D79" t="s">
        <v>1043</v>
      </c>
    </row>
    <row r="81" spans="2:9">
      <c r="B81" s="100" t="s">
        <v>123</v>
      </c>
      <c r="C81" s="835"/>
    </row>
    <row r="82" spans="2:9">
      <c r="B82" t="s">
        <v>1044</v>
      </c>
      <c r="C82" s="835"/>
    </row>
    <row r="83" spans="2:9">
      <c r="B83" s="152" t="s">
        <v>192</v>
      </c>
      <c r="C83" s="835"/>
    </row>
    <row r="84" spans="2:9">
      <c r="B84" t="s">
        <v>1045</v>
      </c>
    </row>
    <row r="85" spans="2:9">
      <c r="B85" t="s">
        <v>1046</v>
      </c>
    </row>
    <row r="86" spans="2:9" ht="29.55" customHeight="1"/>
    <row r="87" spans="2:9">
      <c r="B87" t="s">
        <v>1047</v>
      </c>
    </row>
    <row r="88" spans="2:9">
      <c r="B88" t="s">
        <v>1048</v>
      </c>
    </row>
    <row r="90" spans="2:9" ht="28.8">
      <c r="B90" s="825" t="s">
        <v>1049</v>
      </c>
      <c r="C90" s="110">
        <v>10</v>
      </c>
    </row>
    <row r="91" spans="2:9" ht="31.05" customHeight="1">
      <c r="B91" s="825" t="s">
        <v>1050</v>
      </c>
      <c r="C91" s="110">
        <v>5</v>
      </c>
    </row>
    <row r="92" spans="2:9" ht="28.8">
      <c r="B92" s="825" t="s">
        <v>1051</v>
      </c>
      <c r="C92" s="110">
        <v>6</v>
      </c>
    </row>
    <row r="93" spans="2:9">
      <c r="B93" s="78"/>
    </row>
    <row r="94" spans="2:9" ht="59.55" customHeight="1">
      <c r="B94" s="215" t="s">
        <v>1010</v>
      </c>
      <c r="C94" s="216" t="s">
        <v>1052</v>
      </c>
      <c r="D94" s="216" t="s">
        <v>1053</v>
      </c>
      <c r="E94" s="216" t="s">
        <v>1012</v>
      </c>
      <c r="F94" s="216" t="s">
        <v>1013</v>
      </c>
      <c r="G94" s="217" t="s">
        <v>1014</v>
      </c>
      <c r="H94" s="78"/>
      <c r="I94" s="78"/>
    </row>
    <row r="95" spans="2:9">
      <c r="B95" s="87" t="s">
        <v>1054</v>
      </c>
      <c r="C95" s="110">
        <f>(C61*E61+C62*E62)/100</f>
        <v>342759.9</v>
      </c>
      <c r="D95" s="110">
        <f>(D61*C61+D62*C62)/100</f>
        <v>2937989.1</v>
      </c>
      <c r="E95" s="110">
        <f>B66</f>
        <v>553100</v>
      </c>
      <c r="F95" s="110">
        <f>D95</f>
        <v>2937989.1</v>
      </c>
      <c r="G95" s="271">
        <f>C79*E95</f>
        <v>145209.14454277285</v>
      </c>
    </row>
    <row r="96" spans="2:9">
      <c r="B96" s="119" t="s">
        <v>1055</v>
      </c>
      <c r="C96" s="120">
        <f>C95*(2*C92)</f>
        <v>4113118.8000000003</v>
      </c>
      <c r="D96" s="120">
        <f>D95*($C92+$C90+$C91)</f>
        <v>61697771.100000001</v>
      </c>
      <c r="E96" s="120">
        <f>E95*(2*$C90)</f>
        <v>11062000</v>
      </c>
      <c r="F96" s="120">
        <f>F95*($C92+$C90+$C91)</f>
        <v>61697771.100000001</v>
      </c>
      <c r="G96" s="121">
        <f>G95*($C92+$C90+$C91)</f>
        <v>3049392.03539823</v>
      </c>
    </row>
    <row r="98" spans="2:7">
      <c r="B98" s="100" t="s">
        <v>123</v>
      </c>
    </row>
    <row r="99" spans="2:7">
      <c r="B99" t="s">
        <v>1056</v>
      </c>
    </row>
    <row r="100" spans="2:7">
      <c r="B100" s="99" t="s">
        <v>1057</v>
      </c>
    </row>
    <row r="101" spans="2:7">
      <c r="B101" s="99"/>
    </row>
    <row r="102" spans="2:7">
      <c r="B102" s="843" t="s">
        <v>1058</v>
      </c>
      <c r="C102" s="328" t="s">
        <v>1059</v>
      </c>
      <c r="D102" s="328" t="s">
        <v>129</v>
      </c>
      <c r="E102" s="114" t="s">
        <v>130</v>
      </c>
    </row>
    <row r="103" spans="2:7">
      <c r="B103" s="261" t="s">
        <v>1060</v>
      </c>
      <c r="C103" s="120">
        <v>0.40100000000000002</v>
      </c>
      <c r="D103" s="120" t="s">
        <v>1061</v>
      </c>
      <c r="E103" s="223" t="s">
        <v>1062</v>
      </c>
    </row>
    <row r="104" spans="2:7">
      <c r="B104" s="99"/>
    </row>
    <row r="105" spans="2:7" ht="28.8">
      <c r="B105" s="215" t="s">
        <v>1010</v>
      </c>
      <c r="C105" s="216" t="s">
        <v>1063</v>
      </c>
      <c r="D105" s="216" t="s">
        <v>1012</v>
      </c>
      <c r="E105" s="216" t="s">
        <v>1013</v>
      </c>
      <c r="F105" s="216" t="s">
        <v>1014</v>
      </c>
      <c r="G105" s="217" t="s">
        <v>119</v>
      </c>
    </row>
    <row r="106" spans="2:7">
      <c r="B106" s="87" t="s">
        <v>1055</v>
      </c>
      <c r="C106" s="110">
        <f>C96+D96</f>
        <v>65810889.899999999</v>
      </c>
      <c r="D106" s="110">
        <f>E96</f>
        <v>11062000</v>
      </c>
      <c r="E106" s="110">
        <f>F96</f>
        <v>61697771.100000001</v>
      </c>
      <c r="F106" s="110">
        <f>G96</f>
        <v>3049392.03539823</v>
      </c>
      <c r="G106" s="271">
        <f>SUM(C106:F106)</f>
        <v>141620053.03539824</v>
      </c>
    </row>
    <row r="107" spans="2:7">
      <c r="B107" s="119" t="s">
        <v>1020</v>
      </c>
      <c r="C107" s="120">
        <f>C106*$C$103/10^9</f>
        <v>2.6390166849900001E-2</v>
      </c>
      <c r="D107" s="120">
        <f>D106*$C$103/10^9</f>
        <v>4.4358619999999996E-3</v>
      </c>
      <c r="E107" s="120">
        <f>E106*$C$103/10^9</f>
        <v>2.4740806211099999E-2</v>
      </c>
      <c r="F107" s="120">
        <f>F106*$C$103/10^9</f>
        <v>1.2228062061946901E-3</v>
      </c>
      <c r="G107" s="286">
        <f>G106*$C$103/10^9</f>
        <v>5.6789641267194699E-2</v>
      </c>
    </row>
    <row r="110" spans="2:7">
      <c r="B110" s="98" t="s">
        <v>1064</v>
      </c>
    </row>
    <row r="112" spans="2:7">
      <c r="B112" s="100" t="s">
        <v>123</v>
      </c>
    </row>
    <row r="113" spans="2:8">
      <c r="B113" t="s">
        <v>1065</v>
      </c>
    </row>
    <row r="114" spans="2:8">
      <c r="B114" t="s">
        <v>1066</v>
      </c>
    </row>
    <row r="116" spans="2:8">
      <c r="B116" s="351"/>
      <c r="C116" s="113" t="s">
        <v>1067</v>
      </c>
      <c r="D116" s="113" t="s">
        <v>130</v>
      </c>
      <c r="E116" s="113" t="s">
        <v>1068</v>
      </c>
      <c r="F116" s="113" t="s">
        <v>129</v>
      </c>
      <c r="G116" s="113" t="s">
        <v>130</v>
      </c>
      <c r="H116" s="114" t="s">
        <v>1069</v>
      </c>
    </row>
    <row r="117" spans="2:8">
      <c r="B117" s="87" t="s">
        <v>1070</v>
      </c>
      <c r="C117" s="110">
        <f>139500+19400</f>
        <v>158900</v>
      </c>
      <c r="D117" s="844" t="s">
        <v>431</v>
      </c>
      <c r="E117" s="110">
        <v>13</v>
      </c>
      <c r="F117" s="110" t="s">
        <v>1071</v>
      </c>
      <c r="G117" s="110"/>
      <c r="H117" s="271">
        <f t="shared" ref="H117:H120" si="0">C117*E117</f>
        <v>2065700</v>
      </c>
    </row>
    <row r="118" spans="2:8">
      <c r="B118" s="87" t="s">
        <v>1013</v>
      </c>
      <c r="C118" s="110">
        <v>14547132</v>
      </c>
      <c r="D118" s="844" t="s">
        <v>897</v>
      </c>
      <c r="E118" s="110">
        <v>13</v>
      </c>
      <c r="F118" s="110" t="s">
        <v>1071</v>
      </c>
      <c r="G118" s="844" t="s">
        <v>434</v>
      </c>
      <c r="H118" s="271">
        <f t="shared" si="0"/>
        <v>189112716</v>
      </c>
    </row>
    <row r="119" spans="2:8">
      <c r="B119" s="87" t="s">
        <v>1072</v>
      </c>
      <c r="C119" s="110">
        <v>20860009</v>
      </c>
      <c r="D119" s="844" t="s">
        <v>897</v>
      </c>
      <c r="E119" s="110">
        <v>13</v>
      </c>
      <c r="F119" s="110" t="s">
        <v>1071</v>
      </c>
      <c r="G119" s="844" t="s">
        <v>434</v>
      </c>
      <c r="H119" s="271">
        <f t="shared" si="0"/>
        <v>271180117</v>
      </c>
    </row>
    <row r="120" spans="2:8">
      <c r="B120" s="119" t="s">
        <v>1073</v>
      </c>
      <c r="C120" s="120">
        <v>27919779</v>
      </c>
      <c r="D120" s="845" t="s">
        <v>897</v>
      </c>
      <c r="E120" s="120">
        <v>13</v>
      </c>
      <c r="F120" s="120" t="s">
        <v>1071</v>
      </c>
      <c r="G120" s="845" t="s">
        <v>434</v>
      </c>
      <c r="H120" s="121">
        <f t="shared" si="0"/>
        <v>362957127</v>
      </c>
    </row>
    <row r="122" spans="2:8">
      <c r="B122" s="100" t="s">
        <v>123</v>
      </c>
    </row>
    <row r="123" spans="2:8">
      <c r="B123" t="s">
        <v>1074</v>
      </c>
    </row>
    <row r="124" spans="2:8">
      <c r="B124" t="s">
        <v>1075</v>
      </c>
    </row>
    <row r="125" spans="2:8">
      <c r="B125" t="s">
        <v>1076</v>
      </c>
    </row>
    <row r="127" spans="2:8">
      <c r="B127" s="843" t="s">
        <v>1058</v>
      </c>
      <c r="C127" s="328" t="s">
        <v>1059</v>
      </c>
      <c r="D127" s="328" t="s">
        <v>129</v>
      </c>
      <c r="E127" s="114" t="s">
        <v>130</v>
      </c>
    </row>
    <row r="128" spans="2:8" ht="28.8">
      <c r="B128" s="218" t="s">
        <v>1077</v>
      </c>
      <c r="C128" s="219">
        <v>0.193</v>
      </c>
      <c r="D128" s="219" t="s">
        <v>1061</v>
      </c>
      <c r="E128" s="220" t="s">
        <v>1078</v>
      </c>
      <c r="F128" t="s">
        <v>1079</v>
      </c>
    </row>
    <row r="129" spans="2:6">
      <c r="B129" s="261" t="s">
        <v>1060</v>
      </c>
      <c r="C129" s="120">
        <v>0.40100000000000002</v>
      </c>
      <c r="D129" s="120" t="s">
        <v>1061</v>
      </c>
      <c r="E129" s="223" t="s">
        <v>1062</v>
      </c>
    </row>
    <row r="131" spans="2:6">
      <c r="B131" s="351"/>
      <c r="C131" s="113" t="s">
        <v>605</v>
      </c>
      <c r="D131" s="114" t="s">
        <v>129</v>
      </c>
    </row>
    <row r="132" spans="2:6">
      <c r="B132" s="87" t="s">
        <v>1080</v>
      </c>
      <c r="C132" s="110">
        <f t="shared" ref="C132:C133" si="1">H117*$C$129/10^9</f>
        <v>8.283457000000001E-4</v>
      </c>
      <c r="D132" s="271" t="s">
        <v>96</v>
      </c>
    </row>
    <row r="133" spans="2:6">
      <c r="B133" s="87" t="s">
        <v>1013</v>
      </c>
      <c r="C133" s="110">
        <f t="shared" si="1"/>
        <v>7.5834199116000006E-2</v>
      </c>
      <c r="D133" s="271" t="s">
        <v>96</v>
      </c>
    </row>
    <row r="134" spans="2:6">
      <c r="B134" s="87" t="s">
        <v>1072</v>
      </c>
      <c r="C134" s="110">
        <f t="shared" ref="C134:C135" si="2">H119*$C$128/10^9</f>
        <v>5.2337762581000001E-2</v>
      </c>
      <c r="D134" s="271" t="s">
        <v>96</v>
      </c>
    </row>
    <row r="135" spans="2:6">
      <c r="B135" s="87" t="s">
        <v>1073</v>
      </c>
      <c r="C135" s="110">
        <f t="shared" si="2"/>
        <v>7.0050725511000014E-2</v>
      </c>
      <c r="D135" s="271" t="s">
        <v>96</v>
      </c>
    </row>
    <row r="136" spans="2:6">
      <c r="B136" s="352" t="s">
        <v>119</v>
      </c>
      <c r="C136" s="811">
        <f>SUM(C132:C135)</f>
        <v>0.19905103290800003</v>
      </c>
      <c r="D136" s="121" t="s">
        <v>96</v>
      </c>
    </row>
    <row r="138" spans="2:6">
      <c r="B138" s="98" t="s">
        <v>1081</v>
      </c>
    </row>
    <row r="140" spans="2:6">
      <c r="B140" s="99" t="s">
        <v>1082</v>
      </c>
    </row>
    <row r="141" spans="2:6">
      <c r="B141" t="s">
        <v>1083</v>
      </c>
    </row>
    <row r="143" spans="2:6">
      <c r="B143" s="846"/>
      <c r="C143" s="846" t="s">
        <v>1084</v>
      </c>
      <c r="D143" s="846" t="s">
        <v>1085</v>
      </c>
      <c r="E143" s="846" t="s">
        <v>1086</v>
      </c>
      <c r="F143" s="846" t="s">
        <v>130</v>
      </c>
    </row>
    <row r="144" spans="2:6">
      <c r="B144" s="846" t="s">
        <v>1087</v>
      </c>
      <c r="C144" s="110">
        <v>53000</v>
      </c>
      <c r="D144" s="110">
        <f>C144*0.42</f>
        <v>22260</v>
      </c>
      <c r="E144" s="110">
        <f>C144*0.25</f>
        <v>13250</v>
      </c>
      <c r="F144" s="257" t="s">
        <v>489</v>
      </c>
    </row>
    <row r="145" spans="2:6">
      <c r="B145" s="846" t="s">
        <v>1088</v>
      </c>
      <c r="C145" s="110"/>
      <c r="D145" s="110">
        <v>10</v>
      </c>
      <c r="E145" s="110">
        <v>80</v>
      </c>
      <c r="F145" s="257" t="s">
        <v>489</v>
      </c>
    </row>
    <row r="146" spans="2:6">
      <c r="B146" s="846" t="s">
        <v>1089</v>
      </c>
      <c r="C146" s="110"/>
      <c r="D146" s="110">
        <v>90</v>
      </c>
      <c r="E146" s="110">
        <v>20</v>
      </c>
      <c r="F146" s="257" t="s">
        <v>489</v>
      </c>
    </row>
    <row r="149" spans="2:6">
      <c r="B149" s="98"/>
    </row>
    <row r="150" spans="2:6">
      <c r="B150" s="112" t="s">
        <v>1090</v>
      </c>
      <c r="C150" s="320">
        <f>(D144*D145+E144*E145)/100</f>
        <v>12826</v>
      </c>
    </row>
    <row r="151" spans="2:6">
      <c r="B151" s="352" t="s">
        <v>1091</v>
      </c>
      <c r="C151" s="121">
        <f>(D144*D146+E144*E146)/100</f>
        <v>22684</v>
      </c>
    </row>
    <row r="153" spans="2:6">
      <c r="B153" s="112"/>
      <c r="C153" s="113"/>
      <c r="D153" s="113" t="s">
        <v>129</v>
      </c>
      <c r="E153" s="114" t="s">
        <v>130</v>
      </c>
    </row>
    <row r="154" spans="2:6">
      <c r="B154" s="87" t="s">
        <v>1092</v>
      </c>
      <c r="C154" s="110">
        <v>280</v>
      </c>
      <c r="D154" s="110" t="s">
        <v>1093</v>
      </c>
      <c r="E154" s="847" t="s">
        <v>509</v>
      </c>
    </row>
    <row r="155" spans="2:6">
      <c r="B155" s="87" t="s">
        <v>1094</v>
      </c>
      <c r="C155" s="110" t="s">
        <v>1095</v>
      </c>
      <c r="D155" s="110"/>
      <c r="E155" s="847" t="s">
        <v>521</v>
      </c>
    </row>
    <row r="156" spans="2:6">
      <c r="B156" s="87" t="s">
        <v>1096</v>
      </c>
      <c r="C156" s="110">
        <v>3.08</v>
      </c>
      <c r="D156" s="110" t="s">
        <v>1097</v>
      </c>
      <c r="E156" s="271" t="s">
        <v>1098</v>
      </c>
    </row>
    <row r="157" spans="2:6">
      <c r="B157" s="87" t="s">
        <v>1099</v>
      </c>
      <c r="C157" s="110">
        <v>800</v>
      </c>
      <c r="D157" s="110" t="s">
        <v>1100</v>
      </c>
      <c r="E157" s="847" t="s">
        <v>523</v>
      </c>
    </row>
    <row r="158" spans="2:6">
      <c r="B158" s="87" t="s">
        <v>1101</v>
      </c>
      <c r="C158" s="323">
        <f>C150*C154*C156*C157/10^12</f>
        <v>8.8489139199999997E-3</v>
      </c>
      <c r="D158" s="110" t="s">
        <v>243</v>
      </c>
      <c r="E158" s="271"/>
    </row>
    <row r="159" spans="2:6">
      <c r="B159" s="538" t="s">
        <v>1102</v>
      </c>
      <c r="C159" s="323">
        <f>C151*C154*C156*C157/10^12</f>
        <v>1.5650145280000003E-2</v>
      </c>
      <c r="D159" s="110" t="s">
        <v>243</v>
      </c>
      <c r="E159" s="271"/>
    </row>
    <row r="160" spans="2:6">
      <c r="B160" s="119" t="s">
        <v>1103</v>
      </c>
      <c r="C160" s="811">
        <f>C159+C158</f>
        <v>2.4499059200000003E-2</v>
      </c>
      <c r="D160" s="120" t="s">
        <v>243</v>
      </c>
      <c r="E160" s="121"/>
    </row>
    <row r="163" spans="2:4">
      <c r="B163" s="98" t="s">
        <v>1104</v>
      </c>
    </row>
    <row r="172" spans="2:4">
      <c r="B172" s="98" t="s">
        <v>1105</v>
      </c>
      <c r="C172" s="848">
        <f>C158+G107</f>
        <v>6.5638555187194692E-2</v>
      </c>
      <c r="D172" t="s">
        <v>243</v>
      </c>
    </row>
    <row r="173" spans="2:4">
      <c r="B173" s="98" t="s">
        <v>1106</v>
      </c>
      <c r="C173" s="848">
        <f>C159+C136</f>
        <v>0.21470117818800002</v>
      </c>
      <c r="D173" t="s">
        <v>243</v>
      </c>
    </row>
    <row r="174" spans="2:4">
      <c r="B174" s="98" t="s">
        <v>1107</v>
      </c>
      <c r="C174" s="848">
        <f>C173+C172</f>
        <v>0.28033973337519469</v>
      </c>
      <c r="D174" t="s">
        <v>243</v>
      </c>
    </row>
  </sheetData>
  <mergeCells count="23">
    <mergeCell ref="B5:D5"/>
    <mergeCell ref="F5:Q5"/>
    <mergeCell ref="F6:G6"/>
    <mergeCell ref="H6:Q6"/>
    <mergeCell ref="C7:D7"/>
    <mergeCell ref="F7:G8"/>
    <mergeCell ref="H7:Q8"/>
    <mergeCell ref="C8:D8"/>
    <mergeCell ref="C10:D10"/>
    <mergeCell ref="C12:D12"/>
    <mergeCell ref="B14:Q14"/>
    <mergeCell ref="C15:Q15"/>
    <mergeCell ref="C16:Q16"/>
    <mergeCell ref="C17:Q17"/>
    <mergeCell ref="C18:Q18"/>
    <mergeCell ref="C19:Q19"/>
    <mergeCell ref="C20:Q20"/>
    <mergeCell ref="C29:H29"/>
    <mergeCell ref="I29:N29"/>
    <mergeCell ref="C21:Q21"/>
    <mergeCell ref="C22:Q22"/>
    <mergeCell ref="C25:H25"/>
    <mergeCell ref="I25:N25"/>
  </mergeCells>
  <conditionalFormatting sqref="C8">
    <cfRule type="containsText" dxfId="481" priority="40" operator="containsText" text="Calcul validé">
      <formula>NOT(ISERROR(SEARCH("Calcul validé",C8)))</formula>
    </cfRule>
  </conditionalFormatting>
  <conditionalFormatting sqref="C8">
    <cfRule type="containsText" dxfId="480" priority="39" operator="containsText" text="Bon ordre de grandeur">
      <formula>NOT(ISERROR(SEARCH("Bon ordre de grandeur",C8)))</formula>
    </cfRule>
  </conditionalFormatting>
  <conditionalFormatting sqref="C8">
    <cfRule type="containsText" dxfId="479" priority="38" operator="containsText" text="Calcul brouillon, ordre de grandeur">
      <formula>NOT(ISERROR(SEARCH("Calcul brouillon, ordre de grandeur",C8)))</formula>
    </cfRule>
  </conditionalFormatting>
  <conditionalFormatting sqref="C8">
    <cfRule type="containsText" dxfId="478" priority="37" operator="containsText" text="Pas ok">
      <formula>NOT(ISERROR(SEARCH("Pas ok",C8)))</formula>
    </cfRule>
  </conditionalFormatting>
  <conditionalFormatting sqref="C8">
    <cfRule type="containsText" dxfId="477" priority="36" operator="containsText" text="Calcul validé">
      <formula>NOT(ISERROR(SEARCH("Calcul validé",C8)))</formula>
    </cfRule>
  </conditionalFormatting>
  <conditionalFormatting sqref="C8">
    <cfRule type="containsText" dxfId="476" priority="35" operator="containsText" text="Calcul validé">
      <formula>NOT(ISERROR(SEARCH("Calcul validé",C8)))</formula>
    </cfRule>
  </conditionalFormatting>
  <conditionalFormatting sqref="C8">
    <cfRule type="containsText" dxfId="475" priority="34" operator="containsText" text="Bon ordre de grandeur">
      <formula>NOT(ISERROR(SEARCH("Bon ordre de grandeur",C8)))</formula>
    </cfRule>
  </conditionalFormatting>
  <conditionalFormatting sqref="C8">
    <cfRule type="containsText" dxfId="474" priority="33" operator="containsText" text="Calcul brouillon, ordre de grandeur">
      <formula>NOT(ISERROR(SEARCH("Calcul brouillon, ordre de grandeur",C8)))</formula>
    </cfRule>
  </conditionalFormatting>
  <conditionalFormatting sqref="C8">
    <cfRule type="containsText" dxfId="473" priority="32" operator="containsText" text="Pas ok">
      <formula>NOT(ISERROR(SEARCH("Pas ok",C8)))</formula>
    </cfRule>
  </conditionalFormatting>
  <conditionalFormatting sqref="C8">
    <cfRule type="containsText" dxfId="472" priority="31" operator="containsText" text="Calcul brouillon, odg">
      <formula>NOT(ISERROR(SEARCH("Calcul brouillon, odg",C8)))</formula>
    </cfRule>
  </conditionalFormatting>
  <conditionalFormatting sqref="C12">
    <cfRule type="containsText" dxfId="471" priority="10" operator="containsText" text="Calcul validé">
      <formula>NOT(ISERROR(SEARCH("Calcul validé",C12)))</formula>
    </cfRule>
  </conditionalFormatting>
  <conditionalFormatting sqref="C12">
    <cfRule type="containsText" dxfId="470" priority="9" operator="containsText" text="Bon ordre de grandeur">
      <formula>NOT(ISERROR(SEARCH("Bon ordre de grandeur",C12)))</formula>
    </cfRule>
  </conditionalFormatting>
  <conditionalFormatting sqref="C12">
    <cfRule type="containsText" dxfId="469" priority="8" operator="containsText" text="Calcul brouillon, ordre de grandeur">
      <formula>NOT(ISERROR(SEARCH("Calcul brouillon, ordre de grandeur",C12)))</formula>
    </cfRule>
  </conditionalFormatting>
  <conditionalFormatting sqref="C12">
    <cfRule type="containsText" dxfId="468" priority="7" operator="containsText" text="Pas ok">
      <formula>NOT(ISERROR(SEARCH("Pas ok",C12)))</formula>
    </cfRule>
  </conditionalFormatting>
  <conditionalFormatting sqref="C12">
    <cfRule type="containsText" dxfId="467" priority="6" operator="containsText" text="Calcul validé">
      <formula>NOT(ISERROR(SEARCH("Calcul validé",C12)))</formula>
    </cfRule>
  </conditionalFormatting>
  <conditionalFormatting sqref="C12">
    <cfRule type="containsText" dxfId="466" priority="5" operator="containsText" text="Calcul validé">
      <formula>NOT(ISERROR(SEARCH("Calcul validé",C12)))</formula>
    </cfRule>
  </conditionalFormatting>
  <conditionalFormatting sqref="C12">
    <cfRule type="containsText" dxfId="465" priority="4" operator="containsText" text="Bon ordre de grandeur">
      <formula>NOT(ISERROR(SEARCH("Bon ordre de grandeur",C12)))</formula>
    </cfRule>
  </conditionalFormatting>
  <conditionalFormatting sqref="C12">
    <cfRule type="containsText" dxfId="464" priority="3" operator="containsText" text="Calcul brouillon, ordre de grandeur">
      <formula>NOT(ISERROR(SEARCH("Calcul brouillon, ordre de grandeur",C12)))</formula>
    </cfRule>
  </conditionalFormatting>
  <conditionalFormatting sqref="C12">
    <cfRule type="containsText" dxfId="463" priority="2" operator="containsText" text="Pas ok">
      <formula>NOT(ISERROR(SEARCH("Pas ok",C12)))</formula>
    </cfRule>
  </conditionalFormatting>
  <conditionalFormatting sqref="C12:D12">
    <cfRule type="containsText" dxfId="462" priority="1" operator="containsText" text="Calcul brouillon, odg">
      <formula>NOT(ISERROR(SEARCH("Calcul brouillon, odg",C12)))</formula>
    </cfRule>
  </conditionalFormatting>
  <hyperlinks>
    <hyperlink ref="D117" r:id="rId1" xr:uid="{00000000-0004-0000-1100-000000000000}"/>
    <hyperlink ref="D118" r:id="rId2" xr:uid="{00000000-0004-0000-1100-000001000000}"/>
    <hyperlink ref="G118" r:id="rId3" xr:uid="{00000000-0004-0000-1100-000002000000}"/>
    <hyperlink ref="D119:D120" r:id="rId4" display="(7)" xr:uid="{00000000-0004-0000-1100-000003000000}"/>
    <hyperlink ref="G119:G120" r:id="rId5" display="(8)" xr:uid="{00000000-0004-0000-1100-000004000000}"/>
    <hyperlink ref="E154" r:id="rId6" xr:uid="{00000000-0004-0000-1100-000005000000}"/>
    <hyperlink ref="E155" r:id="rId7" xr:uid="{00000000-0004-0000-1100-000006000000}"/>
    <hyperlink ref="E157" r:id="rId8" xr:uid="{00000000-0004-0000-1100-000007000000}"/>
  </hyperlinks>
  <pageMargins left="0.7" right="0.7" top="0.75" bottom="0.75" header="0.3" footer="0.3"/>
  <pageSetup paperSize="9" orientation="portrait"/>
  <drawing r:id="rId9"/>
  <legacyDrawing r:id="rId1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1100-000000000000}">
          <x14:formula1>
            <xm:f>'Annexe 1'!$B$5:$B$8</xm:f>
          </x14:formula1>
          <xm:sqref>C12</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41">
    <tabColor rgb="FF00B0F0"/>
  </sheetPr>
  <dimension ref="B2:Q73"/>
  <sheetViews>
    <sheetView zoomScale="70" workbookViewId="0">
      <selection activeCell="B16" sqref="B16"/>
    </sheetView>
  </sheetViews>
  <sheetFormatPr baseColWidth="10" defaultRowHeight="14.4"/>
  <cols>
    <col min="2" max="2" width="67.44140625" customWidth="1"/>
    <col min="3" max="3" width="18.77734375" customWidth="1"/>
    <col min="4" max="4" width="14" bestFit="1" customWidth="1"/>
    <col min="5" max="5" width="12.44140625" customWidth="1"/>
    <col min="7" max="7" width="12.77734375" customWidth="1"/>
    <col min="12" max="12" width="11.44140625" bestFit="1" customWidth="1"/>
  </cols>
  <sheetData>
    <row r="2" spans="2:17" ht="18">
      <c r="B2" s="57" t="s">
        <v>40</v>
      </c>
    </row>
    <row r="5" spans="2:17">
      <c r="B5" s="1297" t="s">
        <v>90</v>
      </c>
      <c r="C5" s="1298"/>
      <c r="D5" s="1299"/>
      <c r="F5" s="1300" t="s">
        <v>63</v>
      </c>
      <c r="G5" s="1301"/>
      <c r="H5" s="1301"/>
      <c r="I5" s="1301"/>
      <c r="J5" s="1301"/>
      <c r="K5" s="1301"/>
      <c r="L5" s="1301"/>
      <c r="M5" s="1301"/>
      <c r="N5" s="1301"/>
      <c r="O5" s="1301"/>
      <c r="P5" s="1301"/>
      <c r="Q5" s="1302"/>
    </row>
    <row r="6" spans="2:17">
      <c r="B6" s="58" t="s">
        <v>64</v>
      </c>
      <c r="C6" s="59">
        <f>C11</f>
        <v>0.42319565962499994</v>
      </c>
      <c r="D6" s="60" t="s">
        <v>65</v>
      </c>
      <c r="F6" s="1303" t="s">
        <v>66</v>
      </c>
      <c r="G6" s="1304"/>
      <c r="H6" s="1305"/>
      <c r="I6" s="1306"/>
      <c r="J6" s="1306"/>
      <c r="K6" s="1306"/>
      <c r="L6" s="1306"/>
      <c r="M6" s="1306"/>
      <c r="N6" s="1306"/>
      <c r="O6" s="1306"/>
      <c r="P6" s="1306"/>
      <c r="Q6" s="1307"/>
    </row>
    <row r="7" spans="2:17">
      <c r="B7" s="61" t="s">
        <v>68</v>
      </c>
      <c r="C7" s="1344" t="str">
        <f>C10</f>
        <v>v1.2</v>
      </c>
      <c r="D7" s="1345"/>
      <c r="F7" s="1308" t="s">
        <v>69</v>
      </c>
      <c r="G7" s="1309"/>
      <c r="H7" s="1312" t="s">
        <v>1108</v>
      </c>
      <c r="I7" s="1313"/>
      <c r="J7" s="1313"/>
      <c r="K7" s="1313"/>
      <c r="L7" s="1313"/>
      <c r="M7" s="1313"/>
      <c r="N7" s="1313"/>
      <c r="O7" s="1313"/>
      <c r="P7" s="1313"/>
      <c r="Q7" s="1314"/>
    </row>
    <row r="8" spans="2:17">
      <c r="B8" s="63" t="s">
        <v>28</v>
      </c>
      <c r="C8" s="1318" t="str">
        <f>C12</f>
        <v>Calcul brouillon, odg</v>
      </c>
      <c r="D8" s="1319"/>
      <c r="F8" s="1310"/>
      <c r="G8" s="1311"/>
      <c r="H8" s="1315"/>
      <c r="I8" s="1316"/>
      <c r="J8" s="1316"/>
      <c r="K8" s="1316"/>
      <c r="L8" s="1316"/>
      <c r="M8" s="1316"/>
      <c r="N8" s="1316"/>
      <c r="O8" s="1316"/>
      <c r="P8" s="1316"/>
      <c r="Q8" s="1317"/>
    </row>
    <row r="10" spans="2:17">
      <c r="B10" s="64" t="s">
        <v>93</v>
      </c>
      <c r="C10" s="1287" t="s">
        <v>1001</v>
      </c>
      <c r="D10" s="1288"/>
      <c r="E10" s="65"/>
      <c r="F10" s="65"/>
      <c r="G10" s="65"/>
      <c r="H10" s="65"/>
      <c r="I10" s="65"/>
      <c r="J10" s="65"/>
      <c r="K10" s="65"/>
      <c r="L10" s="65"/>
      <c r="M10" s="65"/>
      <c r="N10" s="65"/>
      <c r="O10" s="65"/>
      <c r="P10" s="65"/>
      <c r="Q10" s="66"/>
    </row>
    <row r="11" spans="2:17">
      <c r="B11" s="67" t="s">
        <v>95</v>
      </c>
      <c r="C11" s="849">
        <f>C42+C60+C73</f>
        <v>0.42319565962499994</v>
      </c>
      <c r="D11" s="69" t="s">
        <v>96</v>
      </c>
      <c r="E11" s="70"/>
      <c r="F11" s="70"/>
      <c r="G11" s="70"/>
      <c r="H11" s="70"/>
      <c r="I11" s="70"/>
      <c r="J11" s="70"/>
      <c r="K11" s="70"/>
      <c r="L11" s="70"/>
      <c r="M11" s="70"/>
      <c r="N11" s="70"/>
      <c r="O11" s="70"/>
      <c r="P11" s="70"/>
      <c r="Q11" s="71"/>
    </row>
    <row r="12" spans="2:17">
      <c r="B12" s="72" t="s">
        <v>97</v>
      </c>
      <c r="C12" s="1289" t="s">
        <v>742</v>
      </c>
      <c r="D12" s="1290"/>
      <c r="E12" s="70"/>
      <c r="F12" s="70"/>
      <c r="G12" s="70"/>
      <c r="H12" s="70"/>
      <c r="I12" s="70"/>
      <c r="J12" s="70"/>
      <c r="K12" s="70"/>
      <c r="L12" s="70"/>
      <c r="M12" s="70"/>
      <c r="N12" s="70"/>
      <c r="O12" s="70"/>
      <c r="P12" s="70"/>
      <c r="Q12" s="71"/>
    </row>
    <row r="13" spans="2:17">
      <c r="B13" s="73"/>
      <c r="C13" s="74"/>
      <c r="D13" s="74"/>
      <c r="E13" s="74"/>
      <c r="F13" s="74"/>
      <c r="G13" s="74"/>
      <c r="H13" s="74"/>
      <c r="I13" s="74"/>
      <c r="J13" s="74"/>
      <c r="K13" s="74"/>
      <c r="L13" s="74"/>
      <c r="M13" s="74"/>
      <c r="N13" s="74"/>
      <c r="O13" s="74"/>
      <c r="P13" s="74"/>
      <c r="Q13" s="75"/>
    </row>
    <row r="14" spans="2:17">
      <c r="B14" s="1351" t="s">
        <v>71</v>
      </c>
      <c r="C14" s="1352"/>
      <c r="D14" s="1352"/>
      <c r="E14" s="1352"/>
      <c r="F14" s="1352"/>
      <c r="G14" s="1352"/>
      <c r="H14" s="1352"/>
      <c r="I14" s="1352"/>
      <c r="J14" s="1352"/>
      <c r="K14" s="1352"/>
      <c r="L14" s="1352"/>
      <c r="M14" s="1352"/>
      <c r="N14" s="1352"/>
      <c r="O14" s="1352"/>
      <c r="P14" s="1352"/>
      <c r="Q14" s="1353"/>
    </row>
    <row r="15" spans="2:17" ht="49.95" customHeight="1">
      <c r="B15" s="76" t="s">
        <v>72</v>
      </c>
      <c r="C15" s="1294" t="s">
        <v>1109</v>
      </c>
      <c r="D15" s="1295"/>
      <c r="E15" s="1295"/>
      <c r="F15" s="1295"/>
      <c r="G15" s="1295"/>
      <c r="H15" s="1295"/>
      <c r="I15" s="1295"/>
      <c r="J15" s="1295"/>
      <c r="K15" s="1295"/>
      <c r="L15" s="1295"/>
      <c r="M15" s="1295"/>
      <c r="N15" s="1295"/>
      <c r="O15" s="1295"/>
      <c r="P15" s="1295"/>
      <c r="Q15" s="1296"/>
    </row>
    <row r="16" spans="2:17" ht="129" customHeight="1">
      <c r="B16" s="77" t="s">
        <v>74</v>
      </c>
      <c r="C16" s="1275" t="s">
        <v>1110</v>
      </c>
      <c r="D16" s="1276"/>
      <c r="E16" s="1276"/>
      <c r="F16" s="1276"/>
      <c r="G16" s="1276"/>
      <c r="H16" s="1276"/>
      <c r="I16" s="1276"/>
      <c r="J16" s="1276"/>
      <c r="K16" s="1276"/>
      <c r="L16" s="1276"/>
      <c r="M16" s="1276"/>
      <c r="N16" s="1276"/>
      <c r="O16" s="1276"/>
      <c r="P16" s="1276"/>
      <c r="Q16" s="1277"/>
    </row>
    <row r="17" spans="2:17" ht="129" customHeight="1">
      <c r="B17" s="77" t="s">
        <v>76</v>
      </c>
      <c r="C17" s="1275" t="s">
        <v>1111</v>
      </c>
      <c r="D17" s="1276"/>
      <c r="E17" s="1276"/>
      <c r="F17" s="1276"/>
      <c r="G17" s="1276"/>
      <c r="H17" s="1276"/>
      <c r="I17" s="1276"/>
      <c r="J17" s="1276"/>
      <c r="K17" s="1276"/>
      <c r="L17" s="1276"/>
      <c r="M17" s="1276"/>
      <c r="N17" s="1276"/>
      <c r="O17" s="1276"/>
      <c r="P17" s="1276"/>
      <c r="Q17" s="1277"/>
    </row>
    <row r="18" spans="2:17">
      <c r="B18" s="77" t="s">
        <v>78</v>
      </c>
      <c r="C18" s="1275" t="s">
        <v>1112</v>
      </c>
      <c r="D18" s="1276"/>
      <c r="E18" s="1276"/>
      <c r="F18" s="1276"/>
      <c r="G18" s="1276"/>
      <c r="H18" s="1276"/>
      <c r="I18" s="1276"/>
      <c r="J18" s="1276"/>
      <c r="K18" s="1276"/>
      <c r="L18" s="1276"/>
      <c r="M18" s="1276"/>
      <c r="N18" s="1276"/>
      <c r="O18" s="1276"/>
      <c r="P18" s="1276"/>
      <c r="Q18" s="1277"/>
    </row>
    <row r="19" spans="2:17">
      <c r="B19" s="77" t="s">
        <v>82</v>
      </c>
      <c r="C19" s="1275"/>
      <c r="D19" s="1276"/>
      <c r="E19" s="1276"/>
      <c r="F19" s="1276"/>
      <c r="G19" s="1276"/>
      <c r="H19" s="1276"/>
      <c r="I19" s="1276"/>
      <c r="J19" s="1276"/>
      <c r="K19" s="1276"/>
      <c r="L19" s="1276"/>
      <c r="M19" s="1276"/>
      <c r="N19" s="1276"/>
      <c r="O19" s="1276"/>
      <c r="P19" s="1276"/>
      <c r="Q19" s="1277"/>
    </row>
    <row r="20" spans="2:17">
      <c r="B20" s="77" t="s">
        <v>84</v>
      </c>
      <c r="C20" s="1275" t="s">
        <v>1113</v>
      </c>
      <c r="D20" s="1276"/>
      <c r="E20" s="1276"/>
      <c r="F20" s="1276"/>
      <c r="G20" s="1276"/>
      <c r="H20" s="1276"/>
      <c r="I20" s="1276"/>
      <c r="J20" s="1276"/>
      <c r="K20" s="1276"/>
      <c r="L20" s="1276"/>
      <c r="M20" s="1276"/>
      <c r="N20" s="1276"/>
      <c r="O20" s="1276"/>
      <c r="P20" s="1276"/>
      <c r="Q20" s="1277"/>
    </row>
    <row r="21" spans="2:17">
      <c r="B21" s="77" t="s">
        <v>86</v>
      </c>
      <c r="C21" s="1275" t="s">
        <v>1114</v>
      </c>
      <c r="D21" s="1276"/>
      <c r="E21" s="1276"/>
      <c r="F21" s="1276"/>
      <c r="G21" s="1276"/>
      <c r="H21" s="1276"/>
      <c r="I21" s="1276"/>
      <c r="J21" s="1276"/>
      <c r="K21" s="1276"/>
      <c r="L21" s="1276"/>
      <c r="M21" s="1276"/>
      <c r="N21" s="1276"/>
      <c r="O21" s="1276"/>
      <c r="P21" s="1276"/>
      <c r="Q21" s="1277"/>
    </row>
    <row r="22" spans="2:17">
      <c r="B22" s="79" t="s">
        <v>88</v>
      </c>
      <c r="C22" s="1279">
        <v>44909</v>
      </c>
      <c r="D22" s="1347"/>
      <c r="E22" s="1347"/>
      <c r="F22" s="1347"/>
      <c r="G22" s="1347"/>
      <c r="H22" s="1347"/>
      <c r="I22" s="1347"/>
      <c r="J22" s="1347"/>
      <c r="K22" s="1347"/>
      <c r="L22" s="1347"/>
      <c r="M22" s="1347"/>
      <c r="N22" s="1347"/>
      <c r="O22" s="1347"/>
      <c r="P22" s="1347"/>
      <c r="Q22" s="1348"/>
    </row>
    <row r="24" spans="2:17">
      <c r="B24" s="98" t="s">
        <v>1115</v>
      </c>
    </row>
    <row r="25" spans="2:17">
      <c r="B25" s="152" t="s">
        <v>192</v>
      </c>
    </row>
    <row r="26" spans="2:17">
      <c r="B26" t="s">
        <v>1116</v>
      </c>
    </row>
    <row r="27" spans="2:17">
      <c r="B27" t="s">
        <v>1117</v>
      </c>
      <c r="E27" s="97" t="s">
        <v>133</v>
      </c>
    </row>
    <row r="28" spans="2:17">
      <c r="B28" s="99" t="s">
        <v>1118</v>
      </c>
      <c r="E28" s="97" t="s">
        <v>431</v>
      </c>
    </row>
    <row r="30" spans="2:17" ht="28.8">
      <c r="B30" s="850" t="s">
        <v>1119</v>
      </c>
      <c r="C30" s="469" t="s">
        <v>119</v>
      </c>
      <c r="D30" s="328" t="s">
        <v>1120</v>
      </c>
      <c r="E30" s="328" t="s">
        <v>1121</v>
      </c>
      <c r="F30" s="328" t="s">
        <v>1122</v>
      </c>
      <c r="G30" s="328" t="s">
        <v>1123</v>
      </c>
      <c r="H30" s="328" t="s">
        <v>1124</v>
      </c>
      <c r="I30" s="329" t="s">
        <v>130</v>
      </c>
    </row>
    <row r="31" spans="2:17">
      <c r="B31" s="119" t="s">
        <v>494</v>
      </c>
      <c r="C31" s="120">
        <v>682254</v>
      </c>
      <c r="D31" s="120"/>
      <c r="E31" s="120"/>
      <c r="F31" s="120">
        <v>117451</v>
      </c>
      <c r="G31" s="120">
        <v>446580</v>
      </c>
      <c r="H31" s="120">
        <v>118223</v>
      </c>
      <c r="I31" s="258" t="s">
        <v>169</v>
      </c>
    </row>
    <row r="34" spans="2:7">
      <c r="B34" s="112" t="s">
        <v>1125</v>
      </c>
      <c r="C34" s="320">
        <f>0.5*F31/2+0.25*F31+0.25*F31/3</f>
        <v>68513.083333333328</v>
      </c>
    </row>
    <row r="35" spans="2:7">
      <c r="B35" s="87" t="s">
        <v>1126</v>
      </c>
      <c r="C35" s="271">
        <f>25500</f>
        <v>25500</v>
      </c>
      <c r="D35" s="97" t="s">
        <v>133</v>
      </c>
    </row>
    <row r="36" spans="2:7">
      <c r="B36" s="119" t="s">
        <v>1127</v>
      </c>
      <c r="C36" s="121">
        <f>C35*C34</f>
        <v>1747083624.9999998</v>
      </c>
    </row>
    <row r="38" spans="2:7">
      <c r="B38" t="s">
        <v>1128</v>
      </c>
    </row>
    <row r="39" spans="2:7">
      <c r="B39" s="843" t="s">
        <v>1058</v>
      </c>
      <c r="C39" s="328" t="s">
        <v>1059</v>
      </c>
      <c r="D39" s="328" t="s">
        <v>129</v>
      </c>
      <c r="E39" s="114" t="s">
        <v>130</v>
      </c>
    </row>
    <row r="40" spans="2:7" ht="28.8">
      <c r="B40" s="261" t="s">
        <v>1077</v>
      </c>
      <c r="C40" s="222">
        <v>0.193</v>
      </c>
      <c r="D40" s="222" t="s">
        <v>1061</v>
      </c>
      <c r="E40" s="223" t="s">
        <v>1129</v>
      </c>
      <c r="F40" t="s">
        <v>1079</v>
      </c>
    </row>
    <row r="42" spans="2:7">
      <c r="B42" s="686" t="s">
        <v>1130</v>
      </c>
      <c r="C42" s="851">
        <f>C36*C40/10^9</f>
        <v>0.33718713962499997</v>
      </c>
      <c r="D42" t="s">
        <v>96</v>
      </c>
    </row>
    <row r="44" spans="2:7">
      <c r="B44" s="98" t="s">
        <v>1131</v>
      </c>
    </row>
    <row r="45" spans="2:7">
      <c r="B45" s="152" t="s">
        <v>192</v>
      </c>
    </row>
    <row r="46" spans="2:7">
      <c r="B46" t="s">
        <v>1132</v>
      </c>
    </row>
    <row r="48" spans="2:7">
      <c r="B48" s="112" t="s">
        <v>1133</v>
      </c>
      <c r="C48" s="113" t="s">
        <v>1134</v>
      </c>
      <c r="D48" s="113" t="s">
        <v>1135</v>
      </c>
      <c r="E48" s="113" t="s">
        <v>1136</v>
      </c>
      <c r="F48" s="113" t="s">
        <v>1137</v>
      </c>
      <c r="G48" s="114" t="s">
        <v>1138</v>
      </c>
    </row>
    <row r="49" spans="2:10">
      <c r="B49" s="119" t="s">
        <v>1139</v>
      </c>
      <c r="C49" s="120">
        <v>52.8</v>
      </c>
      <c r="D49" s="120">
        <v>13.3</v>
      </c>
      <c r="E49" s="120">
        <v>15.3</v>
      </c>
      <c r="F49" s="120">
        <v>12.3</v>
      </c>
      <c r="G49" s="121">
        <v>6.4</v>
      </c>
      <c r="H49" s="97" t="s">
        <v>247</v>
      </c>
    </row>
    <row r="51" spans="2:10">
      <c r="B51" t="s">
        <v>1140</v>
      </c>
      <c r="E51" s="97"/>
    </row>
    <row r="53" spans="2:10">
      <c r="B53" s="852" t="s">
        <v>1141</v>
      </c>
      <c r="C53" s="853">
        <v>20612000</v>
      </c>
      <c r="D53" s="854" t="s">
        <v>325</v>
      </c>
      <c r="E53" s="86"/>
      <c r="F53" s="86"/>
      <c r="G53" s="86"/>
      <c r="H53" s="86"/>
      <c r="I53" s="86"/>
      <c r="J53" s="86"/>
    </row>
    <row r="54" spans="2:10">
      <c r="B54" s="855" t="s">
        <v>1142</v>
      </c>
      <c r="C54" s="856">
        <v>10</v>
      </c>
      <c r="D54" s="86"/>
      <c r="E54" s="86"/>
      <c r="F54" s="86"/>
      <c r="G54" s="86"/>
      <c r="H54" s="86"/>
      <c r="I54" s="86"/>
      <c r="J54" s="86"/>
    </row>
    <row r="55" spans="2:10">
      <c r="B55" s="278" t="s">
        <v>1127</v>
      </c>
      <c r="C55" s="121">
        <f>C53*C54</f>
        <v>206120000</v>
      </c>
    </row>
    <row r="57" spans="2:10">
      <c r="B57" s="843" t="s">
        <v>1058</v>
      </c>
      <c r="C57" s="328" t="s">
        <v>1059</v>
      </c>
      <c r="D57" s="328" t="s">
        <v>129</v>
      </c>
      <c r="E57" s="114" t="s">
        <v>130</v>
      </c>
    </row>
    <row r="58" spans="2:10" ht="28.8">
      <c r="B58" s="261" t="s">
        <v>1077</v>
      </c>
      <c r="C58" s="222">
        <v>0.193</v>
      </c>
      <c r="D58" s="222" t="s">
        <v>1061</v>
      </c>
      <c r="E58" s="223" t="s">
        <v>1129</v>
      </c>
    </row>
    <row r="60" spans="2:10">
      <c r="B60" s="686" t="s">
        <v>1130</v>
      </c>
      <c r="C60" s="851">
        <f>C55*C58/10^9</f>
        <v>3.9781160000000003E-2</v>
      </c>
      <c r="D60" t="s">
        <v>96</v>
      </c>
    </row>
    <row r="62" spans="2:10">
      <c r="B62" s="98" t="s">
        <v>1143</v>
      </c>
    </row>
    <row r="63" spans="2:10">
      <c r="B63" s="152" t="s">
        <v>192</v>
      </c>
    </row>
    <row r="64" spans="2:10">
      <c r="B64" t="s">
        <v>1144</v>
      </c>
    </row>
    <row r="65" spans="2:4">
      <c r="B65" t="s">
        <v>1145</v>
      </c>
    </row>
    <row r="68" spans="2:4">
      <c r="B68" s="112" t="s">
        <v>1146</v>
      </c>
      <c r="C68" s="320">
        <v>5.9880000000000004</v>
      </c>
      <c r="D68" s="97" t="s">
        <v>897</v>
      </c>
    </row>
    <row r="69" spans="2:4">
      <c r="B69" s="87" t="s">
        <v>1147</v>
      </c>
      <c r="C69" s="271">
        <v>40</v>
      </c>
    </row>
    <row r="70" spans="2:4">
      <c r="B70" s="119" t="s">
        <v>1127</v>
      </c>
      <c r="C70" s="121">
        <f>C68*C69*10^6</f>
        <v>239520000</v>
      </c>
    </row>
    <row r="73" spans="2:4">
      <c r="B73" s="686" t="s">
        <v>1148</v>
      </c>
      <c r="C73" s="851">
        <f>C70*C40/10^9</f>
        <v>4.6227360000000002E-2</v>
      </c>
    </row>
  </sheetData>
  <mergeCells count="19">
    <mergeCell ref="B5:D5"/>
    <mergeCell ref="F5:Q5"/>
    <mergeCell ref="F6:G6"/>
    <mergeCell ref="H6:Q6"/>
    <mergeCell ref="C7:D7"/>
    <mergeCell ref="F7:G8"/>
    <mergeCell ref="H7:Q8"/>
    <mergeCell ref="C8:D8"/>
    <mergeCell ref="C10:D10"/>
    <mergeCell ref="C12:D12"/>
    <mergeCell ref="B14:Q14"/>
    <mergeCell ref="C15:Q15"/>
    <mergeCell ref="C16:Q16"/>
    <mergeCell ref="C21:Q21"/>
    <mergeCell ref="C22:Q22"/>
    <mergeCell ref="C17:Q17"/>
    <mergeCell ref="C18:Q18"/>
    <mergeCell ref="C19:Q19"/>
    <mergeCell ref="C20:Q20"/>
  </mergeCells>
  <conditionalFormatting sqref="C8">
    <cfRule type="containsText" dxfId="461" priority="40" operator="containsText" text="Calcul validé">
      <formula>NOT(ISERROR(SEARCH("Calcul validé",C8)))</formula>
    </cfRule>
  </conditionalFormatting>
  <conditionalFormatting sqref="C8">
    <cfRule type="containsText" dxfId="460" priority="39" operator="containsText" text="Bon ordre de grandeur">
      <formula>NOT(ISERROR(SEARCH("Bon ordre de grandeur",C8)))</formula>
    </cfRule>
  </conditionalFormatting>
  <conditionalFormatting sqref="C8">
    <cfRule type="containsText" dxfId="459" priority="38" operator="containsText" text="Calcul brouillon, ordre de grandeur">
      <formula>NOT(ISERROR(SEARCH("Calcul brouillon, ordre de grandeur",C8)))</formula>
    </cfRule>
  </conditionalFormatting>
  <conditionalFormatting sqref="C8">
    <cfRule type="containsText" dxfId="458" priority="37" operator="containsText" text="Pas ok">
      <formula>NOT(ISERROR(SEARCH("Pas ok",C8)))</formula>
    </cfRule>
  </conditionalFormatting>
  <conditionalFormatting sqref="C8">
    <cfRule type="containsText" dxfId="457" priority="36" operator="containsText" text="Calcul validé">
      <formula>NOT(ISERROR(SEARCH("Calcul validé",C8)))</formula>
    </cfRule>
  </conditionalFormatting>
  <conditionalFormatting sqref="C8">
    <cfRule type="containsText" dxfId="456" priority="35" operator="containsText" text="Calcul validé">
      <formula>NOT(ISERROR(SEARCH("Calcul validé",C8)))</formula>
    </cfRule>
  </conditionalFormatting>
  <conditionalFormatting sqref="C8">
    <cfRule type="containsText" dxfId="455" priority="34" operator="containsText" text="Bon ordre de grandeur">
      <formula>NOT(ISERROR(SEARCH("Bon ordre de grandeur",C8)))</formula>
    </cfRule>
  </conditionalFormatting>
  <conditionalFormatting sqref="C8">
    <cfRule type="containsText" dxfId="454" priority="33" operator="containsText" text="Calcul brouillon, ordre de grandeur">
      <formula>NOT(ISERROR(SEARCH("Calcul brouillon, ordre de grandeur",C8)))</formula>
    </cfRule>
  </conditionalFormatting>
  <conditionalFormatting sqref="C8">
    <cfRule type="containsText" dxfId="453" priority="32" operator="containsText" text="Pas ok">
      <formula>NOT(ISERROR(SEARCH("Pas ok",C8)))</formula>
    </cfRule>
  </conditionalFormatting>
  <conditionalFormatting sqref="C8">
    <cfRule type="containsText" dxfId="452" priority="31" operator="containsText" text="Calcul brouillon, odg">
      <formula>NOT(ISERROR(SEARCH("Calcul brouillon, odg",C8)))</formula>
    </cfRule>
  </conditionalFormatting>
  <conditionalFormatting sqref="C12">
    <cfRule type="containsText" dxfId="451" priority="10" operator="containsText" text="Calcul validé">
      <formula>NOT(ISERROR(SEARCH("Calcul validé",C12)))</formula>
    </cfRule>
  </conditionalFormatting>
  <conditionalFormatting sqref="C12">
    <cfRule type="containsText" dxfId="450" priority="9" operator="containsText" text="Bon ordre de grandeur">
      <formula>NOT(ISERROR(SEARCH("Bon ordre de grandeur",C12)))</formula>
    </cfRule>
  </conditionalFormatting>
  <conditionalFormatting sqref="C12">
    <cfRule type="containsText" dxfId="449" priority="8" operator="containsText" text="Calcul brouillon, ordre de grandeur">
      <formula>NOT(ISERROR(SEARCH("Calcul brouillon, ordre de grandeur",C12)))</formula>
    </cfRule>
  </conditionalFormatting>
  <conditionalFormatting sqref="C12">
    <cfRule type="containsText" dxfId="448" priority="7" operator="containsText" text="Pas ok">
      <formula>NOT(ISERROR(SEARCH("Pas ok",C12)))</formula>
    </cfRule>
  </conditionalFormatting>
  <conditionalFormatting sqref="C12">
    <cfRule type="containsText" dxfId="447" priority="6" operator="containsText" text="Calcul validé">
      <formula>NOT(ISERROR(SEARCH("Calcul validé",C12)))</formula>
    </cfRule>
  </conditionalFormatting>
  <conditionalFormatting sqref="C12">
    <cfRule type="containsText" dxfId="446" priority="5" operator="containsText" text="Calcul validé">
      <formula>NOT(ISERROR(SEARCH("Calcul validé",C12)))</formula>
    </cfRule>
  </conditionalFormatting>
  <conditionalFormatting sqref="C12">
    <cfRule type="containsText" dxfId="445" priority="4" operator="containsText" text="Bon ordre de grandeur">
      <formula>NOT(ISERROR(SEARCH("Bon ordre de grandeur",C12)))</formula>
    </cfRule>
  </conditionalFormatting>
  <conditionalFormatting sqref="C12">
    <cfRule type="containsText" dxfId="444" priority="3" operator="containsText" text="Calcul brouillon, ordre de grandeur">
      <formula>NOT(ISERROR(SEARCH("Calcul brouillon, ordre de grandeur",C12)))</formula>
    </cfRule>
  </conditionalFormatting>
  <conditionalFormatting sqref="C12">
    <cfRule type="containsText" dxfId="443" priority="2" operator="containsText" text="Pas ok">
      <formula>NOT(ISERROR(SEARCH("Pas ok",C12)))</formula>
    </cfRule>
  </conditionalFormatting>
  <conditionalFormatting sqref="C12:D12">
    <cfRule type="containsText" dxfId="442" priority="1" operator="containsText" text="Calcul brouillon, odg">
      <formula>NOT(ISERROR(SEARCH("Calcul brouillon, odg",C12)))</formula>
    </cfRule>
  </conditionalFormatting>
  <pageMargins left="0.7" right="0.7" top="0.75" bottom="0.75" header="0.3" footer="0.3"/>
  <pageSetup paperSize="9" orientation="portrait" horizontalDpi="0" verticalDpi="0"/>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'Annexe 1'!$B$5:$B$8</xm:f>
          </x14:formula1>
          <xm:sqref>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0"/>
  </sheetPr>
  <dimension ref="A1:I28"/>
  <sheetViews>
    <sheetView zoomScale="90" workbookViewId="0">
      <selection activeCell="B41" sqref="B41"/>
    </sheetView>
  </sheetViews>
  <sheetFormatPr baseColWidth="10" defaultColWidth="8.77734375" defaultRowHeight="13.8"/>
  <cols>
    <col min="1" max="1" width="4.44140625" style="15" customWidth="1"/>
    <col min="2" max="2" width="22.44140625" style="15" customWidth="1"/>
    <col min="3" max="3" width="17.44140625" style="15" customWidth="1"/>
    <col min="4" max="4" width="58" style="15" customWidth="1"/>
    <col min="5" max="5" width="22.44140625" style="15" customWidth="1"/>
    <col min="6" max="6" width="11.77734375" style="15" bestFit="1" customWidth="1"/>
    <col min="7" max="7" width="15" style="15" customWidth="1"/>
    <col min="8" max="8" width="11.44140625" style="15" customWidth="1"/>
    <col min="9" max="10" width="8.77734375" style="15"/>
    <col min="11" max="11" width="14.77734375" style="15" customWidth="1"/>
    <col min="12" max="12" width="13.77734375" style="15" customWidth="1"/>
    <col min="13" max="14" width="8.77734375" style="15"/>
    <col min="15" max="15" width="13.44140625" style="15" customWidth="1"/>
    <col min="16" max="16" width="14.44140625" style="15" customWidth="1"/>
    <col min="17" max="16384" width="8.77734375" style="15"/>
  </cols>
  <sheetData>
    <row r="1" spans="1:9">
      <c r="A1" s="16"/>
    </row>
    <row r="2" spans="1:9">
      <c r="B2" s="17" t="s">
        <v>21</v>
      </c>
    </row>
    <row r="4" spans="1:9">
      <c r="B4" s="18" t="s">
        <v>22</v>
      </c>
      <c r="C4" s="18" t="s">
        <v>23</v>
      </c>
      <c r="D4" s="18" t="s">
        <v>24</v>
      </c>
      <c r="E4" s="18" t="s">
        <v>25</v>
      </c>
      <c r="F4" s="18" t="s">
        <v>26</v>
      </c>
      <c r="G4" s="18" t="s">
        <v>27</v>
      </c>
      <c r="H4" s="18" t="s">
        <v>28</v>
      </c>
    </row>
    <row r="5" spans="1:9">
      <c r="B5" s="1240" t="s">
        <v>29</v>
      </c>
      <c r="C5" s="19">
        <v>1</v>
      </c>
      <c r="D5" s="20" t="s">
        <v>30</v>
      </c>
      <c r="E5" s="21">
        <f>'1'!C6</f>
        <v>4.2942955461075494</v>
      </c>
      <c r="F5" s="22" t="str">
        <f>'1'!C7</f>
        <v>v1.0.f</v>
      </c>
      <c r="G5" s="23">
        <f t="shared" ref="G5:G27" si="0">E5/$E$28</f>
        <v>8.7414826060633471E-2</v>
      </c>
      <c r="H5" s="24" t="str">
        <f>'22'!C8</f>
        <v>Bon ordre de grandeur</v>
      </c>
    </row>
    <row r="6" spans="1:9">
      <c r="B6" s="1240"/>
      <c r="C6" s="25">
        <v>7</v>
      </c>
      <c r="D6" s="20" t="s">
        <v>31</v>
      </c>
      <c r="E6" s="21">
        <f>'7'!C6</f>
        <v>0.16533735625222309</v>
      </c>
      <c r="F6" s="21" t="str">
        <f>'7'!C7</f>
        <v>v1.0.g</v>
      </c>
      <c r="G6" s="23">
        <f t="shared" si="0"/>
        <v>3.3656128421839879E-3</v>
      </c>
      <c r="H6" s="24" t="str">
        <f>'6'!C8</f>
        <v>Bon ordre de grandeur</v>
      </c>
    </row>
    <row r="7" spans="1:9">
      <c r="B7" s="1240"/>
      <c r="C7" s="26">
        <v>6</v>
      </c>
      <c r="D7" s="20" t="s">
        <v>32</v>
      </c>
      <c r="E7" s="21">
        <f>'6'!C6</f>
        <v>0.81457492614674787</v>
      </c>
      <c r="F7" s="22" t="str">
        <f>'6'!C7</f>
        <v>v1.0.g</v>
      </c>
      <c r="G7" s="23">
        <f t="shared" si="0"/>
        <v>1.6581514876640023E-2</v>
      </c>
      <c r="H7" s="24" t="str">
        <f>'6'!C8</f>
        <v>Bon ordre de grandeur</v>
      </c>
    </row>
    <row r="8" spans="1:9">
      <c r="B8" s="1240"/>
      <c r="C8" s="27">
        <v>8</v>
      </c>
      <c r="D8" s="20" t="s">
        <v>33</v>
      </c>
      <c r="E8" s="28">
        <v>0</v>
      </c>
      <c r="F8" s="28"/>
      <c r="G8" s="23">
        <f t="shared" si="0"/>
        <v>0</v>
      </c>
      <c r="H8" s="24"/>
    </row>
    <row r="9" spans="1:9" ht="14.4">
      <c r="B9" s="29" t="s">
        <v>34</v>
      </c>
      <c r="C9" s="30">
        <v>9</v>
      </c>
      <c r="D9" s="20" t="s">
        <v>35</v>
      </c>
      <c r="E9" s="21">
        <f>'9'!C6</f>
        <v>31.88441606665198</v>
      </c>
      <c r="F9" s="22" t="s">
        <v>36</v>
      </c>
      <c r="G9" s="23">
        <f t="shared" si="0"/>
        <v>0.64904025691422351</v>
      </c>
      <c r="H9" s="31"/>
    </row>
    <row r="10" spans="1:9">
      <c r="B10" s="1241" t="s">
        <v>37</v>
      </c>
      <c r="C10" s="32">
        <v>16</v>
      </c>
      <c r="D10" s="20" t="s">
        <v>38</v>
      </c>
      <c r="E10" s="21">
        <f>'16'!C6</f>
        <v>4.2889220913890274</v>
      </c>
      <c r="F10" s="22" t="str">
        <f>'16'!C7</f>
        <v>v1.4</v>
      </c>
      <c r="G10" s="23">
        <f t="shared" si="0"/>
        <v>8.7305443833788354E-2</v>
      </c>
      <c r="H10" s="24" t="str">
        <f>'16'!C8</f>
        <v>Bon ordre de grandeur</v>
      </c>
    </row>
    <row r="11" spans="1:9" ht="14.4">
      <c r="B11" s="1241"/>
      <c r="C11" s="33">
        <v>2</v>
      </c>
      <c r="D11" s="20" t="s">
        <v>39</v>
      </c>
      <c r="E11" s="21">
        <f>'2'!C6</f>
        <v>0.28033973337519469</v>
      </c>
      <c r="F11" s="22" t="str">
        <f>'2'!C7</f>
        <v>v1.2</v>
      </c>
      <c r="G11" s="23">
        <f t="shared" si="0"/>
        <v>5.7066051387845637E-3</v>
      </c>
      <c r="H11" s="24" t="str">
        <f>'2'!C8</f>
        <v>Bon ordre de grandeur</v>
      </c>
      <c r="I11" s="34"/>
    </row>
    <row r="12" spans="1:9" ht="14.4">
      <c r="B12" s="1241"/>
      <c r="C12" s="35">
        <v>13</v>
      </c>
      <c r="D12" s="20" t="s">
        <v>40</v>
      </c>
      <c r="E12" s="21">
        <f>'13'!C6</f>
        <v>0.42319565962499994</v>
      </c>
      <c r="F12" s="22" t="str">
        <f>'13'!C7</f>
        <v>v1.2</v>
      </c>
      <c r="G12" s="23">
        <f t="shared" si="0"/>
        <v>8.6145852278998961E-3</v>
      </c>
      <c r="H12" s="24"/>
    </row>
    <row r="13" spans="1:9">
      <c r="B13" s="1241"/>
      <c r="C13" s="32">
        <v>22</v>
      </c>
      <c r="D13" s="20" t="s">
        <v>41</v>
      </c>
      <c r="E13" s="21">
        <f>'22'!C6</f>
        <v>1.7668808161065837</v>
      </c>
      <c r="F13" s="22" t="str">
        <f>'22'!C7</f>
        <v>v1.3</v>
      </c>
      <c r="G13" s="23">
        <f t="shared" si="0"/>
        <v>3.5966685932882672E-2</v>
      </c>
      <c r="H13" s="24" t="str">
        <f>'22'!C8</f>
        <v>Bon ordre de grandeur</v>
      </c>
    </row>
    <row r="14" spans="1:9" ht="14.4">
      <c r="B14" s="36" t="s">
        <v>42</v>
      </c>
      <c r="C14" s="30">
        <v>10</v>
      </c>
      <c r="D14" s="20" t="s">
        <v>42</v>
      </c>
      <c r="E14" s="21">
        <f>'10'!C6</f>
        <v>3.7433770400735602</v>
      </c>
      <c r="F14" s="22" t="s">
        <v>43</v>
      </c>
      <c r="G14" s="23">
        <f t="shared" si="0"/>
        <v>7.6200310231093707E-2</v>
      </c>
      <c r="H14" s="31" t="s">
        <v>44</v>
      </c>
    </row>
    <row r="15" spans="1:9">
      <c r="B15" s="1242" t="s">
        <v>45</v>
      </c>
      <c r="C15" s="37">
        <v>4</v>
      </c>
      <c r="D15" s="20" t="s">
        <v>46</v>
      </c>
      <c r="E15" s="21">
        <f>'4'!C6</f>
        <v>1.042020053415007</v>
      </c>
      <c r="F15" s="22" t="s">
        <v>47</v>
      </c>
      <c r="G15" s="23">
        <f t="shared" si="0"/>
        <v>2.1211395616104984E-2</v>
      </c>
      <c r="H15" s="38">
        <f>'22'!C10</f>
        <v>0</v>
      </c>
    </row>
    <row r="16" spans="1:9">
      <c r="B16" s="1242"/>
      <c r="C16" s="27">
        <v>12</v>
      </c>
      <c r="D16" s="20" t="s">
        <v>48</v>
      </c>
      <c r="E16" s="28">
        <v>0</v>
      </c>
      <c r="F16" s="28"/>
      <c r="G16" s="23">
        <f t="shared" si="0"/>
        <v>0</v>
      </c>
      <c r="H16" s="24"/>
    </row>
    <row r="17" spans="2:8">
      <c r="B17" s="1242"/>
      <c r="C17" s="27">
        <v>17</v>
      </c>
      <c r="D17" s="20" t="s">
        <v>49</v>
      </c>
      <c r="E17" s="28">
        <v>0</v>
      </c>
      <c r="F17" s="28"/>
      <c r="G17" s="23">
        <f t="shared" si="0"/>
        <v>0</v>
      </c>
      <c r="H17" s="24"/>
    </row>
    <row r="18" spans="2:8" ht="14.4">
      <c r="B18" s="1242"/>
      <c r="C18" s="35">
        <v>11</v>
      </c>
      <c r="D18" s="20" t="s">
        <v>50</v>
      </c>
      <c r="E18" s="21">
        <f>'11'!C6</f>
        <v>0.422123648144</v>
      </c>
      <c r="F18" s="28"/>
      <c r="G18" s="23">
        <f t="shared" si="0"/>
        <v>8.5927633257647362E-3</v>
      </c>
      <c r="H18" s="24"/>
    </row>
    <row r="19" spans="2:8">
      <c r="B19" s="1243" t="s">
        <v>51</v>
      </c>
      <c r="C19" s="37">
        <v>3</v>
      </c>
      <c r="D19" s="20" t="s">
        <v>52</v>
      </c>
      <c r="E19" s="28">
        <v>0</v>
      </c>
      <c r="F19" s="22" t="s">
        <v>53</v>
      </c>
      <c r="G19" s="23">
        <f t="shared" si="0"/>
        <v>0</v>
      </c>
      <c r="H19" s="22" t="s">
        <v>53</v>
      </c>
    </row>
    <row r="20" spans="2:8">
      <c r="B20" s="1243"/>
      <c r="C20" s="37">
        <v>5</v>
      </c>
      <c r="D20" s="20" t="s">
        <v>54</v>
      </c>
      <c r="E20" s="28">
        <v>0</v>
      </c>
      <c r="F20" s="22" t="s">
        <v>53</v>
      </c>
      <c r="G20" s="23">
        <f t="shared" si="0"/>
        <v>0</v>
      </c>
      <c r="H20" s="22" t="s">
        <v>53</v>
      </c>
    </row>
    <row r="21" spans="2:8">
      <c r="B21" s="1243"/>
      <c r="C21" s="27">
        <v>14</v>
      </c>
      <c r="D21" s="20" t="s">
        <v>55</v>
      </c>
      <c r="E21" s="28">
        <v>0</v>
      </c>
      <c r="F21" s="22" t="s">
        <v>53</v>
      </c>
      <c r="G21" s="23">
        <f t="shared" si="0"/>
        <v>0</v>
      </c>
      <c r="H21" s="22" t="s">
        <v>53</v>
      </c>
    </row>
    <row r="22" spans="2:8">
      <c r="B22" s="1243"/>
      <c r="C22" s="27">
        <v>15</v>
      </c>
      <c r="D22" s="20" t="s">
        <v>56</v>
      </c>
      <c r="E22" s="28">
        <v>0</v>
      </c>
      <c r="F22" s="22" t="s">
        <v>53</v>
      </c>
      <c r="G22" s="23">
        <f t="shared" si="0"/>
        <v>0</v>
      </c>
      <c r="H22" s="22" t="s">
        <v>53</v>
      </c>
    </row>
    <row r="23" spans="2:8">
      <c r="B23" s="1243"/>
      <c r="C23" s="27">
        <v>18</v>
      </c>
      <c r="D23" s="20" t="s">
        <v>57</v>
      </c>
      <c r="E23" s="28">
        <v>0</v>
      </c>
      <c r="F23" s="22" t="s">
        <v>53</v>
      </c>
      <c r="G23" s="23">
        <f t="shared" si="0"/>
        <v>0</v>
      </c>
      <c r="H23" s="22" t="s">
        <v>53</v>
      </c>
    </row>
    <row r="24" spans="2:8">
      <c r="B24" s="1243"/>
      <c r="C24" s="27">
        <v>19</v>
      </c>
      <c r="D24" s="20" t="s">
        <v>58</v>
      </c>
      <c r="E24" s="28">
        <v>0</v>
      </c>
      <c r="F24" s="22" t="s">
        <v>53</v>
      </c>
      <c r="G24" s="23">
        <f t="shared" si="0"/>
        <v>0</v>
      </c>
      <c r="H24" s="22" t="s">
        <v>53</v>
      </c>
    </row>
    <row r="25" spans="2:8">
      <c r="B25" s="1243"/>
      <c r="C25" s="27">
        <v>20</v>
      </c>
      <c r="D25" s="20" t="s">
        <v>59</v>
      </c>
      <c r="E25" s="28">
        <v>0</v>
      </c>
      <c r="F25" s="22" t="s">
        <v>53</v>
      </c>
      <c r="G25" s="23">
        <f t="shared" si="0"/>
        <v>0</v>
      </c>
      <c r="H25" s="22" t="s">
        <v>53</v>
      </c>
    </row>
    <row r="26" spans="2:8">
      <c r="B26" s="1243"/>
      <c r="C26" s="27">
        <v>21</v>
      </c>
      <c r="D26" s="20" t="s">
        <v>60</v>
      </c>
      <c r="E26" s="28">
        <v>0</v>
      </c>
      <c r="F26" s="22" t="s">
        <v>53</v>
      </c>
      <c r="G26" s="23">
        <f t="shared" si="0"/>
        <v>0</v>
      </c>
      <c r="H26" s="22" t="s">
        <v>53</v>
      </c>
    </row>
    <row r="27" spans="2:8">
      <c r="B27" s="1243"/>
      <c r="C27" s="27">
        <v>23</v>
      </c>
      <c r="D27" s="20" t="s">
        <v>61</v>
      </c>
      <c r="E27" s="28">
        <v>0</v>
      </c>
      <c r="F27" s="22" t="s">
        <v>53</v>
      </c>
      <c r="G27" s="23">
        <f t="shared" si="0"/>
        <v>0</v>
      </c>
      <c r="H27" s="22" t="s">
        <v>53</v>
      </c>
    </row>
    <row r="28" spans="2:8">
      <c r="B28" s="39" t="s">
        <v>62</v>
      </c>
      <c r="C28" s="40"/>
      <c r="D28" s="41"/>
      <c r="E28" s="42">
        <f>SUM(E5:E27)</f>
        <v>49.125482937286876</v>
      </c>
      <c r="F28" s="40"/>
      <c r="G28" s="40"/>
      <c r="H28" s="40"/>
    </row>
  </sheetData>
  <mergeCells count="4">
    <mergeCell ref="B5:B8"/>
    <mergeCell ref="B10:B13"/>
    <mergeCell ref="B15:B18"/>
    <mergeCell ref="B19:B27"/>
  </mergeCells>
  <conditionalFormatting sqref="H6:H18">
    <cfRule type="containsText" dxfId="975" priority="20" operator="containsText" text="Calcul validé">
      <formula>NOT(ISERROR(SEARCH("Calcul validé",H6)))</formula>
    </cfRule>
  </conditionalFormatting>
  <conditionalFormatting sqref="H6:H18">
    <cfRule type="containsText" dxfId="974" priority="19" operator="containsText" text="Bon ordre de grandeur">
      <formula>NOT(ISERROR(SEARCH("Bon ordre de grandeur",H6)))</formula>
    </cfRule>
  </conditionalFormatting>
  <conditionalFormatting sqref="H6:H18">
    <cfRule type="containsText" dxfId="973" priority="18" operator="containsText" text="Calcul brouillon, ordre de grandeur">
      <formula>NOT(ISERROR(SEARCH("Calcul brouillon, ordre de grandeur",H6)))</formula>
    </cfRule>
  </conditionalFormatting>
  <conditionalFormatting sqref="H6:H18">
    <cfRule type="containsText" dxfId="972" priority="17" operator="containsText" text="Pas ok">
      <formula>NOT(ISERROR(SEARCH("Pas ok",H6)))</formula>
    </cfRule>
  </conditionalFormatting>
  <conditionalFormatting sqref="H6:H18">
    <cfRule type="containsText" dxfId="971" priority="16" operator="containsText" text="Calcul validé">
      <formula>NOT(ISERROR(SEARCH("Calcul validé",H6)))</formula>
    </cfRule>
  </conditionalFormatting>
  <conditionalFormatting sqref="H6:H18">
    <cfRule type="containsText" dxfId="970" priority="15" operator="containsText" text="Calcul validé">
      <formula>NOT(ISERROR(SEARCH("Calcul validé",H6)))</formula>
    </cfRule>
  </conditionalFormatting>
  <conditionalFormatting sqref="H6:H18">
    <cfRule type="containsText" dxfId="969" priority="14" operator="containsText" text="Bon ordre de grandeur">
      <formula>NOT(ISERROR(SEARCH("Bon ordre de grandeur",H6)))</formula>
    </cfRule>
  </conditionalFormatting>
  <conditionalFormatting sqref="H6:H18">
    <cfRule type="containsText" dxfId="968" priority="13" operator="containsText" text="Calcul brouillon, ordre de grandeur">
      <formula>NOT(ISERROR(SEARCH("Calcul brouillon, ordre de grandeur",H6)))</formula>
    </cfRule>
  </conditionalFormatting>
  <conditionalFormatting sqref="H6:H18">
    <cfRule type="containsText" dxfId="967" priority="12" operator="containsText" text="Pas ok">
      <formula>NOT(ISERROR(SEARCH("Pas ok",H6)))</formula>
    </cfRule>
  </conditionalFormatting>
  <conditionalFormatting sqref="H6:H18">
    <cfRule type="containsText" dxfId="966" priority="11" operator="containsText" text="Calcul brouillon, odg">
      <formula>NOT(ISERROR(SEARCH("Calcul brouillon, odg",H6)))</formula>
    </cfRule>
  </conditionalFormatting>
  <conditionalFormatting sqref="H5">
    <cfRule type="containsText" dxfId="965" priority="10" operator="containsText" text="Calcul validé">
      <formula>NOT(ISERROR(SEARCH("Calcul validé",H5)))</formula>
    </cfRule>
  </conditionalFormatting>
  <conditionalFormatting sqref="H5">
    <cfRule type="containsText" dxfId="964" priority="9" operator="containsText" text="Bon ordre de grandeur">
      <formula>NOT(ISERROR(SEARCH("Bon ordre de grandeur",H5)))</formula>
    </cfRule>
  </conditionalFormatting>
  <conditionalFormatting sqref="H5">
    <cfRule type="containsText" dxfId="963" priority="8" operator="containsText" text="Calcul brouillon, ordre de grandeur">
      <formula>NOT(ISERROR(SEARCH("Calcul brouillon, ordre de grandeur",H5)))</formula>
    </cfRule>
  </conditionalFormatting>
  <conditionalFormatting sqref="H5">
    <cfRule type="containsText" dxfId="962" priority="7" operator="containsText" text="Pas ok">
      <formula>NOT(ISERROR(SEARCH("Pas ok",H5)))</formula>
    </cfRule>
  </conditionalFormatting>
  <conditionalFormatting sqref="H5">
    <cfRule type="containsText" dxfId="961" priority="6" operator="containsText" text="Calcul validé">
      <formula>NOT(ISERROR(SEARCH("Calcul validé",H5)))</formula>
    </cfRule>
  </conditionalFormatting>
  <conditionalFormatting sqref="H5">
    <cfRule type="containsText" dxfId="960" priority="5" operator="containsText" text="Calcul validé">
      <formula>NOT(ISERROR(SEARCH("Calcul validé",H5)))</formula>
    </cfRule>
  </conditionalFormatting>
  <conditionalFormatting sqref="H5">
    <cfRule type="containsText" dxfId="959" priority="4" operator="containsText" text="Bon ordre de grandeur">
      <formula>NOT(ISERROR(SEARCH("Bon ordre de grandeur",H5)))</formula>
    </cfRule>
  </conditionalFormatting>
  <conditionalFormatting sqref="H5">
    <cfRule type="containsText" dxfId="958" priority="3" operator="containsText" text="Calcul brouillon, ordre de grandeur">
      <formula>NOT(ISERROR(SEARCH("Calcul brouillon, ordre de grandeur",H5)))</formula>
    </cfRule>
  </conditionalFormatting>
  <conditionalFormatting sqref="H5">
    <cfRule type="containsText" dxfId="957" priority="2" operator="containsText" text="Pas ok">
      <formula>NOT(ISERROR(SEARCH("Pas ok",H5)))</formula>
    </cfRule>
  </conditionalFormatting>
  <conditionalFormatting sqref="H5">
    <cfRule type="containsText" dxfId="956" priority="1" operator="containsText" text="Calcul brouillon, odg">
      <formula>NOT(ISERROR(SEARCH("Calcul brouillon, odg",H5)))</formula>
    </cfRule>
  </conditionalFormatting>
  <hyperlinks>
    <hyperlink ref="C5" location="'1'!A1" display="'1'!A1" xr:uid="{00000000-0004-0000-0100-000000000000}"/>
    <hyperlink ref="C7" location="'6'!A1" display="'6'!A1" xr:uid="{00000000-0004-0000-0100-000001000000}"/>
    <hyperlink ref="C9" location="'9'!A1" display="'9'!A1" xr:uid="{00000000-0004-0000-0100-000002000000}"/>
    <hyperlink ref="C10" location="'16'!A1" display="'16'!A1" xr:uid="{00000000-0004-0000-0100-000003000000}"/>
    <hyperlink ref="C11" location="'2'!A1" display="'2'!A1" xr:uid="{00000000-0004-0000-0100-000004000000}"/>
    <hyperlink ref="C12" location="'13'!A1" display="'13'!A1" xr:uid="{00000000-0004-0000-0100-000005000000}"/>
    <hyperlink ref="C13" location="'22'!A1" display="'22'!A1" xr:uid="{00000000-0004-0000-0100-000006000000}"/>
    <hyperlink ref="C14" location="'10'!A1" display="'10'!A1" xr:uid="{00000000-0004-0000-0100-000007000000}"/>
    <hyperlink ref="C18" location="'11'!A1" display="'11'!A1" xr:uid="{00000000-0004-0000-0100-000008000000}"/>
  </hyperlinks>
  <pageMargins left="0.7" right="0.7" top="0.75" bottom="0.75" header="0.3" footer="0.3"/>
  <pageSetup paperSize="9" orientation="portrait" verticalDpi="30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42">
    <tabColor rgb="FF00B0F0"/>
  </sheetPr>
  <dimension ref="B2:Q15"/>
  <sheetViews>
    <sheetView zoomScale="75" workbookViewId="0">
      <pane ySplit="2" topLeftCell="A3" activePane="bottomLeft" state="frozen"/>
      <selection activeCell="C9" sqref="C9"/>
      <selection pane="bottomLeft"/>
    </sheetView>
  </sheetViews>
  <sheetFormatPr baseColWidth="10" defaultRowHeight="14.4"/>
  <cols>
    <col min="2" max="2" width="43.109375" customWidth="1"/>
    <col min="4" max="4" width="14" bestFit="1" customWidth="1"/>
  </cols>
  <sheetData>
    <row r="2" spans="2:17" ht="18">
      <c r="B2" s="57" t="s">
        <v>38</v>
      </c>
    </row>
    <row r="5" spans="2:17">
      <c r="B5" s="1297" t="s">
        <v>90</v>
      </c>
      <c r="C5" s="1298"/>
      <c r="D5" s="1299"/>
      <c r="F5" s="1340" t="s">
        <v>63</v>
      </c>
      <c r="G5" s="1341"/>
      <c r="H5" s="1341"/>
      <c r="I5" s="1341"/>
      <c r="J5" s="1341"/>
      <c r="K5" s="1341"/>
      <c r="L5" s="1341"/>
      <c r="M5" s="1341"/>
      <c r="N5" s="1341"/>
      <c r="O5" s="1341"/>
      <c r="P5" s="1341"/>
      <c r="Q5" s="1342"/>
    </row>
    <row r="6" spans="2:17" ht="45" customHeight="1">
      <c r="B6" s="58" t="s">
        <v>64</v>
      </c>
      <c r="C6" s="59">
        <f>C15</f>
        <v>4.2889220913890274</v>
      </c>
      <c r="D6" s="60" t="s">
        <v>65</v>
      </c>
      <c r="F6" s="1303" t="s">
        <v>66</v>
      </c>
      <c r="G6" s="1304"/>
      <c r="H6" s="1343" t="s">
        <v>1149</v>
      </c>
      <c r="I6" s="1306"/>
      <c r="J6" s="1306"/>
      <c r="K6" s="1306"/>
      <c r="L6" s="1306"/>
      <c r="M6" s="1306"/>
      <c r="N6" s="1306"/>
      <c r="O6" s="1306"/>
      <c r="P6" s="1306"/>
      <c r="Q6" s="1307"/>
    </row>
    <row r="7" spans="2:17" ht="29.25" customHeight="1">
      <c r="B7" s="61" t="s">
        <v>68</v>
      </c>
      <c r="C7" s="1344" t="str">
        <f>B15</f>
        <v>v1.4</v>
      </c>
      <c r="D7" s="1345"/>
      <c r="F7" s="1308" t="s">
        <v>69</v>
      </c>
      <c r="G7" s="1309"/>
      <c r="H7" s="1346" t="s">
        <v>1150</v>
      </c>
      <c r="I7" s="1313"/>
      <c r="J7" s="1313"/>
      <c r="K7" s="1313"/>
      <c r="L7" s="1313"/>
      <c r="M7" s="1313"/>
      <c r="N7" s="1313"/>
      <c r="O7" s="1313"/>
      <c r="P7" s="1313"/>
      <c r="Q7" s="1314"/>
    </row>
    <row r="8" spans="2:17" ht="116.25" customHeight="1">
      <c r="B8" s="63" t="s">
        <v>28</v>
      </c>
      <c r="C8" s="1318" t="str">
        <f>D15</f>
        <v>Bon ordre de grandeur</v>
      </c>
      <c r="D8" s="1319"/>
      <c r="F8" s="1310"/>
      <c r="G8" s="1311"/>
      <c r="H8" s="1315"/>
      <c r="I8" s="1316"/>
      <c r="J8" s="1316"/>
      <c r="K8" s="1316"/>
      <c r="L8" s="1316"/>
      <c r="M8" s="1316"/>
      <c r="N8" s="1316"/>
      <c r="O8" s="1316"/>
      <c r="P8" s="1316"/>
      <c r="Q8" s="1317"/>
    </row>
    <row r="13" spans="2:17" ht="30.75" customHeight="1">
      <c r="D13" s="418"/>
      <c r="E13" s="1339" t="s">
        <v>335</v>
      </c>
      <c r="F13" s="1339"/>
      <c r="G13" s="1339"/>
      <c r="H13" s="1339"/>
      <c r="I13" s="1339"/>
      <c r="J13" s="1339"/>
      <c r="K13" s="419"/>
    </row>
    <row r="14" spans="2:17" ht="54" customHeight="1">
      <c r="B14" s="420" t="s">
        <v>336</v>
      </c>
      <c r="C14" s="421" t="s">
        <v>337</v>
      </c>
      <c r="D14" s="857" t="s">
        <v>338</v>
      </c>
      <c r="E14" s="426" t="s">
        <v>1151</v>
      </c>
      <c r="F14" s="424" t="s">
        <v>337</v>
      </c>
      <c r="G14" s="425" t="s">
        <v>338</v>
      </c>
      <c r="H14" s="426" t="s">
        <v>1152</v>
      </c>
      <c r="I14" s="424" t="s">
        <v>337</v>
      </c>
      <c r="J14" s="425" t="s">
        <v>338</v>
      </c>
    </row>
    <row r="15" spans="2:17" ht="18" customHeight="1">
      <c r="B15" s="110" t="s">
        <v>1153</v>
      </c>
      <c r="C15" s="88">
        <f>F15+I15</f>
        <v>4.2889220913890274</v>
      </c>
      <c r="D15" s="110" t="s">
        <v>98</v>
      </c>
      <c r="E15" s="88" t="str">
        <f>'16.patients'!C7</f>
        <v>v1.4</v>
      </c>
      <c r="F15" s="88">
        <f>'16.patients'!C6</f>
        <v>3.5284001600236139</v>
      </c>
      <c r="G15" s="858"/>
      <c r="H15" s="88" t="str">
        <f>'16.visiteurs'!C7</f>
        <v>v1.4</v>
      </c>
      <c r="I15" s="88">
        <f>'16.visiteurs'!C6</f>
        <v>0.76052193136541391</v>
      </c>
      <c r="J15" s="858"/>
    </row>
  </sheetData>
  <mergeCells count="9">
    <mergeCell ref="E13:J13"/>
    <mergeCell ref="B5:D5"/>
    <mergeCell ref="F5:Q5"/>
    <mergeCell ref="F6:G6"/>
    <mergeCell ref="H6:Q6"/>
    <mergeCell ref="C7:D7"/>
    <mergeCell ref="F7:G8"/>
    <mergeCell ref="H7:Q8"/>
    <mergeCell ref="C8:D8"/>
  </mergeCells>
  <conditionalFormatting sqref="C8">
    <cfRule type="containsText" dxfId="441" priority="220" operator="containsText" text="Calcul validé">
      <formula>NOT(ISERROR(SEARCH("Calcul validé",C8)))</formula>
    </cfRule>
  </conditionalFormatting>
  <conditionalFormatting sqref="C8">
    <cfRule type="containsText" dxfId="440" priority="219" operator="containsText" text="Bon ordre de grandeur">
      <formula>NOT(ISERROR(SEARCH("Bon ordre de grandeur",C8)))</formula>
    </cfRule>
  </conditionalFormatting>
  <conditionalFormatting sqref="C8">
    <cfRule type="containsText" dxfId="439" priority="218" operator="containsText" text="Calcul brouillon, ordre de grandeur">
      <formula>NOT(ISERROR(SEARCH("Calcul brouillon, ordre de grandeur",C8)))</formula>
    </cfRule>
  </conditionalFormatting>
  <conditionalFormatting sqref="C8">
    <cfRule type="containsText" dxfId="438" priority="217" operator="containsText" text="Pas ok">
      <formula>NOT(ISERROR(SEARCH("Pas ok",C8)))</formula>
    </cfRule>
  </conditionalFormatting>
  <conditionalFormatting sqref="C8">
    <cfRule type="containsText" dxfId="437" priority="216" operator="containsText" text="Calcul validé">
      <formula>NOT(ISERROR(SEARCH("Calcul validé",C8)))</formula>
    </cfRule>
  </conditionalFormatting>
  <conditionalFormatting sqref="C8">
    <cfRule type="containsText" dxfId="436" priority="215" operator="containsText" text="Calcul validé">
      <formula>NOT(ISERROR(SEARCH("Calcul validé",C8)))</formula>
    </cfRule>
  </conditionalFormatting>
  <conditionalFormatting sqref="C8">
    <cfRule type="containsText" dxfId="435" priority="214" operator="containsText" text="Bon ordre de grandeur">
      <formula>NOT(ISERROR(SEARCH("Bon ordre de grandeur",C8)))</formula>
    </cfRule>
  </conditionalFormatting>
  <conditionalFormatting sqref="C8">
    <cfRule type="containsText" dxfId="434" priority="213" operator="containsText" text="Calcul brouillon, ordre de grandeur">
      <formula>NOT(ISERROR(SEARCH("Calcul brouillon, ordre de grandeur",C8)))</formula>
    </cfRule>
  </conditionalFormatting>
  <conditionalFormatting sqref="C8">
    <cfRule type="containsText" dxfId="433" priority="212" operator="containsText" text="Pas ok">
      <formula>NOT(ISERROR(SEARCH("Pas ok",C8)))</formula>
    </cfRule>
  </conditionalFormatting>
  <conditionalFormatting sqref="C8">
    <cfRule type="containsText" dxfId="432" priority="211" operator="containsText" text="Calcul brouillon, odg">
      <formula>NOT(ISERROR(SEARCH("Calcul brouillon, odg",C8)))</formula>
    </cfRule>
  </conditionalFormatting>
  <conditionalFormatting sqref="D15">
    <cfRule type="containsText" dxfId="431" priority="70" operator="containsText" text="Calcul validé">
      <formula>NOT(ISERROR(SEARCH("Calcul validé",D15)))</formula>
    </cfRule>
  </conditionalFormatting>
  <conditionalFormatting sqref="D15">
    <cfRule type="containsText" dxfId="430" priority="69" operator="containsText" text="Bon ordre de grandeur">
      <formula>NOT(ISERROR(SEARCH("Bon ordre de grandeur",D15)))</formula>
    </cfRule>
  </conditionalFormatting>
  <conditionalFormatting sqref="D15">
    <cfRule type="containsText" dxfId="429" priority="68" operator="containsText" text="Calcul brouillon, ordre de grandeur">
      <formula>NOT(ISERROR(SEARCH("Calcul brouillon, ordre de grandeur",D15)))</formula>
    </cfRule>
  </conditionalFormatting>
  <conditionalFormatting sqref="D15">
    <cfRule type="containsText" dxfId="428" priority="67" operator="containsText" text="Pas ok">
      <formula>NOT(ISERROR(SEARCH("Pas ok",D15)))</formula>
    </cfRule>
  </conditionalFormatting>
  <conditionalFormatting sqref="D15">
    <cfRule type="containsText" dxfId="427" priority="66" operator="containsText" text="Calcul validé">
      <formula>NOT(ISERROR(SEARCH("Calcul validé",D15)))</formula>
    </cfRule>
  </conditionalFormatting>
  <conditionalFormatting sqref="D15">
    <cfRule type="containsText" dxfId="426" priority="65" operator="containsText" text="Calcul validé">
      <formula>NOT(ISERROR(SEARCH("Calcul validé",D15)))</formula>
    </cfRule>
  </conditionalFormatting>
  <conditionalFormatting sqref="D15">
    <cfRule type="containsText" dxfId="425" priority="64" operator="containsText" text="Bon ordre de grandeur">
      <formula>NOT(ISERROR(SEARCH("Bon ordre de grandeur",D15)))</formula>
    </cfRule>
  </conditionalFormatting>
  <conditionalFormatting sqref="D15">
    <cfRule type="containsText" dxfId="424" priority="63" operator="containsText" text="Calcul brouillon, ordre de grandeur">
      <formula>NOT(ISERROR(SEARCH("Calcul brouillon, ordre de grandeur",D15)))</formula>
    </cfRule>
  </conditionalFormatting>
  <conditionalFormatting sqref="D15">
    <cfRule type="containsText" dxfId="423" priority="62" operator="containsText" text="Pas ok">
      <formula>NOT(ISERROR(SEARCH("Pas ok",D15)))</formula>
    </cfRule>
  </conditionalFormatting>
  <conditionalFormatting sqref="D15">
    <cfRule type="containsText" dxfId="422" priority="61" operator="containsText" text="Calcul brouillon, odg">
      <formula>NOT(ISERROR(SEARCH("Calcul brouillon, odg",D15)))</formula>
    </cfRule>
  </conditionalFormatting>
  <conditionalFormatting sqref="J15">
    <cfRule type="containsText" dxfId="421" priority="20" operator="containsText" text="Calcul validé">
      <formula>NOT(ISERROR(SEARCH("Calcul validé",J15)))</formula>
    </cfRule>
  </conditionalFormatting>
  <conditionalFormatting sqref="J15">
    <cfRule type="containsText" dxfId="420" priority="19" operator="containsText" text="Bon ordre de grandeur">
      <formula>NOT(ISERROR(SEARCH("Bon ordre de grandeur",J15)))</formula>
    </cfRule>
  </conditionalFormatting>
  <conditionalFormatting sqref="J15">
    <cfRule type="containsText" dxfId="419" priority="18" operator="containsText" text="Calcul brouillon, ordre de grandeur">
      <formula>NOT(ISERROR(SEARCH("Calcul brouillon, ordre de grandeur",J15)))</formula>
    </cfRule>
  </conditionalFormatting>
  <conditionalFormatting sqref="J15">
    <cfRule type="containsText" dxfId="418" priority="17" operator="containsText" text="Pas ok">
      <formula>NOT(ISERROR(SEARCH("Pas ok",J15)))</formula>
    </cfRule>
  </conditionalFormatting>
  <conditionalFormatting sqref="J15">
    <cfRule type="containsText" dxfId="417" priority="16" operator="containsText" text="Calcul validé">
      <formula>NOT(ISERROR(SEARCH("Calcul validé",J15)))</formula>
    </cfRule>
  </conditionalFormatting>
  <conditionalFormatting sqref="J15">
    <cfRule type="containsText" dxfId="416" priority="15" operator="containsText" text="Calcul validé">
      <formula>NOT(ISERROR(SEARCH("Calcul validé",J15)))</formula>
    </cfRule>
  </conditionalFormatting>
  <conditionalFormatting sqref="J15">
    <cfRule type="containsText" dxfId="415" priority="14" operator="containsText" text="Bon ordre de grandeur">
      <formula>NOT(ISERROR(SEARCH("Bon ordre de grandeur",J15)))</formula>
    </cfRule>
  </conditionalFormatting>
  <conditionalFormatting sqref="J15">
    <cfRule type="containsText" dxfId="414" priority="13" operator="containsText" text="Calcul brouillon, ordre de grandeur">
      <formula>NOT(ISERROR(SEARCH("Calcul brouillon, ordre de grandeur",J15)))</formula>
    </cfRule>
  </conditionalFormatting>
  <conditionalFormatting sqref="J15">
    <cfRule type="containsText" dxfId="413" priority="12" operator="containsText" text="Pas ok">
      <formula>NOT(ISERROR(SEARCH("Pas ok",J15)))</formula>
    </cfRule>
  </conditionalFormatting>
  <conditionalFormatting sqref="J15">
    <cfRule type="containsText" dxfId="412" priority="11" operator="containsText" text="Calcul brouillon, odg">
      <formula>NOT(ISERROR(SEARCH("Calcul brouillon, odg",J15)))</formula>
    </cfRule>
  </conditionalFormatting>
  <conditionalFormatting sqref="G15">
    <cfRule type="containsText" dxfId="411" priority="10" operator="containsText" text="Calcul validé">
      <formula>NOT(ISERROR(SEARCH("Calcul validé",G15)))</formula>
    </cfRule>
  </conditionalFormatting>
  <conditionalFormatting sqref="G15">
    <cfRule type="containsText" dxfId="410" priority="9" operator="containsText" text="Bon ordre de grandeur">
      <formula>NOT(ISERROR(SEARCH("Bon ordre de grandeur",G15)))</formula>
    </cfRule>
  </conditionalFormatting>
  <conditionalFormatting sqref="G15">
    <cfRule type="containsText" dxfId="409" priority="8" operator="containsText" text="Calcul brouillon, ordre de grandeur">
      <formula>NOT(ISERROR(SEARCH("Calcul brouillon, ordre de grandeur",G15)))</formula>
    </cfRule>
  </conditionalFormatting>
  <conditionalFormatting sqref="G15">
    <cfRule type="containsText" dxfId="408" priority="7" operator="containsText" text="Pas ok">
      <formula>NOT(ISERROR(SEARCH("Pas ok",G15)))</formula>
    </cfRule>
  </conditionalFormatting>
  <conditionalFormatting sqref="G15">
    <cfRule type="containsText" dxfId="407" priority="6" operator="containsText" text="Calcul validé">
      <formula>NOT(ISERROR(SEARCH("Calcul validé",G15)))</formula>
    </cfRule>
  </conditionalFormatting>
  <conditionalFormatting sqref="G15">
    <cfRule type="containsText" dxfId="406" priority="5" operator="containsText" text="Calcul validé">
      <formula>NOT(ISERROR(SEARCH("Calcul validé",G15)))</formula>
    </cfRule>
  </conditionalFormatting>
  <conditionalFormatting sqref="G15">
    <cfRule type="containsText" dxfId="405" priority="4" operator="containsText" text="Bon ordre de grandeur">
      <formula>NOT(ISERROR(SEARCH("Bon ordre de grandeur",G15)))</formula>
    </cfRule>
  </conditionalFormatting>
  <conditionalFormatting sqref="G15">
    <cfRule type="containsText" dxfId="404" priority="3" operator="containsText" text="Calcul brouillon, ordre de grandeur">
      <formula>NOT(ISERROR(SEARCH("Calcul brouillon, ordre de grandeur",G15)))</formula>
    </cfRule>
  </conditionalFormatting>
  <conditionalFormatting sqref="G15">
    <cfRule type="containsText" dxfId="403" priority="2" operator="containsText" text="Pas ok">
      <formula>NOT(ISERROR(SEARCH("Pas ok",G15)))</formula>
    </cfRule>
  </conditionalFormatting>
  <conditionalFormatting sqref="G15">
    <cfRule type="containsText" dxfId="402" priority="1" operator="containsText" text="Calcul brouillon, odg">
      <formula>NOT(ISERROR(SEARCH("Calcul brouillon, odg",G15)))</formula>
    </cfRule>
  </conditionalFormatting>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'Annexe 1'!$B$5:$B$8</xm:f>
          </x14:formula1>
          <xm:sqref>D15</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43">
    <tabColor theme="4" tint="0.59999389629810485"/>
  </sheetPr>
  <dimension ref="B2:Q276"/>
  <sheetViews>
    <sheetView zoomScale="83" workbookViewId="0">
      <pane ySplit="2" topLeftCell="A3" activePane="bottomLeft" state="frozen"/>
      <selection activeCell="C9" sqref="C9"/>
      <selection pane="bottomLeft"/>
    </sheetView>
  </sheetViews>
  <sheetFormatPr baseColWidth="10" defaultRowHeight="14.4"/>
  <cols>
    <col min="2" max="2" width="43.109375" customWidth="1"/>
    <col min="3" max="3" width="29.44140625" customWidth="1"/>
    <col min="4" max="4" width="35.44140625" customWidth="1"/>
    <col min="5" max="5" width="19" customWidth="1"/>
    <col min="6" max="6" width="18.44140625" customWidth="1"/>
    <col min="7" max="7" width="26.44140625" customWidth="1"/>
    <col min="8" max="8" width="18.44140625" customWidth="1"/>
    <col min="9" max="9" width="14.109375" customWidth="1"/>
    <col min="11" max="11" width="14.109375" customWidth="1"/>
    <col min="12" max="12" width="20.77734375" customWidth="1"/>
  </cols>
  <sheetData>
    <row r="2" spans="2:17" ht="18">
      <c r="B2" s="57" t="s">
        <v>1154</v>
      </c>
    </row>
    <row r="5" spans="2:17">
      <c r="B5" s="1297" t="s">
        <v>90</v>
      </c>
      <c r="C5" s="1298"/>
      <c r="D5" s="1299"/>
      <c r="F5" s="1300" t="s">
        <v>63</v>
      </c>
      <c r="G5" s="1301"/>
      <c r="H5" s="1301"/>
      <c r="I5" s="1301"/>
      <c r="J5" s="1301"/>
      <c r="K5" s="1301"/>
      <c r="L5" s="1301"/>
      <c r="M5" s="1301"/>
      <c r="N5" s="1301"/>
      <c r="O5" s="1301"/>
      <c r="P5" s="1301"/>
      <c r="Q5" s="1302"/>
    </row>
    <row r="6" spans="2:17" ht="45" customHeight="1">
      <c r="B6" s="58" t="s">
        <v>64</v>
      </c>
      <c r="C6" s="59">
        <f>C12</f>
        <v>3.5284001600236139</v>
      </c>
      <c r="D6" s="60" t="s">
        <v>65</v>
      </c>
      <c r="F6" s="1303" t="s">
        <v>66</v>
      </c>
      <c r="G6" s="1304"/>
      <c r="H6" s="1343" t="s">
        <v>1155</v>
      </c>
      <c r="I6" s="1306"/>
      <c r="J6" s="1306"/>
      <c r="K6" s="1306"/>
      <c r="L6" s="1306"/>
      <c r="M6" s="1306"/>
      <c r="N6" s="1306"/>
      <c r="O6" s="1306"/>
      <c r="P6" s="1306"/>
      <c r="Q6" s="1307"/>
    </row>
    <row r="7" spans="2:17" ht="29.25" customHeight="1">
      <c r="B7" s="61" t="s">
        <v>68</v>
      </c>
      <c r="C7" s="1344" t="str">
        <f>C11</f>
        <v>v1.4</v>
      </c>
      <c r="D7" s="1345"/>
      <c r="F7" s="1308" t="s">
        <v>69</v>
      </c>
      <c r="G7" s="1309"/>
      <c r="H7" s="1346" t="s">
        <v>1156</v>
      </c>
      <c r="I7" s="1313"/>
      <c r="J7" s="1313"/>
      <c r="K7" s="1313"/>
      <c r="L7" s="1313"/>
      <c r="M7" s="1313"/>
      <c r="N7" s="1313"/>
      <c r="O7" s="1313"/>
      <c r="P7" s="1313"/>
      <c r="Q7" s="1314"/>
    </row>
    <row r="8" spans="2:17" ht="36" customHeight="1">
      <c r="B8" s="63" t="s">
        <v>28</v>
      </c>
      <c r="C8" s="1318" t="str">
        <f>C13</f>
        <v>Bon ordre de grandeur</v>
      </c>
      <c r="D8" s="1319"/>
      <c r="F8" s="1310"/>
      <c r="G8" s="1311"/>
      <c r="H8" s="1315"/>
      <c r="I8" s="1316"/>
      <c r="J8" s="1316"/>
      <c r="K8" s="1316"/>
      <c r="L8" s="1316"/>
      <c r="M8" s="1316"/>
      <c r="N8" s="1316"/>
      <c r="O8" s="1316"/>
      <c r="P8" s="1316"/>
      <c r="Q8" s="1317"/>
    </row>
    <row r="11" spans="2:17">
      <c r="B11" s="64" t="s">
        <v>93</v>
      </c>
      <c r="C11" s="1287" t="s">
        <v>1153</v>
      </c>
      <c r="D11" s="1288"/>
      <c r="E11" s="65"/>
      <c r="F11" s="65"/>
      <c r="G11" s="65"/>
      <c r="H11" s="65"/>
      <c r="I11" s="65"/>
      <c r="J11" s="65"/>
      <c r="K11" s="65"/>
      <c r="L11" s="65"/>
      <c r="M11" s="65"/>
      <c r="N11" s="65"/>
      <c r="O11" s="65"/>
      <c r="P11" s="65"/>
      <c r="Q11" s="66"/>
    </row>
    <row r="12" spans="2:17">
      <c r="B12" s="67" t="s">
        <v>95</v>
      </c>
      <c r="C12" s="849">
        <f>C275</f>
        <v>3.5284001600236139</v>
      </c>
      <c r="D12" s="69" t="s">
        <v>96</v>
      </c>
      <c r="E12" s="70"/>
      <c r="F12" s="70"/>
      <c r="G12" s="70"/>
      <c r="H12" s="70"/>
      <c r="I12" s="70"/>
      <c r="J12" s="70"/>
      <c r="K12" s="70"/>
      <c r="L12" s="70"/>
      <c r="M12" s="70"/>
      <c r="N12" s="70"/>
      <c r="O12" s="70"/>
      <c r="P12" s="70"/>
      <c r="Q12" s="71"/>
    </row>
    <row r="13" spans="2:17">
      <c r="B13" s="72" t="s">
        <v>97</v>
      </c>
      <c r="C13" s="1289" t="s">
        <v>98</v>
      </c>
      <c r="D13" s="1290"/>
      <c r="E13" s="70"/>
      <c r="F13" s="70"/>
      <c r="G13" s="70"/>
      <c r="H13" s="70"/>
      <c r="I13" s="70"/>
      <c r="J13" s="70"/>
      <c r="K13" s="70"/>
      <c r="L13" s="70"/>
      <c r="M13" s="70"/>
      <c r="N13" s="70"/>
      <c r="O13" s="70"/>
      <c r="P13" s="70"/>
      <c r="Q13" s="71"/>
    </row>
    <row r="14" spans="2:17">
      <c r="B14" s="73"/>
      <c r="C14" s="74"/>
      <c r="D14" s="74"/>
      <c r="E14" s="74"/>
      <c r="F14" s="74"/>
      <c r="G14" s="74"/>
      <c r="H14" s="74"/>
      <c r="I14" s="74"/>
      <c r="J14" s="74"/>
      <c r="K14" s="74"/>
      <c r="L14" s="74"/>
      <c r="M14" s="74"/>
      <c r="N14" s="74"/>
      <c r="O14" s="74"/>
      <c r="P14" s="74"/>
      <c r="Q14" s="75"/>
    </row>
    <row r="15" spans="2:17">
      <c r="B15" s="1351" t="s">
        <v>71</v>
      </c>
      <c r="C15" s="1352"/>
      <c r="D15" s="1352"/>
      <c r="E15" s="1352"/>
      <c r="F15" s="1352"/>
      <c r="G15" s="1352"/>
      <c r="H15" s="1352"/>
      <c r="I15" s="1352"/>
      <c r="J15" s="1352"/>
      <c r="K15" s="1352"/>
      <c r="L15" s="1352"/>
      <c r="M15" s="1352"/>
      <c r="N15" s="1352"/>
      <c r="O15" s="1352"/>
      <c r="P15" s="1352"/>
      <c r="Q15" s="1353"/>
    </row>
    <row r="16" spans="2:17" ht="120" customHeight="1">
      <c r="B16" s="76" t="s">
        <v>72</v>
      </c>
      <c r="C16" s="1294" t="s">
        <v>1157</v>
      </c>
      <c r="D16" s="1295"/>
      <c r="E16" s="1295"/>
      <c r="F16" s="1295"/>
      <c r="G16" s="1295"/>
      <c r="H16" s="1295"/>
      <c r="I16" s="1295"/>
      <c r="J16" s="1295"/>
      <c r="K16" s="1295"/>
      <c r="L16" s="1295"/>
      <c r="M16" s="1295"/>
      <c r="N16" s="1295"/>
      <c r="O16" s="1295"/>
      <c r="P16" s="1295"/>
      <c r="Q16" s="1296"/>
    </row>
    <row r="17" spans="2:17" ht="282" customHeight="1">
      <c r="B17" s="77" t="s">
        <v>74</v>
      </c>
      <c r="C17" s="1453" t="s">
        <v>1158</v>
      </c>
      <c r="D17" s="1276"/>
      <c r="E17" s="1276"/>
      <c r="F17" s="1276"/>
      <c r="G17" s="1276"/>
      <c r="H17" s="1276"/>
      <c r="I17" s="1276"/>
      <c r="J17" s="1276"/>
      <c r="K17" s="1276"/>
      <c r="L17" s="1276"/>
      <c r="M17" s="1276"/>
      <c r="N17" s="1276"/>
      <c r="O17" s="1276"/>
      <c r="P17" s="1276"/>
      <c r="Q17" s="1277"/>
    </row>
    <row r="18" spans="2:17" ht="121.95" customHeight="1">
      <c r="B18" s="77" t="s">
        <v>76</v>
      </c>
      <c r="C18" s="1275" t="s">
        <v>1159</v>
      </c>
      <c r="D18" s="1276"/>
      <c r="E18" s="1276"/>
      <c r="F18" s="1276"/>
      <c r="G18" s="1276"/>
      <c r="H18" s="1276"/>
      <c r="I18" s="1276"/>
      <c r="J18" s="1276"/>
      <c r="K18" s="1276"/>
      <c r="L18" s="1276"/>
      <c r="M18" s="1276"/>
      <c r="N18" s="1276"/>
      <c r="O18" s="1276"/>
      <c r="P18" s="1276"/>
      <c r="Q18" s="1277"/>
    </row>
    <row r="19" spans="2:17" ht="45" customHeight="1">
      <c r="B19" s="77" t="s">
        <v>78</v>
      </c>
      <c r="C19" s="1275" t="s">
        <v>1160</v>
      </c>
      <c r="D19" s="1276"/>
      <c r="E19" s="1276"/>
      <c r="F19" s="1276"/>
      <c r="G19" s="1276"/>
      <c r="H19" s="1276"/>
      <c r="I19" s="1276"/>
      <c r="J19" s="1276"/>
      <c r="K19" s="1276"/>
      <c r="L19" s="1276"/>
      <c r="M19" s="1276"/>
      <c r="N19" s="1276"/>
      <c r="O19" s="1276"/>
      <c r="P19" s="1276"/>
      <c r="Q19" s="1277"/>
    </row>
    <row r="20" spans="2:17" ht="32.549999999999997" customHeight="1">
      <c r="B20" s="77" t="s">
        <v>82</v>
      </c>
      <c r="C20" s="1275" t="s">
        <v>1161</v>
      </c>
      <c r="D20" s="1276"/>
      <c r="E20" s="1276"/>
      <c r="F20" s="1276"/>
      <c r="G20" s="1276"/>
      <c r="H20" s="1276"/>
      <c r="I20" s="1276"/>
      <c r="J20" s="1276"/>
      <c r="K20" s="1276"/>
      <c r="L20" s="1276"/>
      <c r="M20" s="1276"/>
      <c r="N20" s="1276"/>
      <c r="O20" s="1276"/>
      <c r="P20" s="1276"/>
      <c r="Q20" s="1277"/>
    </row>
    <row r="21" spans="2:17">
      <c r="B21" s="77" t="s">
        <v>84</v>
      </c>
      <c r="C21" s="1275" t="s">
        <v>1162</v>
      </c>
      <c r="D21" s="1276"/>
      <c r="E21" s="1276"/>
      <c r="F21" s="1276"/>
      <c r="G21" s="1276"/>
      <c r="H21" s="1276"/>
      <c r="I21" s="1276"/>
      <c r="J21" s="1276"/>
      <c r="K21" s="1276"/>
      <c r="L21" s="1276"/>
      <c r="M21" s="1276"/>
      <c r="N21" s="1276"/>
      <c r="O21" s="1276"/>
      <c r="P21" s="1276"/>
      <c r="Q21" s="1277"/>
    </row>
    <row r="22" spans="2:17">
      <c r="B22" s="77" t="s">
        <v>86</v>
      </c>
      <c r="C22" s="1275"/>
      <c r="D22" s="1276"/>
      <c r="E22" s="1276"/>
      <c r="F22" s="1276"/>
      <c r="G22" s="1276"/>
      <c r="H22" s="1276"/>
      <c r="I22" s="1276"/>
      <c r="J22" s="1276"/>
      <c r="K22" s="1276"/>
      <c r="L22" s="1276"/>
      <c r="M22" s="1276"/>
      <c r="N22" s="1276"/>
      <c r="O22" s="1276"/>
      <c r="P22" s="1276"/>
      <c r="Q22" s="1277"/>
    </row>
    <row r="23" spans="2:17">
      <c r="B23" s="79" t="s">
        <v>88</v>
      </c>
      <c r="C23" s="1279">
        <v>44951</v>
      </c>
      <c r="D23" s="1347"/>
      <c r="E23" s="1347"/>
      <c r="F23" s="1347"/>
      <c r="G23" s="1347"/>
      <c r="H23" s="1347"/>
      <c r="I23" s="1347"/>
      <c r="J23" s="1347"/>
      <c r="K23" s="1347"/>
      <c r="L23" s="1347"/>
      <c r="M23" s="1347"/>
      <c r="N23" s="1347"/>
      <c r="O23" s="1347"/>
      <c r="P23" s="1347"/>
      <c r="Q23" s="1348"/>
    </row>
    <row r="27" spans="2:17">
      <c r="B27" s="859" t="s">
        <v>1163</v>
      </c>
    </row>
    <row r="29" spans="2:17">
      <c r="B29" s="152" t="s">
        <v>192</v>
      </c>
    </row>
    <row r="30" spans="2:17">
      <c r="B30" s="99" t="s">
        <v>1164</v>
      </c>
    </row>
    <row r="31" spans="2:17">
      <c r="B31" t="s">
        <v>1165</v>
      </c>
    </row>
    <row r="32" spans="2:17">
      <c r="B32" t="s">
        <v>1166</v>
      </c>
    </row>
    <row r="34" spans="2:10">
      <c r="B34" t="s">
        <v>1167</v>
      </c>
    </row>
    <row r="35" spans="2:10">
      <c r="B35" t="s">
        <v>1168</v>
      </c>
    </row>
    <row r="36" spans="2:10">
      <c r="B36" t="s">
        <v>1169</v>
      </c>
    </row>
    <row r="38" spans="2:10">
      <c r="B38" s="860" t="s">
        <v>1170</v>
      </c>
      <c r="C38" s="372"/>
      <c r="D38" s="372"/>
      <c r="E38" s="372"/>
      <c r="F38" s="372"/>
      <c r="G38" s="403"/>
      <c r="H38" s="403"/>
      <c r="I38" s="403"/>
      <c r="J38" s="403"/>
    </row>
    <row r="39" spans="2:10" ht="45.75" customHeight="1">
      <c r="B39" s="861"/>
      <c r="C39" s="862" t="s">
        <v>1171</v>
      </c>
      <c r="D39" s="862" t="s">
        <v>1172</v>
      </c>
      <c r="E39" s="862" t="s">
        <v>1173</v>
      </c>
      <c r="F39" s="863" t="s">
        <v>1174</v>
      </c>
      <c r="G39" s="864" t="s">
        <v>133</v>
      </c>
      <c r="H39" s="865"/>
      <c r="J39" s="865"/>
    </row>
    <row r="40" spans="2:10">
      <c r="B40" s="866" t="s">
        <v>1175</v>
      </c>
      <c r="C40" s="867">
        <v>7657767</v>
      </c>
      <c r="D40" s="867">
        <v>3311930</v>
      </c>
      <c r="E40" s="867">
        <v>6617813</v>
      </c>
      <c r="F40" s="868">
        <f t="shared" ref="F40:F52" si="0">SUM(C40:E40)</f>
        <v>17587510</v>
      </c>
      <c r="H40" s="869"/>
      <c r="J40" s="870"/>
    </row>
    <row r="41" spans="2:10">
      <c r="B41" s="866" t="s">
        <v>1176</v>
      </c>
      <c r="C41" s="871">
        <v>3396428</v>
      </c>
      <c r="D41" s="871">
        <v>756629</v>
      </c>
      <c r="E41" s="871">
        <v>4050530</v>
      </c>
      <c r="F41" s="868">
        <f t="shared" si="0"/>
        <v>8203587</v>
      </c>
      <c r="H41" s="872"/>
      <c r="J41" s="872"/>
    </row>
    <row r="42" spans="2:10">
      <c r="B42" s="866" t="s">
        <v>1177</v>
      </c>
      <c r="C42" s="871">
        <v>3220363</v>
      </c>
      <c r="D42" s="871">
        <v>912532</v>
      </c>
      <c r="E42" s="871">
        <v>658440</v>
      </c>
      <c r="F42" s="868">
        <f t="shared" si="0"/>
        <v>4791335</v>
      </c>
      <c r="H42" s="872"/>
      <c r="J42" s="872"/>
    </row>
    <row r="43" spans="2:10">
      <c r="B43" s="873" t="s">
        <v>1178</v>
      </c>
      <c r="C43" s="874">
        <v>1040976</v>
      </c>
      <c r="D43" s="874">
        <v>1642769</v>
      </c>
      <c r="E43" s="874">
        <v>1908843</v>
      </c>
      <c r="F43" s="875">
        <f t="shared" si="0"/>
        <v>4592588</v>
      </c>
      <c r="H43" s="872"/>
      <c r="J43" s="872"/>
    </row>
    <row r="44" spans="2:10">
      <c r="B44" s="876" t="s">
        <v>1179</v>
      </c>
      <c r="C44" s="877">
        <v>7763832</v>
      </c>
      <c r="D44" s="877">
        <v>1200222</v>
      </c>
      <c r="E44" s="877">
        <v>2778716</v>
      </c>
      <c r="F44" s="878">
        <f t="shared" si="0"/>
        <v>11742770</v>
      </c>
      <c r="H44" s="870"/>
      <c r="J44" s="870"/>
    </row>
    <row r="45" spans="2:10">
      <c r="B45" s="866" t="s">
        <v>1176</v>
      </c>
      <c r="C45" s="871">
        <v>6949336</v>
      </c>
      <c r="D45" s="871">
        <v>854703</v>
      </c>
      <c r="E45" s="871">
        <v>2301748</v>
      </c>
      <c r="F45" s="868">
        <f t="shared" si="0"/>
        <v>10105787</v>
      </c>
      <c r="H45" s="872"/>
      <c r="J45" s="872"/>
    </row>
    <row r="46" spans="2:10">
      <c r="B46" s="866" t="s">
        <v>1180</v>
      </c>
      <c r="C46" s="871">
        <v>403065</v>
      </c>
      <c r="D46" s="871">
        <v>67640</v>
      </c>
      <c r="E46" s="871">
        <v>128457</v>
      </c>
      <c r="F46" s="868">
        <f t="shared" si="0"/>
        <v>599162</v>
      </c>
      <c r="H46" s="872"/>
      <c r="J46" s="872"/>
    </row>
    <row r="47" spans="2:10">
      <c r="B47" s="873" t="s">
        <v>1181</v>
      </c>
      <c r="C47" s="874">
        <v>411431</v>
      </c>
      <c r="D47" s="874">
        <v>277879</v>
      </c>
      <c r="E47" s="874">
        <v>348511</v>
      </c>
      <c r="F47" s="875">
        <f t="shared" si="0"/>
        <v>1037821</v>
      </c>
      <c r="H47" s="872"/>
      <c r="J47" s="872"/>
    </row>
    <row r="48" spans="2:10">
      <c r="B48" s="879" t="s">
        <v>1182</v>
      </c>
      <c r="C48" s="880">
        <v>74226737</v>
      </c>
      <c r="D48" s="880">
        <v>16007471</v>
      </c>
      <c r="E48" s="880">
        <v>26622432</v>
      </c>
      <c r="F48" s="881">
        <f t="shared" si="0"/>
        <v>116856640</v>
      </c>
      <c r="H48" s="870"/>
      <c r="J48" s="870"/>
    </row>
    <row r="49" spans="2:10">
      <c r="B49" s="866" t="s">
        <v>1176</v>
      </c>
      <c r="C49" s="871">
        <v>41530045</v>
      </c>
      <c r="D49" s="871">
        <v>4616095</v>
      </c>
      <c r="E49" s="871">
        <v>9669671</v>
      </c>
      <c r="F49" s="868">
        <f t="shared" si="0"/>
        <v>55815811</v>
      </c>
      <c r="H49" s="872"/>
      <c r="J49" s="872"/>
    </row>
    <row r="50" spans="2:10">
      <c r="B50" s="866" t="s">
        <v>1180</v>
      </c>
      <c r="C50" s="871">
        <v>10576459</v>
      </c>
      <c r="D50" s="871">
        <v>2101977</v>
      </c>
      <c r="E50" s="871">
        <v>5051725</v>
      </c>
      <c r="F50" s="868">
        <f t="shared" si="0"/>
        <v>17730161</v>
      </c>
      <c r="H50" s="872"/>
      <c r="J50" s="872"/>
    </row>
    <row r="51" spans="2:10">
      <c r="B51" s="873" t="s">
        <v>1181</v>
      </c>
      <c r="C51" s="874">
        <v>12697850</v>
      </c>
      <c r="D51" s="874">
        <v>8401668</v>
      </c>
      <c r="E51" s="874">
        <v>11689847</v>
      </c>
      <c r="F51" s="875">
        <f t="shared" si="0"/>
        <v>32789365</v>
      </c>
      <c r="H51" s="872"/>
      <c r="J51" s="872"/>
    </row>
    <row r="52" spans="2:10">
      <c r="B52" s="882" t="s">
        <v>1183</v>
      </c>
      <c r="C52" s="883">
        <v>9422383</v>
      </c>
      <c r="D52" s="883">
        <v>887731</v>
      </c>
      <c r="E52" s="883">
        <v>211189</v>
      </c>
      <c r="F52" s="884">
        <f t="shared" si="0"/>
        <v>10521303</v>
      </c>
      <c r="H52" s="870"/>
      <c r="J52" s="870"/>
    </row>
    <row r="53" spans="2:10">
      <c r="B53" s="885" t="s">
        <v>1184</v>
      </c>
      <c r="C53" s="372"/>
      <c r="D53" s="372"/>
      <c r="E53" s="372"/>
      <c r="F53" s="372"/>
      <c r="G53" s="403"/>
      <c r="H53" s="403"/>
      <c r="I53" s="403"/>
      <c r="J53" s="403"/>
    </row>
    <row r="54" spans="2:10">
      <c r="B54" s="885" t="s">
        <v>1185</v>
      </c>
      <c r="C54" s="372"/>
      <c r="D54" s="372"/>
      <c r="E54" s="372"/>
      <c r="F54" s="372"/>
      <c r="G54" s="403"/>
      <c r="H54" s="403"/>
      <c r="I54" s="403"/>
      <c r="J54" s="403"/>
    </row>
    <row r="55" spans="2:10">
      <c r="B55" s="885" t="s">
        <v>1186</v>
      </c>
      <c r="C55" s="372"/>
      <c r="D55" s="372"/>
      <c r="E55" s="372"/>
      <c r="F55" s="372"/>
      <c r="G55" s="403"/>
      <c r="H55" s="403"/>
      <c r="I55" s="403"/>
      <c r="J55" s="403"/>
    </row>
    <row r="56" spans="2:10">
      <c r="B56" s="405"/>
      <c r="C56" s="403"/>
      <c r="D56" s="403"/>
      <c r="E56" s="403"/>
      <c r="F56" s="403"/>
      <c r="G56" s="403"/>
      <c r="H56" s="403"/>
      <c r="I56" s="403"/>
      <c r="J56" s="403"/>
    </row>
    <row r="57" spans="2:10">
      <c r="B57" s="100" t="s">
        <v>123</v>
      </c>
    </row>
    <row r="58" spans="2:10">
      <c r="B58" s="402" t="s">
        <v>1187</v>
      </c>
    </row>
    <row r="59" spans="2:10">
      <c r="B59" s="402"/>
    </row>
    <row r="60" spans="2:10">
      <c r="B60" t="s">
        <v>1188</v>
      </c>
    </row>
    <row r="62" spans="2:10">
      <c r="B62" s="886" t="s">
        <v>1189</v>
      </c>
      <c r="C62" s="887">
        <f>365+182</f>
        <v>547</v>
      </c>
      <c r="D62" s="458" t="s">
        <v>1190</v>
      </c>
      <c r="E62" s="97" t="s">
        <v>431</v>
      </c>
    </row>
    <row r="63" spans="2:10">
      <c r="B63" s="99"/>
    </row>
    <row r="64" spans="2:10">
      <c r="B64" s="99"/>
    </row>
    <row r="65" spans="2:9">
      <c r="B65" s="100" t="s">
        <v>123</v>
      </c>
    </row>
    <row r="66" spans="2:9">
      <c r="B66" s="99" t="s">
        <v>1191</v>
      </c>
    </row>
    <row r="67" spans="2:9">
      <c r="B67" s="99" t="s">
        <v>1192</v>
      </c>
    </row>
    <row r="68" spans="2:9">
      <c r="B68" s="99"/>
    </row>
    <row r="69" spans="2:9" ht="28.8">
      <c r="B69" s="888" t="s">
        <v>1193</v>
      </c>
      <c r="C69" s="889" t="s">
        <v>1194</v>
      </c>
      <c r="D69" s="889" t="s">
        <v>1195</v>
      </c>
      <c r="E69" s="889" t="s">
        <v>1196</v>
      </c>
      <c r="F69" s="889" t="s">
        <v>119</v>
      </c>
      <c r="G69" s="890" t="s">
        <v>129</v>
      </c>
      <c r="I69" s="891"/>
    </row>
    <row r="70" spans="2:9">
      <c r="B70" s="218" t="s">
        <v>1197</v>
      </c>
      <c r="C70" s="108">
        <f>C49+C51</f>
        <v>54227895</v>
      </c>
      <c r="D70" s="108">
        <f>D49+D51</f>
        <v>13017763</v>
      </c>
      <c r="E70" s="108">
        <f>E49+E51</f>
        <v>21359518</v>
      </c>
      <c r="F70" s="108">
        <f>F49+F51</f>
        <v>88605176</v>
      </c>
      <c r="G70" s="271" t="s">
        <v>1198</v>
      </c>
      <c r="H70" t="s">
        <v>1199</v>
      </c>
    </row>
    <row r="71" spans="2:9">
      <c r="B71" s="218" t="s">
        <v>1200</v>
      </c>
      <c r="C71" s="108">
        <f>C50</f>
        <v>10576459</v>
      </c>
      <c r="D71" s="108">
        <f>D50</f>
        <v>2101977</v>
      </c>
      <c r="E71" s="108">
        <f>E50</f>
        <v>5051725</v>
      </c>
      <c r="F71" s="108">
        <f>F50</f>
        <v>17730161</v>
      </c>
      <c r="G71" s="271" t="s">
        <v>1198</v>
      </c>
      <c r="H71" t="s">
        <v>1199</v>
      </c>
    </row>
    <row r="72" spans="2:9">
      <c r="B72" s="218" t="s">
        <v>1201</v>
      </c>
      <c r="C72" s="108">
        <f>C52</f>
        <v>9422383</v>
      </c>
      <c r="D72" s="108">
        <f>D52</f>
        <v>887731</v>
      </c>
      <c r="E72" s="108">
        <f>E52</f>
        <v>211189</v>
      </c>
      <c r="F72" s="108">
        <f t="shared" ref="F72:F75" si="1">SUM(C72:E72)</f>
        <v>10521303</v>
      </c>
      <c r="G72" s="271" t="s">
        <v>1198</v>
      </c>
      <c r="H72" t="s">
        <v>1199</v>
      </c>
    </row>
    <row r="73" spans="2:9">
      <c r="B73" s="218" t="s">
        <v>1202</v>
      </c>
      <c r="C73" s="108">
        <f>C45+C47</f>
        <v>7360767</v>
      </c>
      <c r="D73" s="108">
        <f>D45+D47</f>
        <v>1132582</v>
      </c>
      <c r="E73" s="108">
        <f>E45+E47</f>
        <v>2650259</v>
      </c>
      <c r="F73" s="108">
        <f t="shared" si="1"/>
        <v>11143608</v>
      </c>
      <c r="G73" s="271" t="s">
        <v>1203</v>
      </c>
    </row>
    <row r="74" spans="2:9">
      <c r="B74" s="218" t="s">
        <v>1204</v>
      </c>
      <c r="C74" s="108">
        <f>C46</f>
        <v>403065</v>
      </c>
      <c r="D74" s="108">
        <f>D46</f>
        <v>67640</v>
      </c>
      <c r="E74" s="108">
        <f>E46</f>
        <v>128457</v>
      </c>
      <c r="F74" s="108">
        <f t="shared" si="1"/>
        <v>599162</v>
      </c>
      <c r="G74" s="271" t="s">
        <v>1203</v>
      </c>
    </row>
    <row r="75" spans="2:9">
      <c r="B75" s="218" t="s">
        <v>1205</v>
      </c>
      <c r="C75" s="108">
        <f>C72/$C62</f>
        <v>17225.563071297987</v>
      </c>
      <c r="D75" s="108">
        <f>D72/$C62</f>
        <v>1622.9085923217551</v>
      </c>
      <c r="E75" s="108">
        <f>E72/$C62</f>
        <v>386.08592321755026</v>
      </c>
      <c r="F75" s="108">
        <f t="shared" si="1"/>
        <v>19234.557586837291</v>
      </c>
      <c r="G75" s="271" t="s">
        <v>1203</v>
      </c>
    </row>
    <row r="76" spans="2:9" ht="45.75" customHeight="1">
      <c r="B76" s="892" t="s">
        <v>1206</v>
      </c>
      <c r="C76" s="280">
        <f>C40+C73+C74+C75*0.5</f>
        <v>15430211.78153565</v>
      </c>
      <c r="D76" s="280">
        <f>D40+D73+D74+D75*0.5</f>
        <v>4512963.4542961605</v>
      </c>
      <c r="E76" s="280">
        <f>E40+E73+E74+E75*0.5</f>
        <v>9396722.0429616086</v>
      </c>
      <c r="F76" s="280">
        <f>F40+F73+F74+F75*0.5</f>
        <v>29339897.278793417</v>
      </c>
      <c r="G76" s="121" t="s">
        <v>1207</v>
      </c>
    </row>
    <row r="77" spans="2:9">
      <c r="B77" s="99"/>
      <c r="F77" s="243"/>
    </row>
    <row r="78" spans="2:9">
      <c r="B78" s="100" t="s">
        <v>123</v>
      </c>
    </row>
    <row r="79" spans="2:9">
      <c r="B79" s="859" t="s">
        <v>1208</v>
      </c>
    </row>
    <row r="80" spans="2:9">
      <c r="B80" s="99" t="s">
        <v>1209</v>
      </c>
    </row>
    <row r="81" spans="2:6">
      <c r="B81" s="99" t="s">
        <v>1210</v>
      </c>
    </row>
    <row r="82" spans="2:6">
      <c r="B82" s="99" t="s">
        <v>1211</v>
      </c>
    </row>
    <row r="83" spans="2:6">
      <c r="B83" s="99"/>
    </row>
    <row r="84" spans="2:6">
      <c r="B84" t="s">
        <v>1212</v>
      </c>
    </row>
    <row r="85" spans="2:6">
      <c r="B85" s="99"/>
    </row>
    <row r="86" spans="2:6">
      <c r="B86" s="893" t="s">
        <v>1213</v>
      </c>
      <c r="C86" s="427">
        <v>20</v>
      </c>
      <c r="D86" s="894" t="s">
        <v>1071</v>
      </c>
      <c r="F86" s="98"/>
    </row>
    <row r="87" spans="2:6" ht="28.8">
      <c r="B87" s="893" t="s">
        <v>1214</v>
      </c>
      <c r="C87" s="427">
        <f>F76*C86*2</f>
        <v>1173595891.1517367</v>
      </c>
      <c r="D87" s="894" t="s">
        <v>1071</v>
      </c>
      <c r="F87" s="98"/>
    </row>
    <row r="88" spans="2:6" ht="28.8">
      <c r="B88" s="893" t="s">
        <v>1214</v>
      </c>
      <c r="C88" s="895">
        <f>C87/10^9</f>
        <v>1.1735958911517368</v>
      </c>
      <c r="D88" s="894" t="s">
        <v>1215</v>
      </c>
      <c r="F88" s="98"/>
    </row>
    <row r="89" spans="2:6">
      <c r="B89" s="896"/>
    </row>
    <row r="90" spans="2:6">
      <c r="B90" s="99"/>
    </row>
    <row r="91" spans="2:6">
      <c r="B91" s="100" t="s">
        <v>123</v>
      </c>
    </row>
    <row r="92" spans="2:6">
      <c r="B92" s="99" t="s">
        <v>1216</v>
      </c>
      <c r="C92" s="897"/>
      <c r="D92" s="898"/>
    </row>
    <row r="93" spans="2:6">
      <c r="C93" s="897"/>
      <c r="D93" s="898"/>
    </row>
    <row r="94" spans="2:6" ht="44.55" customHeight="1">
      <c r="B94" s="843" t="s">
        <v>1217</v>
      </c>
      <c r="C94" s="899" t="s">
        <v>1218</v>
      </c>
      <c r="D94" s="455"/>
    </row>
    <row r="95" spans="2:6">
      <c r="B95" s="900" t="s">
        <v>1219</v>
      </c>
      <c r="C95" s="901">
        <f>C88</f>
        <v>1.1735958911517368</v>
      </c>
    </row>
    <row r="96" spans="2:6">
      <c r="B96" s="87" t="s">
        <v>1220</v>
      </c>
      <c r="C96" s="901">
        <f>'2'!G106/10^9</f>
        <v>0.14162005303539824</v>
      </c>
    </row>
    <row r="97" spans="2:10">
      <c r="B97" s="900" t="s">
        <v>1221</v>
      </c>
      <c r="C97" s="901">
        <f>C95-SUM(C96:C96)</f>
        <v>1.0319758381163386</v>
      </c>
      <c r="F97" s="902"/>
      <c r="J97" s="903"/>
    </row>
    <row r="98" spans="2:10">
      <c r="C98" s="897"/>
      <c r="D98" s="898"/>
    </row>
    <row r="99" spans="2:10">
      <c r="B99" s="100" t="s">
        <v>123</v>
      </c>
    </row>
    <row r="100" spans="2:10">
      <c r="B100" t="s">
        <v>1222</v>
      </c>
    </row>
    <row r="101" spans="2:10">
      <c r="B101" s="364"/>
    </row>
    <row r="102" spans="2:10">
      <c r="B102" s="843" t="s">
        <v>1058</v>
      </c>
      <c r="C102" s="328" t="s">
        <v>1059</v>
      </c>
      <c r="D102" s="328" t="s">
        <v>129</v>
      </c>
      <c r="E102" s="114" t="s">
        <v>130</v>
      </c>
    </row>
    <row r="103" spans="2:10" ht="28.8">
      <c r="B103" s="261" t="s">
        <v>1223</v>
      </c>
      <c r="C103" s="829">
        <f>'22'!C163</f>
        <v>0.114337774802686</v>
      </c>
      <c r="D103" s="829" t="str">
        <f>'22'!D163</f>
        <v>kgCO2e/pkm</v>
      </c>
      <c r="E103" s="223" t="s">
        <v>1224</v>
      </c>
    </row>
    <row r="106" spans="2:10" ht="28.8">
      <c r="B106" s="843" t="s">
        <v>1225</v>
      </c>
      <c r="C106" s="904" t="s">
        <v>96</v>
      </c>
    </row>
    <row r="107" spans="2:10">
      <c r="B107" s="119" t="s">
        <v>1226</v>
      </c>
      <c r="C107" s="905">
        <f>C97*10^9*C103/10^9</f>
        <v>0.11799382098035907</v>
      </c>
      <c r="D107">
        <f>C95*10^9*C103/10^9</f>
        <v>0.13418634271186489</v>
      </c>
      <c r="F107" s="98"/>
    </row>
    <row r="109" spans="2:10">
      <c r="B109" s="100" t="s">
        <v>123</v>
      </c>
    </row>
    <row r="110" spans="2:10">
      <c r="B110" t="s">
        <v>1227</v>
      </c>
    </row>
    <row r="111" spans="2:10">
      <c r="B111" t="s">
        <v>1228</v>
      </c>
    </row>
    <row r="113" spans="2:6" ht="45.75" customHeight="1">
      <c r="B113" s="843" t="s">
        <v>1229</v>
      </c>
      <c r="C113" s="329" t="s">
        <v>96</v>
      </c>
    </row>
    <row r="114" spans="2:6">
      <c r="B114" s="87" t="s">
        <v>1194</v>
      </c>
      <c r="C114" s="906">
        <f>(C107)*C76/F76</f>
        <v>6.2054397441790178E-2</v>
      </c>
    </row>
    <row r="115" spans="2:6">
      <c r="B115" s="87" t="s">
        <v>1195</v>
      </c>
      <c r="C115" s="906">
        <f>(C107)*D76/F76</f>
        <v>1.814940921084993E-2</v>
      </c>
    </row>
    <row r="116" spans="2:6">
      <c r="B116" s="87" t="s">
        <v>1196</v>
      </c>
      <c r="C116" s="906">
        <f>(C107)*E76/F76</f>
        <v>3.7790014327718967E-2</v>
      </c>
    </row>
    <row r="117" spans="2:6">
      <c r="B117" s="119" t="s">
        <v>119</v>
      </c>
      <c r="C117" s="907">
        <f>SUM(C114:C116)</f>
        <v>0.11799382098035907</v>
      </c>
    </row>
    <row r="119" spans="2:6">
      <c r="B119" s="908"/>
      <c r="C119" s="908"/>
      <c r="D119" s="908"/>
      <c r="E119" s="908"/>
      <c r="F119" s="908"/>
    </row>
    <row r="120" spans="2:6">
      <c r="B120" s="859" t="s">
        <v>1230</v>
      </c>
      <c r="C120" s="908"/>
      <c r="D120" s="908"/>
      <c r="E120" s="908"/>
      <c r="F120" s="908"/>
    </row>
    <row r="121" spans="2:6">
      <c r="B121" s="100" t="s">
        <v>123</v>
      </c>
      <c r="C121" s="908"/>
      <c r="D121" s="908"/>
      <c r="E121" s="908"/>
      <c r="F121" s="908"/>
    </row>
    <row r="122" spans="2:6">
      <c r="B122" s="98" t="s">
        <v>1231</v>
      </c>
      <c r="C122" s="908"/>
      <c r="D122" s="908"/>
      <c r="E122" s="908"/>
      <c r="F122" s="908"/>
    </row>
    <row r="123" spans="2:6">
      <c r="B123" t="s">
        <v>1232</v>
      </c>
      <c r="C123" s="908"/>
      <c r="D123" s="908"/>
      <c r="E123" s="908"/>
      <c r="F123" s="908"/>
    </row>
    <row r="124" spans="2:6">
      <c r="B124" s="908"/>
      <c r="C124" s="908"/>
      <c r="D124" s="908"/>
      <c r="E124" s="908"/>
      <c r="F124" s="908"/>
    </row>
    <row r="125" spans="2:6">
      <c r="B125" s="100" t="s">
        <v>123</v>
      </c>
      <c r="C125" s="908"/>
      <c r="D125" s="908"/>
      <c r="E125" s="908"/>
      <c r="F125" s="908"/>
    </row>
    <row r="126" spans="2:6">
      <c r="B126" s="98" t="s">
        <v>1233</v>
      </c>
      <c r="C126" s="908"/>
      <c r="D126" s="908"/>
      <c r="E126" s="908"/>
      <c r="F126" s="908"/>
    </row>
    <row r="127" spans="2:6">
      <c r="B127" s="152" t="s">
        <v>192</v>
      </c>
      <c r="C127" s="908"/>
      <c r="D127" s="908"/>
      <c r="E127" s="908"/>
      <c r="F127" s="908"/>
    </row>
    <row r="128" spans="2:6">
      <c r="B128" s="99" t="s">
        <v>1234</v>
      </c>
      <c r="C128" s="909"/>
      <c r="D128" s="909"/>
      <c r="E128" s="909"/>
      <c r="F128" s="909"/>
    </row>
    <row r="129" spans="2:7">
      <c r="B129" s="99" t="s">
        <v>1235</v>
      </c>
      <c r="C129" s="99"/>
      <c r="D129" s="99"/>
      <c r="E129" s="99"/>
      <c r="F129" s="99"/>
    </row>
    <row r="130" spans="2:7">
      <c r="B130" s="99" t="s">
        <v>1236</v>
      </c>
      <c r="C130" s="99"/>
      <c r="D130" s="99"/>
      <c r="E130" s="99"/>
      <c r="F130" s="99"/>
    </row>
    <row r="131" spans="2:7">
      <c r="B131" t="s">
        <v>1237</v>
      </c>
      <c r="C131" s="99"/>
      <c r="D131" s="99"/>
      <c r="E131" s="99"/>
      <c r="F131" s="99"/>
    </row>
    <row r="132" spans="2:7">
      <c r="B132" t="s">
        <v>1238</v>
      </c>
      <c r="C132" s="99"/>
      <c r="D132" s="99"/>
      <c r="E132" s="99"/>
      <c r="F132" s="99"/>
    </row>
    <row r="133" spans="2:7">
      <c r="B133" t="s">
        <v>1239</v>
      </c>
      <c r="C133" s="99"/>
      <c r="D133" s="99"/>
      <c r="E133" s="99"/>
      <c r="F133" s="99"/>
    </row>
    <row r="134" spans="2:7">
      <c r="B134" t="s">
        <v>1240</v>
      </c>
      <c r="C134" s="99"/>
      <c r="D134" s="99"/>
      <c r="E134" s="99"/>
      <c r="F134" s="99"/>
    </row>
    <row r="135" spans="2:7">
      <c r="C135" s="99"/>
      <c r="D135" s="99"/>
      <c r="E135" s="99"/>
      <c r="F135" s="99"/>
    </row>
    <row r="136" spans="2:7">
      <c r="B136" s="99" t="s">
        <v>1241</v>
      </c>
      <c r="C136" s="99"/>
      <c r="D136" s="99"/>
      <c r="E136" s="99"/>
      <c r="F136" s="99"/>
    </row>
    <row r="137" spans="2:7">
      <c r="B137" s="99"/>
      <c r="C137" s="99"/>
      <c r="D137" s="99"/>
      <c r="E137" s="99"/>
      <c r="F137" s="99"/>
    </row>
    <row r="138" spans="2:7" ht="28.8">
      <c r="B138" s="888" t="s">
        <v>1242</v>
      </c>
      <c r="C138" s="889" t="s">
        <v>119</v>
      </c>
      <c r="D138" s="889" t="s">
        <v>1243</v>
      </c>
      <c r="E138" s="889" t="s">
        <v>1244</v>
      </c>
      <c r="F138" s="890" t="s">
        <v>1245</v>
      </c>
    </row>
    <row r="139" spans="2:7">
      <c r="B139" s="538" t="s">
        <v>1246</v>
      </c>
      <c r="C139" s="130">
        <v>110900</v>
      </c>
      <c r="D139" s="910">
        <v>0.64</v>
      </c>
      <c r="E139" s="910">
        <v>0.31</v>
      </c>
      <c r="F139" s="911">
        <v>0.05</v>
      </c>
      <c r="G139" s="912" t="s">
        <v>172</v>
      </c>
    </row>
    <row r="140" spans="2:7">
      <c r="B140" s="538" t="s">
        <v>1247</v>
      </c>
      <c r="C140" s="130">
        <v>293900</v>
      </c>
      <c r="D140" s="910">
        <v>0.46</v>
      </c>
      <c r="E140" s="910">
        <v>0.45</v>
      </c>
      <c r="F140" s="911">
        <v>0.09</v>
      </c>
      <c r="G140" s="912" t="s">
        <v>172</v>
      </c>
    </row>
    <row r="141" spans="2:7">
      <c r="B141" s="352" t="s">
        <v>1248</v>
      </c>
      <c r="C141" s="353">
        <f>C139+C140</f>
        <v>404800</v>
      </c>
      <c r="D141" s="353">
        <f>$C139*D139+$C140*D140</f>
        <v>206170</v>
      </c>
      <c r="E141" s="353">
        <f>$C139*E139+$C140*E140</f>
        <v>166634</v>
      </c>
      <c r="F141" s="171">
        <f>$C139*F139+$C140*F140</f>
        <v>31996</v>
      </c>
    </row>
    <row r="142" spans="2:7">
      <c r="B142" s="99"/>
      <c r="C142" s="99"/>
      <c r="D142" s="99"/>
      <c r="E142" s="99"/>
      <c r="F142" s="99"/>
    </row>
    <row r="143" spans="2:7">
      <c r="B143" s="888" t="s">
        <v>1249</v>
      </c>
      <c r="C143" s="889" t="s">
        <v>1059</v>
      </c>
      <c r="D143" s="890" t="s">
        <v>129</v>
      </c>
      <c r="E143" s="99"/>
      <c r="F143" s="99"/>
    </row>
    <row r="144" spans="2:7">
      <c r="B144" s="538" t="s">
        <v>1250</v>
      </c>
      <c r="C144" s="130">
        <f>40</f>
        <v>40</v>
      </c>
      <c r="D144" s="116" t="s">
        <v>1071</v>
      </c>
      <c r="E144" s="99"/>
      <c r="F144" s="859"/>
    </row>
    <row r="145" spans="2:6">
      <c r="B145" s="352" t="s">
        <v>1251</v>
      </c>
      <c r="C145" s="913">
        <f>D141*C144*365.25/10^9</f>
        <v>3.0121437000000002</v>
      </c>
      <c r="D145" s="171" t="s">
        <v>1252</v>
      </c>
      <c r="E145" s="99"/>
      <c r="F145" s="859"/>
    </row>
    <row r="146" spans="2:6">
      <c r="B146" s="99"/>
      <c r="C146" s="99"/>
      <c r="D146" s="99"/>
      <c r="E146" s="99"/>
      <c r="F146" s="99"/>
    </row>
    <row r="147" spans="2:6">
      <c r="B147" s="843" t="s">
        <v>1058</v>
      </c>
      <c r="C147" s="328" t="s">
        <v>1059</v>
      </c>
      <c r="D147" s="328" t="s">
        <v>129</v>
      </c>
      <c r="E147" s="114" t="s">
        <v>130</v>
      </c>
      <c r="F147" s="99"/>
    </row>
    <row r="148" spans="2:6" ht="28.8">
      <c r="B148" s="261" t="s">
        <v>1077</v>
      </c>
      <c r="C148" s="914">
        <v>0.216</v>
      </c>
      <c r="D148" s="222" t="s">
        <v>1061</v>
      </c>
      <c r="E148" s="316" t="s">
        <v>247</v>
      </c>
      <c r="F148" s="99"/>
    </row>
    <row r="149" spans="2:6">
      <c r="B149" s="99"/>
      <c r="C149" s="99"/>
      <c r="D149" s="99"/>
      <c r="E149" s="99"/>
      <c r="F149" s="99"/>
    </row>
    <row r="150" spans="2:6" ht="43.2">
      <c r="B150" s="888" t="s">
        <v>1253</v>
      </c>
      <c r="C150" s="890" t="s">
        <v>1254</v>
      </c>
      <c r="D150" s="908"/>
      <c r="E150" s="99"/>
      <c r="F150" s="99"/>
    </row>
    <row r="151" spans="2:6">
      <c r="B151" s="119" t="s">
        <v>1255</v>
      </c>
      <c r="C151" s="915">
        <f>C145*10^9*C148/10^9</f>
        <v>0.65062303920000009</v>
      </c>
      <c r="D151" s="916"/>
      <c r="E151" s="99"/>
      <c r="F151" s="99"/>
    </row>
    <row r="152" spans="2:6">
      <c r="B152" s="99"/>
    </row>
    <row r="153" spans="2:6">
      <c r="B153" s="908"/>
      <c r="C153" s="908"/>
      <c r="D153" s="908"/>
      <c r="E153" s="908"/>
      <c r="F153" s="908"/>
    </row>
    <row r="154" spans="2:6">
      <c r="B154" s="908"/>
      <c r="C154" s="908"/>
      <c r="D154" s="908"/>
      <c r="E154" s="908"/>
      <c r="F154" s="908"/>
    </row>
    <row r="155" spans="2:6">
      <c r="B155" s="859" t="s">
        <v>1256</v>
      </c>
      <c r="C155" s="908"/>
      <c r="D155" s="908"/>
      <c r="E155" s="908"/>
      <c r="F155" s="908"/>
    </row>
    <row r="156" spans="2:6">
      <c r="B156" s="908"/>
      <c r="C156" s="908"/>
      <c r="D156" s="908"/>
      <c r="E156" s="908"/>
      <c r="F156" s="908"/>
    </row>
    <row r="157" spans="2:6">
      <c r="B157" s="152" t="s">
        <v>192</v>
      </c>
      <c r="C157" s="908"/>
      <c r="D157" s="908"/>
      <c r="E157" s="908"/>
      <c r="F157" s="908"/>
    </row>
    <row r="158" spans="2:6">
      <c r="B158" s="908"/>
      <c r="C158" s="908"/>
      <c r="D158" s="908"/>
      <c r="E158" s="908"/>
      <c r="F158" s="908"/>
    </row>
    <row r="159" spans="2:6">
      <c r="B159" s="891" t="s">
        <v>1257</v>
      </c>
      <c r="C159" s="908"/>
      <c r="D159" s="908"/>
      <c r="E159" s="908"/>
      <c r="F159" s="908"/>
    </row>
    <row r="160" spans="2:6">
      <c r="B160" s="891" t="s">
        <v>1258</v>
      </c>
      <c r="C160" s="908"/>
      <c r="D160" s="908"/>
      <c r="E160" s="908"/>
      <c r="F160" s="908"/>
    </row>
    <row r="161" spans="2:6">
      <c r="B161" s="908"/>
      <c r="C161" s="908"/>
      <c r="D161" s="908"/>
      <c r="E161" s="908"/>
      <c r="F161" s="908"/>
    </row>
    <row r="162" spans="2:6">
      <c r="B162" s="891" t="s">
        <v>1259</v>
      </c>
      <c r="C162" s="908"/>
      <c r="D162" s="908"/>
      <c r="E162" s="908"/>
      <c r="F162" s="908"/>
    </row>
    <row r="163" spans="2:6">
      <c r="B163" s="891" t="s">
        <v>1260</v>
      </c>
      <c r="C163" s="908"/>
      <c r="D163" s="908"/>
      <c r="E163" s="908"/>
      <c r="F163" s="908"/>
    </row>
    <row r="164" spans="2:6">
      <c r="B164" s="891" t="s">
        <v>1261</v>
      </c>
      <c r="C164" s="908"/>
      <c r="D164" s="908"/>
      <c r="E164" s="908"/>
      <c r="F164" s="908"/>
    </row>
    <row r="165" spans="2:6" ht="28.8">
      <c r="B165" s="917"/>
      <c r="C165" s="889" t="s">
        <v>1262</v>
      </c>
      <c r="D165" s="890" t="s">
        <v>1263</v>
      </c>
      <c r="E165" s="908"/>
      <c r="F165" s="908"/>
    </row>
    <row r="166" spans="2:6" ht="46.5" customHeight="1">
      <c r="B166" s="918" t="s">
        <v>1264</v>
      </c>
      <c r="C166" s="919">
        <v>10</v>
      </c>
      <c r="D166" s="920" t="s">
        <v>1265</v>
      </c>
      <c r="E166" s="908"/>
      <c r="F166" s="908"/>
    </row>
    <row r="167" spans="2:6" ht="28.8">
      <c r="B167" s="918" t="s">
        <v>1266</v>
      </c>
      <c r="C167" s="919">
        <v>3.8</v>
      </c>
      <c r="D167" s="920" t="s">
        <v>1267</v>
      </c>
      <c r="E167" s="921"/>
      <c r="F167" s="908"/>
    </row>
    <row r="168" spans="2:6">
      <c r="B168" s="918" t="s">
        <v>1268</v>
      </c>
      <c r="C168" s="919">
        <v>5</v>
      </c>
      <c r="D168" s="920"/>
      <c r="E168" s="908"/>
      <c r="F168" s="908"/>
    </row>
    <row r="169" spans="2:6">
      <c r="B169" s="922" t="s">
        <v>1269</v>
      </c>
      <c r="C169" s="923">
        <v>5</v>
      </c>
      <c r="D169" s="924"/>
      <c r="E169" s="908"/>
      <c r="F169" s="908"/>
    </row>
    <row r="170" spans="2:6">
      <c r="B170" s="925"/>
      <c r="C170" s="908"/>
      <c r="D170" s="908"/>
      <c r="E170" s="908"/>
      <c r="F170" s="908"/>
    </row>
    <row r="171" spans="2:6">
      <c r="B171" s="925" t="s">
        <v>1270</v>
      </c>
      <c r="C171" s="908"/>
      <c r="D171" s="908"/>
      <c r="E171" s="908"/>
      <c r="F171" s="908"/>
    </row>
    <row r="172" spans="2:6">
      <c r="B172" s="917"/>
      <c r="C172" s="889" t="s">
        <v>1271</v>
      </c>
      <c r="D172" s="890" t="s">
        <v>130</v>
      </c>
      <c r="E172" s="908"/>
      <c r="F172" s="908"/>
    </row>
    <row r="173" spans="2:6" ht="28.8">
      <c r="B173" s="918" t="s">
        <v>1272</v>
      </c>
      <c r="C173" s="919">
        <v>4075</v>
      </c>
      <c r="D173" s="926" t="s">
        <v>897</v>
      </c>
      <c r="E173" s="908"/>
      <c r="F173" s="908"/>
    </row>
    <row r="174" spans="2:6" ht="28.8">
      <c r="B174" s="918" t="s">
        <v>1273</v>
      </c>
      <c r="C174" s="919">
        <v>1843.6</v>
      </c>
      <c r="D174" s="926" t="s">
        <v>897</v>
      </c>
      <c r="E174" s="908"/>
      <c r="F174" s="908"/>
    </row>
    <row r="175" spans="2:6" ht="28.8">
      <c r="B175" s="918" t="s">
        <v>1274</v>
      </c>
      <c r="C175" s="919">
        <v>3021.5</v>
      </c>
      <c r="D175" s="926" t="s">
        <v>897</v>
      </c>
      <c r="E175" s="908"/>
      <c r="F175" s="908"/>
    </row>
    <row r="176" spans="2:6" ht="28.8">
      <c r="B176" s="922" t="s">
        <v>1275</v>
      </c>
      <c r="C176" s="927">
        <f>C103</f>
        <v>0.114337774802686</v>
      </c>
      <c r="D176" s="926" t="s">
        <v>169</v>
      </c>
      <c r="E176" s="916"/>
    </row>
    <row r="177" spans="2:12">
      <c r="B177" s="925"/>
      <c r="C177" s="916"/>
      <c r="D177" s="916"/>
      <c r="E177" s="916"/>
    </row>
    <row r="178" spans="2:12" ht="62.25" customHeight="1">
      <c r="B178" s="1454" t="s">
        <v>1276</v>
      </c>
      <c r="C178" s="1454"/>
      <c r="D178" s="1454"/>
      <c r="E178" s="916"/>
    </row>
    <row r="179" spans="2:12">
      <c r="B179" s="925"/>
      <c r="C179" s="916"/>
      <c r="D179" s="916"/>
      <c r="E179" s="916"/>
    </row>
    <row r="180" spans="2:12" ht="43.2">
      <c r="B180" s="852"/>
      <c r="C180" s="928" t="s">
        <v>806</v>
      </c>
      <c r="D180" s="928" t="s">
        <v>1277</v>
      </c>
      <c r="E180" s="928" t="s">
        <v>1278</v>
      </c>
      <c r="F180" s="928" t="s">
        <v>1059</v>
      </c>
      <c r="G180" s="929" t="s">
        <v>130</v>
      </c>
      <c r="H180" s="930" t="s">
        <v>1279</v>
      </c>
      <c r="I180" s="931" t="s">
        <v>1280</v>
      </c>
      <c r="J180" s="346"/>
      <c r="K180" s="346"/>
      <c r="L180" s="346"/>
    </row>
    <row r="181" spans="2:12" ht="28.8">
      <c r="B181" s="277" t="s">
        <v>1281</v>
      </c>
      <c r="C181" s="932" t="s">
        <v>1282</v>
      </c>
      <c r="D181" s="933" t="s">
        <v>1283</v>
      </c>
      <c r="E181" s="933" t="s">
        <v>1284</v>
      </c>
      <c r="F181" s="933">
        <f>337165940</f>
        <v>337165940</v>
      </c>
      <c r="G181" s="844" t="s">
        <v>434</v>
      </c>
      <c r="H181" s="934">
        <f>F181*2*C166/10^9</f>
        <v>6.7433187999999999</v>
      </c>
      <c r="I181" s="935">
        <f t="shared" ref="I181:I241" si="2">H181*C$176</f>
        <v>0.77101606637711884</v>
      </c>
      <c r="J181" s="346"/>
      <c r="K181" s="346"/>
      <c r="L181" s="346"/>
    </row>
    <row r="182" spans="2:12" ht="28.8">
      <c r="B182" s="1455" t="s">
        <v>1285</v>
      </c>
      <c r="C182" s="932" t="s">
        <v>1286</v>
      </c>
      <c r="D182" s="933" t="s">
        <v>1283</v>
      </c>
      <c r="E182" s="933" t="s">
        <v>1284</v>
      </c>
      <c r="F182" s="933">
        <v>2627600</v>
      </c>
      <c r="G182" s="844" t="s">
        <v>489</v>
      </c>
      <c r="H182" s="934">
        <f>F182*2*C166/10^9</f>
        <v>5.2552000000000001E-2</v>
      </c>
      <c r="I182" s="935">
        <f t="shared" si="2"/>
        <v>6.0086787414307553E-3</v>
      </c>
      <c r="J182" s="346"/>
      <c r="K182" s="346"/>
      <c r="L182" s="346"/>
    </row>
    <row r="183" spans="2:12" ht="43.2">
      <c r="B183" s="1455"/>
      <c r="C183" s="936" t="s">
        <v>1287</v>
      </c>
      <c r="D183" s="933" t="s">
        <v>1288</v>
      </c>
      <c r="E183" s="933" t="s">
        <v>1289</v>
      </c>
      <c r="F183" s="933"/>
      <c r="G183" s="454"/>
      <c r="H183" s="934"/>
      <c r="I183" s="935">
        <f t="shared" si="2"/>
        <v>0</v>
      </c>
      <c r="J183" s="346"/>
      <c r="K183" s="346"/>
      <c r="L183" s="346"/>
    </row>
    <row r="184" spans="2:12" ht="43.2">
      <c r="B184" s="1455"/>
      <c r="C184" s="932" t="s">
        <v>1290</v>
      </c>
      <c r="D184" s="933" t="s">
        <v>1291</v>
      </c>
      <c r="E184" s="933" t="s">
        <v>1289</v>
      </c>
      <c r="F184" s="933">
        <v>2930</v>
      </c>
      <c r="G184" s="937" t="s">
        <v>509</v>
      </c>
      <c r="H184" s="934">
        <f>F184*C173*2*C166/10^9</f>
        <v>0.23879500000000001</v>
      </c>
      <c r="I184" s="935">
        <f t="shared" si="2"/>
        <v>2.7303288934007405E-2</v>
      </c>
      <c r="J184" s="346"/>
      <c r="K184" s="346"/>
      <c r="L184" s="346"/>
    </row>
    <row r="185" spans="2:12" ht="43.2">
      <c r="B185" s="1455"/>
      <c r="C185" s="932" t="s">
        <v>1292</v>
      </c>
      <c r="D185" s="933" t="s">
        <v>1291</v>
      </c>
      <c r="E185" s="933" t="s">
        <v>1289</v>
      </c>
      <c r="F185" s="933">
        <v>433</v>
      </c>
      <c r="G185" s="938" t="s">
        <v>521</v>
      </c>
      <c r="H185" s="934">
        <f t="shared" ref="H185:H219" si="3">F185*C$174*2*C$166/10^9</f>
        <v>1.5965575999999999E-2</v>
      </c>
      <c r="I185" s="935">
        <f t="shared" si="2"/>
        <v>1.8254684332831683E-3</v>
      </c>
      <c r="J185" s="346"/>
      <c r="K185" s="346"/>
      <c r="L185" s="346"/>
    </row>
    <row r="186" spans="2:12" ht="43.2">
      <c r="B186" s="1455"/>
      <c r="C186" s="932" t="s">
        <v>1293</v>
      </c>
      <c r="D186" s="933" t="s">
        <v>1291</v>
      </c>
      <c r="E186" s="933" t="s">
        <v>1289</v>
      </c>
      <c r="F186" s="933">
        <v>200</v>
      </c>
      <c r="G186" s="938" t="s">
        <v>521</v>
      </c>
      <c r="H186" s="934">
        <f t="shared" si="3"/>
        <v>7.3743999999999997E-3</v>
      </c>
      <c r="I186" s="935">
        <f t="shared" si="2"/>
        <v>8.431724865049276E-4</v>
      </c>
      <c r="J186" s="346"/>
      <c r="K186" s="346"/>
      <c r="L186" s="346"/>
    </row>
    <row r="187" spans="2:12" ht="43.2">
      <c r="B187" s="1455"/>
      <c r="C187" s="932" t="s">
        <v>1294</v>
      </c>
      <c r="D187" s="933" t="s">
        <v>1291</v>
      </c>
      <c r="E187" s="933" t="s">
        <v>1289</v>
      </c>
      <c r="F187" s="933">
        <v>121</v>
      </c>
      <c r="G187" s="938" t="s">
        <v>521</v>
      </c>
      <c r="H187" s="934">
        <f t="shared" si="3"/>
        <v>4.4615119999999999E-3</v>
      </c>
      <c r="I187" s="935">
        <f t="shared" si="2"/>
        <v>5.1011935433548127E-4</v>
      </c>
      <c r="J187" s="346"/>
      <c r="K187" s="346"/>
      <c r="L187" s="346"/>
    </row>
    <row r="188" spans="2:12" ht="43.2">
      <c r="B188" s="1455"/>
      <c r="C188" s="932" t="s">
        <v>1295</v>
      </c>
      <c r="D188" s="933" t="s">
        <v>1291</v>
      </c>
      <c r="E188" s="933" t="s">
        <v>1289</v>
      </c>
      <c r="F188" s="933">
        <v>39</v>
      </c>
      <c r="G188" s="938" t="s">
        <v>521</v>
      </c>
      <c r="H188" s="934">
        <f t="shared" si="3"/>
        <v>1.438008E-3</v>
      </c>
      <c r="I188" s="935">
        <f t="shared" si="2"/>
        <v>1.6441863486846089E-4</v>
      </c>
      <c r="J188" s="346"/>
      <c r="K188" s="346"/>
      <c r="L188" s="346"/>
    </row>
    <row r="189" spans="2:12" ht="43.2">
      <c r="B189" s="1455"/>
      <c r="C189" s="932" t="s">
        <v>1296</v>
      </c>
      <c r="D189" s="933" t="s">
        <v>1291</v>
      </c>
      <c r="E189" s="933" t="s">
        <v>1289</v>
      </c>
      <c r="F189" s="933">
        <v>61</v>
      </c>
      <c r="G189" s="938" t="s">
        <v>521</v>
      </c>
      <c r="H189" s="934">
        <f t="shared" si="3"/>
        <v>2.2491920000000001E-3</v>
      </c>
      <c r="I189" s="935">
        <f t="shared" si="2"/>
        <v>2.5716760838400294E-4</v>
      </c>
      <c r="J189" s="346"/>
      <c r="K189" s="346"/>
      <c r="L189" s="346"/>
    </row>
    <row r="190" spans="2:12" ht="43.2">
      <c r="B190" s="1455"/>
      <c r="C190" s="932" t="s">
        <v>1297</v>
      </c>
      <c r="D190" s="933" t="s">
        <v>1291</v>
      </c>
      <c r="E190" s="933" t="s">
        <v>1289</v>
      </c>
      <c r="F190" s="933">
        <v>12</v>
      </c>
      <c r="G190" s="938" t="s">
        <v>521</v>
      </c>
      <c r="H190" s="934">
        <f t="shared" si="3"/>
        <v>4.4246399999999994E-4</v>
      </c>
      <c r="I190" s="935">
        <f t="shared" si="2"/>
        <v>5.0590349190295652E-5</v>
      </c>
      <c r="J190" s="346"/>
      <c r="K190" s="346"/>
      <c r="L190" s="346"/>
    </row>
    <row r="191" spans="2:12" ht="43.2">
      <c r="B191" s="1455"/>
      <c r="C191" s="932" t="s">
        <v>1298</v>
      </c>
      <c r="D191" s="933" t="s">
        <v>1291</v>
      </c>
      <c r="E191" s="933" t="s">
        <v>1289</v>
      </c>
      <c r="F191" s="933">
        <v>6</v>
      </c>
      <c r="G191" s="938" t="s">
        <v>521</v>
      </c>
      <c r="H191" s="934">
        <f t="shared" si="3"/>
        <v>2.2123199999999997E-4</v>
      </c>
      <c r="I191" s="935">
        <f t="shared" si="2"/>
        <v>2.5295174595147826E-5</v>
      </c>
      <c r="J191" s="346"/>
      <c r="K191" s="346"/>
      <c r="L191" s="346"/>
    </row>
    <row r="192" spans="2:12" ht="43.2">
      <c r="B192" s="1455"/>
      <c r="C192" s="932" t="s">
        <v>1299</v>
      </c>
      <c r="D192" s="933" t="s">
        <v>1291</v>
      </c>
      <c r="E192" s="933" t="s">
        <v>1289</v>
      </c>
      <c r="F192" s="933">
        <v>6</v>
      </c>
      <c r="G192" s="938" t="s">
        <v>521</v>
      </c>
      <c r="H192" s="934">
        <f t="shared" si="3"/>
        <v>2.2123199999999997E-4</v>
      </c>
      <c r="I192" s="935">
        <f t="shared" si="2"/>
        <v>2.5295174595147826E-5</v>
      </c>
      <c r="J192" s="346"/>
      <c r="K192" s="346"/>
      <c r="L192" s="346"/>
    </row>
    <row r="193" spans="2:13" ht="43.2">
      <c r="B193" s="1455"/>
      <c r="C193" s="932" t="s">
        <v>1300</v>
      </c>
      <c r="D193" s="933" t="s">
        <v>1291</v>
      </c>
      <c r="E193" s="933" t="s">
        <v>1289</v>
      </c>
      <c r="F193" s="933">
        <v>18</v>
      </c>
      <c r="G193" s="938" t="s">
        <v>521</v>
      </c>
      <c r="H193" s="934">
        <f t="shared" si="3"/>
        <v>6.6369599999999986E-4</v>
      </c>
      <c r="I193" s="935">
        <f t="shared" si="2"/>
        <v>7.5885523785443481E-5</v>
      </c>
      <c r="J193" s="346"/>
      <c r="K193" s="346"/>
      <c r="L193" s="346"/>
    </row>
    <row r="194" spans="2:13" ht="43.2">
      <c r="B194" s="1455"/>
      <c r="C194" s="932" t="s">
        <v>1301</v>
      </c>
      <c r="D194" s="933" t="s">
        <v>1291</v>
      </c>
      <c r="E194" s="933" t="s">
        <v>1289</v>
      </c>
      <c r="F194" s="933">
        <v>11</v>
      </c>
      <c r="G194" s="938" t="s">
        <v>521</v>
      </c>
      <c r="H194" s="934">
        <f t="shared" si="3"/>
        <v>4.0559199999999998E-4</v>
      </c>
      <c r="I194" s="935">
        <f t="shared" si="2"/>
        <v>4.6374486757771019E-5</v>
      </c>
      <c r="J194" s="346"/>
      <c r="K194" s="346"/>
      <c r="L194" s="346"/>
    </row>
    <row r="195" spans="2:13" ht="43.2">
      <c r="B195" s="1455"/>
      <c r="C195" s="932" t="s">
        <v>1302</v>
      </c>
      <c r="D195" s="933" t="s">
        <v>1291</v>
      </c>
      <c r="E195" s="933" t="s">
        <v>1289</v>
      </c>
      <c r="F195" s="933">
        <v>15</v>
      </c>
      <c r="G195" s="938" t="s">
        <v>521</v>
      </c>
      <c r="H195" s="934">
        <f t="shared" si="3"/>
        <v>5.5307999999999996E-4</v>
      </c>
      <c r="I195" s="935">
        <f t="shared" si="2"/>
        <v>6.323793648786957E-5</v>
      </c>
      <c r="J195" s="346"/>
      <c r="K195" s="346"/>
      <c r="L195" s="346"/>
    </row>
    <row r="196" spans="2:13" ht="43.2">
      <c r="B196" s="1455"/>
      <c r="C196" s="932" t="s">
        <v>1303</v>
      </c>
      <c r="D196" s="933" t="s">
        <v>1291</v>
      </c>
      <c r="E196" s="933" t="s">
        <v>1289</v>
      </c>
      <c r="F196" s="933">
        <v>153</v>
      </c>
      <c r="G196" s="938" t="s">
        <v>521</v>
      </c>
      <c r="H196" s="934">
        <f t="shared" si="3"/>
        <v>5.6414159999999998E-3</v>
      </c>
      <c r="I196" s="935">
        <f t="shared" si="2"/>
        <v>6.4502695217626962E-4</v>
      </c>
      <c r="J196" s="346"/>
      <c r="K196" s="346"/>
      <c r="L196" s="346"/>
    </row>
    <row r="197" spans="2:13" ht="43.2">
      <c r="B197" s="1455"/>
      <c r="C197" s="932" t="s">
        <v>1304</v>
      </c>
      <c r="D197" s="933" t="s">
        <v>1291</v>
      </c>
      <c r="E197" s="933" t="s">
        <v>1289</v>
      </c>
      <c r="F197" s="933">
        <v>84</v>
      </c>
      <c r="G197" s="938" t="s">
        <v>521</v>
      </c>
      <c r="H197" s="934">
        <f t="shared" si="3"/>
        <v>3.0972479999999999E-3</v>
      </c>
      <c r="I197" s="935">
        <f t="shared" si="2"/>
        <v>3.5413244433206962E-4</v>
      </c>
      <c r="J197" s="346"/>
      <c r="K197" s="346"/>
      <c r="L197" s="346"/>
    </row>
    <row r="198" spans="2:13" ht="43.2">
      <c r="B198" s="1455"/>
      <c r="C198" s="932" t="s">
        <v>1305</v>
      </c>
      <c r="D198" s="933" t="s">
        <v>1291</v>
      </c>
      <c r="E198" s="933" t="s">
        <v>1289</v>
      </c>
      <c r="F198" s="933">
        <v>15</v>
      </c>
      <c r="G198" s="938" t="s">
        <v>521</v>
      </c>
      <c r="H198" s="934">
        <f t="shared" si="3"/>
        <v>5.5307999999999996E-4</v>
      </c>
      <c r="I198" s="935">
        <f t="shared" si="2"/>
        <v>6.323793648786957E-5</v>
      </c>
      <c r="J198" s="346"/>
      <c r="K198" s="346"/>
      <c r="L198" s="346"/>
    </row>
    <row r="199" spans="2:13" ht="43.2">
      <c r="B199" s="1455"/>
      <c r="C199" s="932" t="s">
        <v>1306</v>
      </c>
      <c r="D199" s="933" t="s">
        <v>1291</v>
      </c>
      <c r="E199" s="933" t="s">
        <v>1289</v>
      </c>
      <c r="F199" s="933">
        <v>181</v>
      </c>
      <c r="G199" s="938" t="s">
        <v>521</v>
      </c>
      <c r="H199" s="934">
        <f t="shared" si="3"/>
        <v>6.6738320000000002E-3</v>
      </c>
      <c r="I199" s="935">
        <f t="shared" si="2"/>
        <v>7.6307110028695955E-4</v>
      </c>
      <c r="J199" s="346"/>
      <c r="K199" s="346"/>
      <c r="L199" s="346"/>
    </row>
    <row r="200" spans="2:13" ht="43.2">
      <c r="B200" s="1455"/>
      <c r="C200" s="932" t="s">
        <v>1307</v>
      </c>
      <c r="D200" s="933" t="s">
        <v>1291</v>
      </c>
      <c r="E200" s="933" t="s">
        <v>1289</v>
      </c>
      <c r="F200" s="933">
        <v>107</v>
      </c>
      <c r="G200" s="938" t="s">
        <v>521</v>
      </c>
      <c r="H200" s="934">
        <f t="shared" si="3"/>
        <v>3.9453039999999993E-3</v>
      </c>
      <c r="I200" s="935">
        <f t="shared" si="2"/>
        <v>4.510972802801362E-4</v>
      </c>
      <c r="J200" s="346"/>
      <c r="K200" s="346"/>
      <c r="L200" s="346"/>
    </row>
    <row r="201" spans="2:13" ht="43.2">
      <c r="B201" s="1455"/>
      <c r="C201" s="932" t="s">
        <v>1308</v>
      </c>
      <c r="D201" s="933" t="s">
        <v>1291</v>
      </c>
      <c r="E201" s="933" t="s">
        <v>1289</v>
      </c>
      <c r="F201" s="933">
        <v>35</v>
      </c>
      <c r="G201" s="938" t="s">
        <v>521</v>
      </c>
      <c r="H201" s="934">
        <f t="shared" si="3"/>
        <v>1.2905200000000001E-3</v>
      </c>
      <c r="I201" s="935">
        <f t="shared" si="2"/>
        <v>1.4755518513836236E-4</v>
      </c>
      <c r="J201" s="346"/>
      <c r="K201" s="346"/>
      <c r="L201" s="346"/>
    </row>
    <row r="202" spans="2:13" ht="43.2">
      <c r="B202" s="1455"/>
      <c r="C202" s="932" t="s">
        <v>1309</v>
      </c>
      <c r="D202" s="933" t="s">
        <v>1291</v>
      </c>
      <c r="E202" s="933" t="s">
        <v>1289</v>
      </c>
      <c r="F202" s="933">
        <v>115</v>
      </c>
      <c r="G202" s="938" t="s">
        <v>521</v>
      </c>
      <c r="H202" s="934">
        <f t="shared" si="3"/>
        <v>4.2402799999999999E-3</v>
      </c>
      <c r="I202" s="935">
        <f t="shared" si="2"/>
        <v>4.8482417974033342E-4</v>
      </c>
      <c r="J202" s="346"/>
      <c r="K202" s="346"/>
      <c r="L202" s="346"/>
    </row>
    <row r="203" spans="2:13" s="78" customFormat="1" ht="72">
      <c r="B203" s="1455"/>
      <c r="C203" s="932" t="s">
        <v>1310</v>
      </c>
      <c r="D203" s="933" t="s">
        <v>1311</v>
      </c>
      <c r="E203" s="933" t="s">
        <v>1312</v>
      </c>
      <c r="F203" s="933">
        <v>4015</v>
      </c>
      <c r="G203" s="938" t="s">
        <v>1313</v>
      </c>
      <c r="H203" s="939">
        <f t="shared" si="3"/>
        <v>0.14804107999999999</v>
      </c>
      <c r="I203" s="935">
        <f t="shared" si="2"/>
        <v>1.6926687666586421E-2</v>
      </c>
      <c r="J203" s="81"/>
      <c r="K203" s="81" t="s">
        <v>1314</v>
      </c>
      <c r="L203">
        <f>100*16/(16+2.4)</f>
        <v>86.956521739130437</v>
      </c>
      <c r="M203" t="s">
        <v>1315</v>
      </c>
    </row>
    <row r="204" spans="2:13" ht="43.2">
      <c r="B204" s="1455"/>
      <c r="C204" s="932" t="s">
        <v>1316</v>
      </c>
      <c r="D204" s="933" t="s">
        <v>1291</v>
      </c>
      <c r="E204" s="933" t="s">
        <v>1289</v>
      </c>
      <c r="F204" s="933">
        <v>147</v>
      </c>
      <c r="G204" s="938" t="s">
        <v>521</v>
      </c>
      <c r="H204" s="934">
        <f t="shared" si="3"/>
        <v>5.4201839999999998E-3</v>
      </c>
      <c r="I204" s="935">
        <f t="shared" si="2"/>
        <v>6.1973177758112177E-4</v>
      </c>
      <c r="J204" s="346"/>
      <c r="K204" s="346"/>
      <c r="L204" s="346"/>
    </row>
    <row r="205" spans="2:13" ht="43.2">
      <c r="B205" s="1455"/>
      <c r="C205" s="932" t="s">
        <v>1317</v>
      </c>
      <c r="D205" s="933" t="s">
        <v>1291</v>
      </c>
      <c r="E205" s="933" t="s">
        <v>1289</v>
      </c>
      <c r="F205" s="933">
        <v>16</v>
      </c>
      <c r="G205" s="938" t="s">
        <v>521</v>
      </c>
      <c r="H205" s="934">
        <f t="shared" si="3"/>
        <v>5.8995200000000003E-4</v>
      </c>
      <c r="I205" s="935">
        <f t="shared" si="2"/>
        <v>6.7453798920394216E-5</v>
      </c>
      <c r="J205" s="346"/>
      <c r="K205" s="346"/>
      <c r="L205" s="346"/>
    </row>
    <row r="206" spans="2:13" ht="43.2">
      <c r="B206" s="1455"/>
      <c r="C206" s="932" t="s">
        <v>1318</v>
      </c>
      <c r="D206" s="933" t="s">
        <v>1291</v>
      </c>
      <c r="E206" s="933" t="s">
        <v>1289</v>
      </c>
      <c r="F206" s="933">
        <v>295</v>
      </c>
      <c r="G206" s="938" t="s">
        <v>521</v>
      </c>
      <c r="H206" s="934">
        <f t="shared" si="3"/>
        <v>1.087724E-2</v>
      </c>
      <c r="I206" s="935">
        <f t="shared" si="2"/>
        <v>1.2436794175947684E-3</v>
      </c>
      <c r="J206" s="346"/>
      <c r="K206" s="346"/>
      <c r="L206" s="346"/>
    </row>
    <row r="207" spans="2:13" ht="43.2">
      <c r="B207" s="1455"/>
      <c r="C207" s="932" t="s">
        <v>1319</v>
      </c>
      <c r="D207" s="933" t="s">
        <v>1291</v>
      </c>
      <c r="E207" s="933" t="s">
        <v>1289</v>
      </c>
      <c r="F207" s="933">
        <v>191</v>
      </c>
      <c r="G207" s="938" t="s">
        <v>521</v>
      </c>
      <c r="H207" s="934">
        <f t="shared" si="3"/>
        <v>7.0425519999999997E-3</v>
      </c>
      <c r="I207" s="935">
        <f t="shared" si="2"/>
        <v>8.0522972461220593E-4</v>
      </c>
      <c r="J207" s="346"/>
      <c r="K207" s="346"/>
      <c r="L207" s="346"/>
    </row>
    <row r="208" spans="2:13" ht="43.2">
      <c r="B208" s="1455"/>
      <c r="C208" s="932" t="s">
        <v>1320</v>
      </c>
      <c r="D208" s="933" t="s">
        <v>1291</v>
      </c>
      <c r="E208" s="933" t="s">
        <v>1289</v>
      </c>
      <c r="F208" s="933">
        <v>11</v>
      </c>
      <c r="G208" s="938" t="s">
        <v>521</v>
      </c>
      <c r="H208" s="934">
        <f t="shared" si="3"/>
        <v>4.0559199999999998E-4</v>
      </c>
      <c r="I208" s="935">
        <f t="shared" si="2"/>
        <v>4.6374486757771019E-5</v>
      </c>
      <c r="J208" s="346"/>
      <c r="K208" s="346"/>
      <c r="L208" s="346"/>
    </row>
    <row r="209" spans="2:12" ht="43.2">
      <c r="B209" s="1455"/>
      <c r="C209" s="932" t="s">
        <v>1321</v>
      </c>
      <c r="D209" s="933" t="s">
        <v>1291</v>
      </c>
      <c r="E209" s="933" t="s">
        <v>1289</v>
      </c>
      <c r="F209" s="933">
        <v>72</v>
      </c>
      <c r="G209" s="938" t="s">
        <v>521</v>
      </c>
      <c r="H209" s="934">
        <f t="shared" si="3"/>
        <v>2.6547839999999994E-3</v>
      </c>
      <c r="I209" s="935">
        <f t="shared" si="2"/>
        <v>3.0354209514177392E-4</v>
      </c>
      <c r="J209" s="346"/>
      <c r="K209" s="346"/>
      <c r="L209" s="346"/>
    </row>
    <row r="210" spans="2:12" ht="43.2">
      <c r="B210" s="1455"/>
      <c r="C210" s="932" t="s">
        <v>1322</v>
      </c>
      <c r="D210" s="933" t="s">
        <v>1291</v>
      </c>
      <c r="E210" s="933" t="s">
        <v>1289</v>
      </c>
      <c r="F210" s="933">
        <v>82</v>
      </c>
      <c r="G210" s="938" t="s">
        <v>521</v>
      </c>
      <c r="H210" s="934">
        <f t="shared" si="3"/>
        <v>3.0235039999999993E-3</v>
      </c>
      <c r="I210" s="935">
        <f t="shared" si="2"/>
        <v>3.4570071946702025E-4</v>
      </c>
      <c r="J210" s="346"/>
      <c r="K210" s="346"/>
      <c r="L210" s="346"/>
    </row>
    <row r="211" spans="2:12" ht="43.2">
      <c r="B211" s="1455"/>
      <c r="C211" s="932" t="s">
        <v>1323</v>
      </c>
      <c r="D211" s="933" t="s">
        <v>1291</v>
      </c>
      <c r="E211" s="933" t="s">
        <v>1289</v>
      </c>
      <c r="F211" s="933">
        <v>43</v>
      </c>
      <c r="G211" s="938" t="s">
        <v>521</v>
      </c>
      <c r="H211" s="934">
        <f t="shared" si="3"/>
        <v>1.585496E-3</v>
      </c>
      <c r="I211" s="935">
        <f t="shared" si="2"/>
        <v>1.8128208459855944E-4</v>
      </c>
      <c r="J211" s="346"/>
      <c r="K211" s="346"/>
      <c r="L211" s="346"/>
    </row>
    <row r="212" spans="2:12" ht="43.2">
      <c r="B212" s="1455"/>
      <c r="C212" s="932" t="s">
        <v>1324</v>
      </c>
      <c r="D212" s="933" t="s">
        <v>1291</v>
      </c>
      <c r="E212" s="933" t="s">
        <v>1289</v>
      </c>
      <c r="F212" s="933">
        <v>254</v>
      </c>
      <c r="G212" s="938" t="s">
        <v>521</v>
      </c>
      <c r="H212" s="934">
        <f t="shared" si="3"/>
        <v>9.3654879999999999E-3</v>
      </c>
      <c r="I212" s="935">
        <f t="shared" si="2"/>
        <v>1.070829057861258E-3</v>
      </c>
      <c r="J212" s="346"/>
      <c r="K212" s="346"/>
      <c r="L212" s="346"/>
    </row>
    <row r="213" spans="2:12" ht="43.2">
      <c r="B213" s="1455"/>
      <c r="C213" s="932" t="s">
        <v>1325</v>
      </c>
      <c r="D213" s="933" t="s">
        <v>1291</v>
      </c>
      <c r="E213" s="933" t="s">
        <v>1289</v>
      </c>
      <c r="F213" s="933">
        <v>738</v>
      </c>
      <c r="G213" s="938" t="s">
        <v>521</v>
      </c>
      <c r="H213" s="934">
        <f t="shared" si="3"/>
        <v>2.7211536000000001E-2</v>
      </c>
      <c r="I213" s="935">
        <f t="shared" si="2"/>
        <v>3.1113064752031831E-3</v>
      </c>
      <c r="J213" s="346"/>
      <c r="K213" s="346"/>
      <c r="L213" s="346"/>
    </row>
    <row r="214" spans="2:12" ht="43.2">
      <c r="B214" s="1455"/>
      <c r="C214" s="932" t="s">
        <v>1326</v>
      </c>
      <c r="D214" s="933" t="s">
        <v>1291</v>
      </c>
      <c r="E214" s="933" t="s">
        <v>1289</v>
      </c>
      <c r="F214" s="933">
        <v>135</v>
      </c>
      <c r="G214" s="938" t="s">
        <v>521</v>
      </c>
      <c r="H214" s="934">
        <f t="shared" si="3"/>
        <v>4.9777199999999997E-3</v>
      </c>
      <c r="I214" s="935">
        <f t="shared" si="2"/>
        <v>5.6914142839082618E-4</v>
      </c>
      <c r="J214" s="346"/>
      <c r="K214" s="346"/>
      <c r="L214" s="346"/>
    </row>
    <row r="215" spans="2:12" ht="43.2">
      <c r="B215" s="1455"/>
      <c r="C215" s="932" t="s">
        <v>1327</v>
      </c>
      <c r="D215" s="933" t="s">
        <v>1291</v>
      </c>
      <c r="E215" s="933" t="s">
        <v>1289</v>
      </c>
      <c r="F215" s="933">
        <v>1187</v>
      </c>
      <c r="G215" s="938" t="s">
        <v>521</v>
      </c>
      <c r="H215" s="934">
        <f t="shared" si="3"/>
        <v>4.3767063999999994E-2</v>
      </c>
      <c r="I215" s="935">
        <f t="shared" si="2"/>
        <v>5.0042287074067455E-3</v>
      </c>
      <c r="J215" s="346"/>
      <c r="K215" s="346"/>
      <c r="L215" s="346"/>
    </row>
    <row r="216" spans="2:12" ht="43.2">
      <c r="B216" s="1455"/>
      <c r="C216" s="932" t="s">
        <v>1328</v>
      </c>
      <c r="D216" s="933" t="s">
        <v>1291</v>
      </c>
      <c r="E216" s="933" t="s">
        <v>1289</v>
      </c>
      <c r="F216" s="933">
        <v>232</v>
      </c>
      <c r="G216" s="938" t="s">
        <v>521</v>
      </c>
      <c r="H216" s="934">
        <f t="shared" si="3"/>
        <v>8.5543040000000004E-3</v>
      </c>
      <c r="I216" s="935">
        <f t="shared" si="2"/>
        <v>9.7808008434571605E-4</v>
      </c>
      <c r="J216" s="346"/>
      <c r="K216" s="346"/>
      <c r="L216" s="346"/>
    </row>
    <row r="217" spans="2:12" ht="43.2">
      <c r="B217" s="1455"/>
      <c r="C217" s="932" t="s">
        <v>1329</v>
      </c>
      <c r="D217" s="933" t="s">
        <v>1291</v>
      </c>
      <c r="E217" s="933" t="s">
        <v>1289</v>
      </c>
      <c r="F217" s="933">
        <v>29</v>
      </c>
      <c r="G217" s="938" t="s">
        <v>521</v>
      </c>
      <c r="H217" s="934">
        <f t="shared" si="3"/>
        <v>1.0692880000000001E-3</v>
      </c>
      <c r="I217" s="935">
        <f t="shared" si="2"/>
        <v>1.2226001054321451E-4</v>
      </c>
      <c r="J217" s="346"/>
      <c r="K217" s="346"/>
      <c r="L217" s="346"/>
    </row>
    <row r="218" spans="2:12" ht="43.2">
      <c r="B218" s="1455"/>
      <c r="C218" s="932" t="s">
        <v>1330</v>
      </c>
      <c r="D218" s="933" t="s">
        <v>1291</v>
      </c>
      <c r="E218" s="933" t="s">
        <v>1289</v>
      </c>
      <c r="F218" s="933">
        <v>5</v>
      </c>
      <c r="G218" s="938" t="s">
        <v>521</v>
      </c>
      <c r="H218" s="934">
        <f t="shared" si="3"/>
        <v>1.8436E-4</v>
      </c>
      <c r="I218" s="935">
        <f t="shared" si="2"/>
        <v>2.1079312162623193E-5</v>
      </c>
      <c r="J218" s="346"/>
      <c r="K218" s="346"/>
      <c r="L218" s="346"/>
    </row>
    <row r="219" spans="2:12" ht="43.2">
      <c r="B219" s="1455"/>
      <c r="C219" s="932" t="s">
        <v>1331</v>
      </c>
      <c r="D219" s="933" t="s">
        <v>1291</v>
      </c>
      <c r="E219" s="933" t="s">
        <v>1289</v>
      </c>
      <c r="F219" s="933">
        <v>125</v>
      </c>
      <c r="G219" s="938" t="s">
        <v>521</v>
      </c>
      <c r="H219" s="934">
        <f t="shared" si="3"/>
        <v>4.6090000000000002E-3</v>
      </c>
      <c r="I219" s="935">
        <f t="shared" si="2"/>
        <v>5.269828040655798E-4</v>
      </c>
      <c r="J219" s="346"/>
      <c r="K219" s="346"/>
      <c r="L219" s="346"/>
    </row>
    <row r="220" spans="2:12" ht="29.55" customHeight="1">
      <c r="B220" s="1455"/>
      <c r="C220" s="1450" t="s">
        <v>1332</v>
      </c>
      <c r="D220" s="1450"/>
      <c r="E220" s="1450"/>
      <c r="F220" s="1450"/>
      <c r="G220" s="1450"/>
      <c r="H220" s="940">
        <f>SUM(H182:H219)</f>
        <v>0.63016380799999994</v>
      </c>
      <c r="I220" s="935">
        <f t="shared" si="2"/>
        <v>7.2051527567907059E-2</v>
      </c>
      <c r="J220" s="346"/>
      <c r="K220" s="346"/>
      <c r="L220" s="346"/>
    </row>
    <row r="221" spans="2:12" ht="43.2">
      <c r="B221" s="1449" t="s">
        <v>1333</v>
      </c>
      <c r="C221" s="932" t="s">
        <v>1334</v>
      </c>
      <c r="D221" s="933" t="s">
        <v>1335</v>
      </c>
      <c r="E221" s="933" t="s">
        <v>1336</v>
      </c>
      <c r="F221" s="933">
        <f>12307207</f>
        <v>12307207</v>
      </c>
      <c r="G221" s="938" t="s">
        <v>1337</v>
      </c>
      <c r="H221" s="934">
        <f t="shared" ref="H221:H226" si="4">F221*2*C$166/10^9</f>
        <v>0.24614414000000001</v>
      </c>
      <c r="I221" s="935">
        <f t="shared" si="2"/>
        <v>2.8143573248320817E-2</v>
      </c>
      <c r="J221" s="346"/>
      <c r="K221" s="346"/>
      <c r="L221" s="346"/>
    </row>
    <row r="222" spans="2:12" ht="43.2">
      <c r="B222" s="1449"/>
      <c r="C222" s="932" t="s">
        <v>1338</v>
      </c>
      <c r="D222" s="933" t="s">
        <v>1335</v>
      </c>
      <c r="E222" s="933" t="s">
        <v>1336</v>
      </c>
      <c r="F222" s="933">
        <v>2710117</v>
      </c>
      <c r="G222" s="938" t="s">
        <v>1339</v>
      </c>
      <c r="H222" s="934">
        <f t="shared" si="4"/>
        <v>5.4202340000000002E-2</v>
      </c>
      <c r="I222" s="935">
        <f t="shared" si="2"/>
        <v>6.19737494469862E-3</v>
      </c>
      <c r="J222" s="346"/>
      <c r="K222" s="346"/>
      <c r="L222" s="346"/>
    </row>
    <row r="223" spans="2:12" ht="28.8">
      <c r="B223" s="1449"/>
      <c r="C223" s="932" t="s">
        <v>1340</v>
      </c>
      <c r="D223" s="919" t="s">
        <v>1341</v>
      </c>
      <c r="E223" s="933" t="s">
        <v>1342</v>
      </c>
      <c r="F223" s="933">
        <f>75316646+9230580+213595222</f>
        <v>298142448</v>
      </c>
      <c r="G223" s="938" t="s">
        <v>1343</v>
      </c>
      <c r="H223" s="934">
        <f t="shared" si="4"/>
        <v>5.9628489599999996</v>
      </c>
      <c r="I223" s="935">
        <f t="shared" si="2"/>
        <v>0.68177888157091038</v>
      </c>
    </row>
    <row r="224" spans="2:12" ht="28.8">
      <c r="B224" s="1449"/>
      <c r="C224" s="932" t="s">
        <v>1344</v>
      </c>
      <c r="D224" s="919" t="s">
        <v>1341</v>
      </c>
      <c r="E224" s="933" t="s">
        <v>1342</v>
      </c>
      <c r="F224" s="933">
        <v>32828215</v>
      </c>
      <c r="G224" s="938" t="s">
        <v>1343</v>
      </c>
      <c r="H224" s="934">
        <f t="shared" si="4"/>
        <v>0.65656429999999999</v>
      </c>
      <c r="I224" s="935">
        <f t="shared" si="2"/>
        <v>7.5070101076883167E-2</v>
      </c>
    </row>
    <row r="225" spans="2:9" ht="28.8">
      <c r="B225" s="1449"/>
      <c r="C225" s="932" t="s">
        <v>1345</v>
      </c>
      <c r="D225" s="919" t="s">
        <v>1341</v>
      </c>
      <c r="E225" s="933" t="s">
        <v>1342</v>
      </c>
      <c r="F225" s="933">
        <v>6546117</v>
      </c>
      <c r="G225" s="938" t="s">
        <v>1343</v>
      </c>
      <c r="H225" s="934">
        <f t="shared" si="4"/>
        <v>0.13092234</v>
      </c>
      <c r="I225" s="935">
        <f t="shared" si="2"/>
        <v>1.496936902756069E-2</v>
      </c>
    </row>
    <row r="226" spans="2:9" ht="28.8">
      <c r="B226" s="1449"/>
      <c r="C226" s="932" t="s">
        <v>1346</v>
      </c>
      <c r="D226" s="919" t="s">
        <v>1341</v>
      </c>
      <c r="E226" s="933" t="s">
        <v>1342</v>
      </c>
      <c r="F226" s="933">
        <v>1563446</v>
      </c>
      <c r="G226" s="938" t="s">
        <v>1343</v>
      </c>
      <c r="H226" s="934">
        <f t="shared" si="4"/>
        <v>3.1268919999999999E-2</v>
      </c>
      <c r="I226" s="935">
        <f t="shared" si="2"/>
        <v>3.5752187332832044E-3</v>
      </c>
    </row>
    <row r="227" spans="2:9" ht="57.6">
      <c r="B227" s="1449"/>
      <c r="C227" s="932" t="s">
        <v>810</v>
      </c>
      <c r="D227" s="933" t="s">
        <v>1347</v>
      </c>
      <c r="E227" s="933" t="s">
        <v>1348</v>
      </c>
      <c r="F227" s="933">
        <v>2767</v>
      </c>
      <c r="G227" s="938" t="s">
        <v>521</v>
      </c>
      <c r="H227" s="934">
        <f t="shared" ref="H227:H236" si="5">F227*C$175*C$166*2/10^9</f>
        <v>0.16720980999999999</v>
      </c>
      <c r="I227" s="935">
        <f t="shared" si="2"/>
        <v>1.9118397600579911E-2</v>
      </c>
    </row>
    <row r="228" spans="2:9" ht="57.6">
      <c r="B228" s="1449"/>
      <c r="C228" s="932" t="s">
        <v>1349</v>
      </c>
      <c r="D228" s="933" t="s">
        <v>1347</v>
      </c>
      <c r="E228" s="933" t="s">
        <v>1348</v>
      </c>
      <c r="F228" s="919">
        <v>1403</v>
      </c>
      <c r="G228" s="938" t="s">
        <v>521</v>
      </c>
      <c r="H228" s="934">
        <f t="shared" si="5"/>
        <v>8.4783289999999997E-2</v>
      </c>
      <c r="I228" s="935">
        <f t="shared" si="2"/>
        <v>9.6939327190508195E-3</v>
      </c>
    </row>
    <row r="229" spans="2:9" ht="57.6">
      <c r="B229" s="1449"/>
      <c r="C229" s="932" t="s">
        <v>1350</v>
      </c>
      <c r="D229" s="933" t="s">
        <v>1351</v>
      </c>
      <c r="E229" s="933" t="s">
        <v>1352</v>
      </c>
      <c r="F229" s="919">
        <f>3600-10</f>
        <v>3590</v>
      </c>
      <c r="G229" s="938" t="s">
        <v>521</v>
      </c>
      <c r="H229" s="934">
        <f t="shared" si="5"/>
        <v>0.21694369999999999</v>
      </c>
      <c r="I229" s="935">
        <f t="shared" si="2"/>
        <v>2.4804859915461469E-2</v>
      </c>
    </row>
    <row r="230" spans="2:9" ht="57.6">
      <c r="B230" s="1449"/>
      <c r="C230" s="932" t="s">
        <v>1353</v>
      </c>
      <c r="D230" s="933" t="s">
        <v>1351</v>
      </c>
      <c r="E230" s="933" t="s">
        <v>1352</v>
      </c>
      <c r="F230" s="919">
        <f>12243-5018</f>
        <v>7225</v>
      </c>
      <c r="G230" s="938" t="s">
        <v>521</v>
      </c>
      <c r="H230" s="934">
        <f t="shared" si="5"/>
        <v>0.43660674999999999</v>
      </c>
      <c r="I230" s="935">
        <f t="shared" si="2"/>
        <v>4.9920644258832629E-2</v>
      </c>
    </row>
    <row r="231" spans="2:9" ht="57.6">
      <c r="B231" s="1449"/>
      <c r="C231" s="932" t="s">
        <v>1354</v>
      </c>
      <c r="D231" s="933" t="s">
        <v>1351</v>
      </c>
      <c r="E231" s="933" t="s">
        <v>1352</v>
      </c>
      <c r="F231" s="919">
        <f>1294-133</f>
        <v>1161</v>
      </c>
      <c r="G231" s="938" t="s">
        <v>521</v>
      </c>
      <c r="H231" s="934">
        <f t="shared" si="5"/>
        <v>7.0159230000000003E-2</v>
      </c>
      <c r="I231" s="935">
        <f t="shared" si="2"/>
        <v>8.0218502400698517E-3</v>
      </c>
    </row>
    <row r="232" spans="2:9" ht="57.6">
      <c r="B232" s="1449"/>
      <c r="C232" s="932" t="s">
        <v>1355</v>
      </c>
      <c r="D232" s="933" t="s">
        <v>1351</v>
      </c>
      <c r="E232" s="933" t="s">
        <v>1352</v>
      </c>
      <c r="F232" s="919">
        <f>655-3</f>
        <v>652</v>
      </c>
      <c r="G232" s="938" t="s">
        <v>521</v>
      </c>
      <c r="H232" s="934">
        <f t="shared" si="5"/>
        <v>3.9400360000000002E-2</v>
      </c>
      <c r="I232" s="935">
        <f t="shared" si="2"/>
        <v>4.5049494888247579E-3</v>
      </c>
    </row>
    <row r="233" spans="2:9" ht="57.6">
      <c r="B233" s="1449"/>
      <c r="C233" s="932" t="s">
        <v>1356</v>
      </c>
      <c r="D233" s="933" t="s">
        <v>1351</v>
      </c>
      <c r="E233" s="933" t="s">
        <v>1352</v>
      </c>
      <c r="F233" s="919">
        <f>1788-22</f>
        <v>1766</v>
      </c>
      <c r="G233" s="938" t="s">
        <v>521</v>
      </c>
      <c r="H233" s="934">
        <f t="shared" si="5"/>
        <v>0.10671938</v>
      </c>
      <c r="I233" s="935">
        <f t="shared" si="2"/>
        <v>1.2202056437522273E-2</v>
      </c>
    </row>
    <row r="234" spans="2:9" ht="57.6">
      <c r="B234" s="1449"/>
      <c r="C234" s="932" t="s">
        <v>1357</v>
      </c>
      <c r="D234" s="933" t="s">
        <v>1351</v>
      </c>
      <c r="E234" s="933" t="s">
        <v>1352</v>
      </c>
      <c r="F234" s="919">
        <f>54</f>
        <v>54</v>
      </c>
      <c r="G234" s="938" t="s">
        <v>521</v>
      </c>
      <c r="H234" s="934">
        <f t="shared" si="5"/>
        <v>3.2632199999999998E-3</v>
      </c>
      <c r="I234" s="935">
        <f t="shared" si="2"/>
        <v>3.73109313491621E-4</v>
      </c>
    </row>
    <row r="235" spans="2:9" ht="57.6">
      <c r="B235" s="1449"/>
      <c r="C235" s="932" t="s">
        <v>1358</v>
      </c>
      <c r="D235" s="933" t="s">
        <v>1351</v>
      </c>
      <c r="E235" s="933" t="s">
        <v>1352</v>
      </c>
      <c r="F235" s="919">
        <f>82-10</f>
        <v>72</v>
      </c>
      <c r="G235" s="938" t="s">
        <v>521</v>
      </c>
      <c r="H235" s="934">
        <f t="shared" si="5"/>
        <v>4.3509600000000001E-3</v>
      </c>
      <c r="I235" s="935">
        <f t="shared" si="2"/>
        <v>4.9747908465549474E-4</v>
      </c>
    </row>
    <row r="236" spans="2:9" ht="72">
      <c r="B236" s="1449"/>
      <c r="C236" s="936" t="s">
        <v>1359</v>
      </c>
      <c r="D236" s="933" t="s">
        <v>1351</v>
      </c>
      <c r="E236" s="933" t="s">
        <v>1360</v>
      </c>
      <c r="F236" s="919">
        <f>64482-14137-7465</f>
        <v>42880</v>
      </c>
      <c r="G236" s="938" t="s">
        <v>1361</v>
      </c>
      <c r="H236" s="934">
        <f t="shared" si="5"/>
        <v>2.5912383999999999</v>
      </c>
      <c r="I236" s="935">
        <f t="shared" si="2"/>
        <v>0.29627643263927239</v>
      </c>
    </row>
    <row r="237" spans="2:9" ht="28.8">
      <c r="B237" s="1449"/>
      <c r="C237" s="932" t="s">
        <v>1362</v>
      </c>
      <c r="D237" s="919" t="s">
        <v>1363</v>
      </c>
      <c r="E237" s="919" t="s">
        <v>1364</v>
      </c>
      <c r="F237" s="919">
        <v>550000000</v>
      </c>
      <c r="G237" s="844" t="s">
        <v>1365</v>
      </c>
      <c r="H237" s="934">
        <f>F237*C167*2/10^9</f>
        <v>4.18</v>
      </c>
      <c r="I237" s="935">
        <f t="shared" si="2"/>
        <v>0.47793189867522745</v>
      </c>
    </row>
    <row r="238" spans="2:9" ht="43.2">
      <c r="B238" s="1449"/>
      <c r="C238" s="932" t="s">
        <v>1366</v>
      </c>
      <c r="D238" s="919" t="s">
        <v>1367</v>
      </c>
      <c r="E238" s="919" t="s">
        <v>1368</v>
      </c>
      <c r="F238" s="919">
        <f>400000</f>
        <v>400000</v>
      </c>
      <c r="G238" s="938" t="s">
        <v>1369</v>
      </c>
      <c r="H238" s="934">
        <f>365.25*F238*C168*2/10^9</f>
        <v>1.4610000000000001</v>
      </c>
      <c r="I238" s="935">
        <f t="shared" si="2"/>
        <v>0.16704748898672425</v>
      </c>
    </row>
    <row r="239" spans="2:9" ht="43.2">
      <c r="B239" s="1449"/>
      <c r="C239" s="932" t="s">
        <v>1269</v>
      </c>
      <c r="D239" s="919" t="s">
        <v>1370</v>
      </c>
      <c r="E239" s="919" t="s">
        <v>1371</v>
      </c>
      <c r="F239" s="919">
        <f>16*10^6</f>
        <v>16000000</v>
      </c>
      <c r="G239" s="844" t="s">
        <v>1372</v>
      </c>
      <c r="H239" s="934">
        <f>2*F239*C169*2/10^9</f>
        <v>0.32</v>
      </c>
      <c r="I239" s="935">
        <f t="shared" si="2"/>
        <v>3.6588087936859519E-2</v>
      </c>
    </row>
    <row r="240" spans="2:9">
      <c r="B240" s="1449"/>
      <c r="C240" s="1450" t="s">
        <v>1373</v>
      </c>
      <c r="D240" s="1450"/>
      <c r="E240" s="1450"/>
      <c r="F240" s="1450"/>
      <c r="G240" s="1450"/>
      <c r="H240" s="499">
        <f>SUM(H221:H239)</f>
        <v>16.763626099999996</v>
      </c>
      <c r="I240" s="941">
        <f t="shared" si="2"/>
        <v>1.9167157058982289</v>
      </c>
    </row>
    <row r="241" spans="2:9" ht="29.25" customHeight="1">
      <c r="B241" s="1451" t="s">
        <v>119</v>
      </c>
      <c r="C241" s="1452"/>
      <c r="D241" s="1452"/>
      <c r="E241" s="1452"/>
      <c r="F241" s="1452"/>
      <c r="G241" s="1452"/>
      <c r="H241" s="942">
        <f>H240+H220+H181</f>
        <v>24.137108707999996</v>
      </c>
      <c r="I241" s="943">
        <f t="shared" si="2"/>
        <v>2.7597832998432548</v>
      </c>
    </row>
    <row r="242" spans="2:9">
      <c r="B242" s="925"/>
      <c r="C242" s="908"/>
      <c r="D242" s="908"/>
      <c r="E242" s="908"/>
      <c r="F242" s="908"/>
    </row>
    <row r="243" spans="2:9">
      <c r="B243" s="925"/>
      <c r="C243" s="908"/>
      <c r="D243" s="908"/>
      <c r="E243" s="908"/>
      <c r="F243" s="908"/>
    </row>
    <row r="244" spans="2:9">
      <c r="B244" s="944" t="s">
        <v>1374</v>
      </c>
      <c r="C244" s="908"/>
      <c r="D244" s="908"/>
      <c r="E244" s="908"/>
      <c r="F244" s="908"/>
    </row>
    <row r="245" spans="2:9">
      <c r="C245" s="908"/>
      <c r="D245" s="908"/>
      <c r="E245" s="908"/>
      <c r="F245" s="908"/>
    </row>
    <row r="246" spans="2:9">
      <c r="B246" s="112"/>
      <c r="C246" s="945" t="s">
        <v>1375</v>
      </c>
      <c r="D246" s="908"/>
      <c r="E246" s="908"/>
      <c r="F246" s="908"/>
    </row>
    <row r="247" spans="2:9">
      <c r="B247" s="270" t="s">
        <v>1376</v>
      </c>
      <c r="C247" s="946">
        <f>C248+C249</f>
        <v>5.0710701381163386</v>
      </c>
      <c r="D247" s="908"/>
      <c r="E247" s="908"/>
      <c r="F247" s="908"/>
    </row>
    <row r="248" spans="2:9">
      <c r="B248" s="947" t="s">
        <v>1377</v>
      </c>
      <c r="C248" s="948">
        <f>C97</f>
        <v>1.0319758381163386</v>
      </c>
      <c r="D248" s="908"/>
      <c r="E248" s="908"/>
      <c r="F248" s="908"/>
    </row>
    <row r="249" spans="2:9">
      <c r="B249" s="947" t="s">
        <v>1378</v>
      </c>
      <c r="C249" s="949">
        <f>'16.visiteurs'!F73</f>
        <v>4.0390943000000004</v>
      </c>
      <c r="D249" s="908"/>
      <c r="E249" s="908"/>
      <c r="F249" s="908"/>
    </row>
    <row r="250" spans="2:9">
      <c r="B250" s="918" t="s">
        <v>1379</v>
      </c>
      <c r="C250" s="946">
        <f>H241</f>
        <v>24.137108707999996</v>
      </c>
      <c r="D250" s="908"/>
      <c r="E250" s="908"/>
      <c r="F250" s="908"/>
    </row>
    <row r="251" spans="2:9">
      <c r="B251" s="950" t="s">
        <v>1380</v>
      </c>
      <c r="C251" s="948">
        <f>H181</f>
        <v>6.7433187999999999</v>
      </c>
      <c r="D251" s="908"/>
      <c r="E251" s="908"/>
      <c r="F251" s="908"/>
    </row>
    <row r="252" spans="2:9">
      <c r="B252" s="950" t="s">
        <v>1381</v>
      </c>
      <c r="C252" s="948">
        <f>H220</f>
        <v>0.63016380799999994</v>
      </c>
      <c r="D252" s="908"/>
      <c r="E252" s="908"/>
      <c r="F252" s="908"/>
    </row>
    <row r="253" spans="2:9">
      <c r="B253" s="950" t="s">
        <v>1382</v>
      </c>
      <c r="C253" s="948">
        <f>H223</f>
        <v>5.9628489599999996</v>
      </c>
      <c r="D253" s="908"/>
      <c r="E253" s="908"/>
      <c r="F253" s="908"/>
    </row>
    <row r="254" spans="2:9">
      <c r="B254" s="950" t="s">
        <v>1383</v>
      </c>
      <c r="C254" s="948">
        <f t="shared" ref="C254:C257" si="6">H236</f>
        <v>2.5912383999999999</v>
      </c>
      <c r="D254" s="908"/>
      <c r="E254" s="908"/>
      <c r="F254" s="908"/>
    </row>
    <row r="255" spans="2:9">
      <c r="B255" s="950" t="s">
        <v>1384</v>
      </c>
      <c r="C255" s="948">
        <f t="shared" si="6"/>
        <v>4.18</v>
      </c>
      <c r="D255" s="908"/>
    </row>
    <row r="256" spans="2:9">
      <c r="B256" s="950" t="s">
        <v>1385</v>
      </c>
      <c r="C256" s="948">
        <f t="shared" si="6"/>
        <v>1.4610000000000001</v>
      </c>
      <c r="D256" s="908"/>
      <c r="E256" s="78"/>
    </row>
    <row r="257" spans="2:6">
      <c r="B257" s="950" t="s">
        <v>1386</v>
      </c>
      <c r="C257" s="948">
        <f t="shared" si="6"/>
        <v>0.32</v>
      </c>
      <c r="D257" s="908"/>
      <c r="E257" s="908"/>
      <c r="F257" s="908"/>
    </row>
    <row r="258" spans="2:6">
      <c r="B258" s="918" t="s">
        <v>1387</v>
      </c>
      <c r="C258" s="946">
        <f>SUM(C259:C261)</f>
        <v>5.6245863280000004</v>
      </c>
      <c r="D258" s="908"/>
      <c r="E258" s="908"/>
      <c r="F258" s="908"/>
    </row>
    <row r="259" spans="2:6">
      <c r="B259" s="950" t="s">
        <v>1388</v>
      </c>
      <c r="C259" s="948">
        <f>C145</f>
        <v>3.0121437000000002</v>
      </c>
      <c r="D259" s="908"/>
      <c r="E259" s="908"/>
      <c r="F259" s="908"/>
    </row>
    <row r="260" spans="2:6">
      <c r="B260" s="950" t="s">
        <v>1389</v>
      </c>
      <c r="C260" s="948">
        <f>'16.visiteurs'!C130</f>
        <v>0.48690454800000005</v>
      </c>
      <c r="D260" s="908"/>
      <c r="E260" s="908"/>
      <c r="F260" s="908"/>
    </row>
    <row r="261" spans="2:6">
      <c r="B261" s="950" t="s">
        <v>1390</v>
      </c>
      <c r="C261" s="948">
        <f>'16.visiteurs'!C108</f>
        <v>2.1255380800000001</v>
      </c>
      <c r="D261" s="908"/>
      <c r="E261" s="908"/>
      <c r="F261" s="908"/>
    </row>
    <row r="262" spans="2:6">
      <c r="B262" s="951" t="s">
        <v>1391</v>
      </c>
      <c r="C262" s="952">
        <f>C248+C250+C259</f>
        <v>28.181228246116333</v>
      </c>
      <c r="D262" s="908"/>
      <c r="E262" s="908"/>
      <c r="F262" s="908"/>
    </row>
    <row r="263" spans="2:6">
      <c r="B263" s="951" t="s">
        <v>1392</v>
      </c>
      <c r="C263" s="952">
        <f>C249+C260+C261</f>
        <v>6.6515369280000005</v>
      </c>
      <c r="D263" s="908"/>
      <c r="E263" s="908"/>
      <c r="F263" s="908"/>
    </row>
    <row r="264" spans="2:6">
      <c r="B264" s="922" t="s">
        <v>119</v>
      </c>
      <c r="C264" s="953">
        <f>C258+C250+C249+C248</f>
        <v>34.832765174116332</v>
      </c>
      <c r="D264" s="908"/>
      <c r="E264" s="908"/>
      <c r="F264" s="908"/>
    </row>
    <row r="265" spans="2:6">
      <c r="B265" s="99"/>
    </row>
    <row r="266" spans="2:6">
      <c r="B266" s="99" t="s">
        <v>1393</v>
      </c>
    </row>
    <row r="267" spans="2:6">
      <c r="B267" s="99" t="s">
        <v>1394</v>
      </c>
    </row>
    <row r="268" spans="2:6">
      <c r="B268" s="100"/>
    </row>
    <row r="269" spans="2:6">
      <c r="B269" s="100"/>
    </row>
    <row r="270" spans="2:6">
      <c r="B270" s="859" t="s">
        <v>1395</v>
      </c>
    </row>
    <row r="271" spans="2:6">
      <c r="B271" s="843" t="s">
        <v>95</v>
      </c>
      <c r="C271" s="329" t="s">
        <v>96</v>
      </c>
      <c r="E271" s="98"/>
    </row>
    <row r="272" spans="2:6">
      <c r="B272" s="218" t="s">
        <v>1396</v>
      </c>
      <c r="C272" s="954">
        <f>C117</f>
        <v>0.11799382098035907</v>
      </c>
      <c r="E272" s="98"/>
    </row>
    <row r="273" spans="2:5">
      <c r="B273" s="218" t="s">
        <v>1397</v>
      </c>
      <c r="C273" s="954">
        <f>I241</f>
        <v>2.7597832998432548</v>
      </c>
      <c r="E273" s="98"/>
    </row>
    <row r="274" spans="2:5" ht="28.8">
      <c r="B274" s="218" t="s">
        <v>1398</v>
      </c>
      <c r="C274" s="954">
        <f>C151</f>
        <v>0.65062303920000009</v>
      </c>
      <c r="E274" s="955"/>
    </row>
    <row r="275" spans="2:5">
      <c r="B275" s="261" t="s">
        <v>119</v>
      </c>
      <c r="C275" s="956">
        <f>SUM(C272:C274)</f>
        <v>3.5284001600236139</v>
      </c>
      <c r="E275" s="98"/>
    </row>
    <row r="276" spans="2:5">
      <c r="B276" s="326"/>
      <c r="C276" s="957"/>
      <c r="E276" s="98"/>
    </row>
  </sheetData>
  <mergeCells count="25">
    <mergeCell ref="C11:D11"/>
    <mergeCell ref="B5:D5"/>
    <mergeCell ref="F5:Q5"/>
    <mergeCell ref="F6:G6"/>
    <mergeCell ref="H6:Q6"/>
    <mergeCell ref="C7:D7"/>
    <mergeCell ref="F7:G8"/>
    <mergeCell ref="H7:Q8"/>
    <mergeCell ref="C8:D8"/>
    <mergeCell ref="B221:B240"/>
    <mergeCell ref="C240:G240"/>
    <mergeCell ref="B241:G241"/>
    <mergeCell ref="C13:D13"/>
    <mergeCell ref="B15:Q15"/>
    <mergeCell ref="C16:Q16"/>
    <mergeCell ref="C17:Q17"/>
    <mergeCell ref="C18:Q18"/>
    <mergeCell ref="C19:Q19"/>
    <mergeCell ref="C20:Q20"/>
    <mergeCell ref="C21:Q21"/>
    <mergeCell ref="C22:Q22"/>
    <mergeCell ref="C23:Q23"/>
    <mergeCell ref="B178:D178"/>
    <mergeCell ref="B182:B220"/>
    <mergeCell ref="C220:G220"/>
  </mergeCells>
  <conditionalFormatting sqref="C8">
    <cfRule type="containsText" dxfId="401" priority="80" operator="containsText" text="Calcul validé">
      <formula>NOT(ISERROR(SEARCH("Calcul validé",C8)))</formula>
    </cfRule>
  </conditionalFormatting>
  <conditionalFormatting sqref="C8">
    <cfRule type="containsText" dxfId="400" priority="79" operator="containsText" text="Bon ordre de grandeur">
      <formula>NOT(ISERROR(SEARCH("Bon ordre de grandeur",C8)))</formula>
    </cfRule>
  </conditionalFormatting>
  <conditionalFormatting sqref="C8">
    <cfRule type="containsText" dxfId="399" priority="78" operator="containsText" text="Calcul brouillon, ordre de grandeur">
      <formula>NOT(ISERROR(SEARCH("Calcul brouillon, ordre de grandeur",C8)))</formula>
    </cfRule>
  </conditionalFormatting>
  <conditionalFormatting sqref="C8">
    <cfRule type="containsText" dxfId="398" priority="77" operator="containsText" text="Pas ok">
      <formula>NOT(ISERROR(SEARCH("Pas ok",C8)))</formula>
    </cfRule>
  </conditionalFormatting>
  <conditionalFormatting sqref="C8">
    <cfRule type="containsText" dxfId="397" priority="76" operator="containsText" text="Calcul validé">
      <formula>NOT(ISERROR(SEARCH("Calcul validé",C8)))</formula>
    </cfRule>
  </conditionalFormatting>
  <conditionalFormatting sqref="C8">
    <cfRule type="containsText" dxfId="396" priority="75" operator="containsText" text="Calcul validé">
      <formula>NOT(ISERROR(SEARCH("Calcul validé",C8)))</formula>
    </cfRule>
  </conditionalFormatting>
  <conditionalFormatting sqref="C8">
    <cfRule type="containsText" dxfId="395" priority="74" operator="containsText" text="Bon ordre de grandeur">
      <formula>NOT(ISERROR(SEARCH("Bon ordre de grandeur",C8)))</formula>
    </cfRule>
  </conditionalFormatting>
  <conditionalFormatting sqref="C8">
    <cfRule type="containsText" dxfId="394" priority="73" operator="containsText" text="Calcul brouillon, ordre de grandeur">
      <formula>NOT(ISERROR(SEARCH("Calcul brouillon, ordre de grandeur",C8)))</formula>
    </cfRule>
  </conditionalFormatting>
  <conditionalFormatting sqref="C8">
    <cfRule type="containsText" dxfId="393" priority="72" operator="containsText" text="Pas ok">
      <formula>NOT(ISERROR(SEARCH("Pas ok",C8)))</formula>
    </cfRule>
  </conditionalFormatting>
  <conditionalFormatting sqref="C8">
    <cfRule type="containsText" dxfId="392" priority="71" operator="containsText" text="Calcul brouillon, odg">
      <formula>NOT(ISERROR(SEARCH("Calcul brouillon, odg",C8)))</formula>
    </cfRule>
  </conditionalFormatting>
  <conditionalFormatting sqref="C13">
    <cfRule type="containsText" dxfId="391" priority="10" operator="containsText" text="Calcul validé">
      <formula>NOT(ISERROR(SEARCH("Calcul validé",C13)))</formula>
    </cfRule>
  </conditionalFormatting>
  <conditionalFormatting sqref="C13">
    <cfRule type="containsText" dxfId="390" priority="9" operator="containsText" text="Bon ordre de grandeur">
      <formula>NOT(ISERROR(SEARCH("Bon ordre de grandeur",C13)))</formula>
    </cfRule>
  </conditionalFormatting>
  <conditionalFormatting sqref="C13">
    <cfRule type="containsText" dxfId="389" priority="8" operator="containsText" text="Calcul brouillon, ordre de grandeur">
      <formula>NOT(ISERROR(SEARCH("Calcul brouillon, ordre de grandeur",C13)))</formula>
    </cfRule>
  </conditionalFormatting>
  <conditionalFormatting sqref="C13">
    <cfRule type="containsText" dxfId="388" priority="7" operator="containsText" text="Pas ok">
      <formula>NOT(ISERROR(SEARCH("Pas ok",C13)))</formula>
    </cfRule>
  </conditionalFormatting>
  <conditionalFormatting sqref="C13">
    <cfRule type="containsText" dxfId="387" priority="6" operator="containsText" text="Calcul validé">
      <formula>NOT(ISERROR(SEARCH("Calcul validé",C13)))</formula>
    </cfRule>
  </conditionalFormatting>
  <conditionalFormatting sqref="C13">
    <cfRule type="containsText" dxfId="386" priority="5" operator="containsText" text="Calcul validé">
      <formula>NOT(ISERROR(SEARCH("Calcul validé",C13)))</formula>
    </cfRule>
  </conditionalFormatting>
  <conditionalFormatting sqref="C13">
    <cfRule type="containsText" dxfId="385" priority="4" operator="containsText" text="Bon ordre de grandeur">
      <formula>NOT(ISERROR(SEARCH("Bon ordre de grandeur",C13)))</formula>
    </cfRule>
  </conditionalFormatting>
  <conditionalFormatting sqref="C13">
    <cfRule type="containsText" dxfId="384" priority="3" operator="containsText" text="Calcul brouillon, ordre de grandeur">
      <formula>NOT(ISERROR(SEARCH("Calcul brouillon, ordre de grandeur",C13)))</formula>
    </cfRule>
  </conditionalFormatting>
  <conditionalFormatting sqref="C13">
    <cfRule type="containsText" dxfId="383" priority="2" operator="containsText" text="Pas ok">
      <formula>NOT(ISERROR(SEARCH("Pas ok",C13)))</formula>
    </cfRule>
  </conditionalFormatting>
  <conditionalFormatting sqref="C13:D13">
    <cfRule type="containsText" dxfId="382" priority="1" operator="containsText" text="Calcul brouillon, odg">
      <formula>NOT(ISERROR(SEARCH("Calcul brouillon, odg",C13)))</formula>
    </cfRule>
  </conditionalFormatting>
  <hyperlinks>
    <hyperlink ref="G181" r:id="rId1" xr:uid="{00000000-0004-0000-1400-000000000000}"/>
    <hyperlink ref="G182" r:id="rId2" xr:uid="{00000000-0004-0000-1400-000001000000}"/>
    <hyperlink ref="G184" r:id="rId3" xr:uid="{00000000-0004-0000-1400-000002000000}"/>
    <hyperlink ref="G185" r:id="rId4" xr:uid="{00000000-0004-0000-1400-000003000000}"/>
    <hyperlink ref="G186:G191" r:id="rId5" display="(11)" xr:uid="{00000000-0004-0000-1400-000004000000}"/>
    <hyperlink ref="G192:G201" r:id="rId6" display="(11)" xr:uid="{00000000-0004-0000-1400-000005000000}"/>
    <hyperlink ref="G202" r:id="rId7" xr:uid="{00000000-0004-0000-1400-000006000000}"/>
    <hyperlink ref="G203" r:id="rId8" xr:uid="{00000000-0004-0000-1400-000007000000}"/>
    <hyperlink ref="G204" r:id="rId9" xr:uid="{00000000-0004-0000-1400-000008000000}"/>
    <hyperlink ref="G205:G219" r:id="rId10" display="(11)" xr:uid="{00000000-0004-0000-1400-000009000000}"/>
    <hyperlink ref="G221" r:id="rId11" xr:uid="{00000000-0004-0000-1400-00000A000000}"/>
    <hyperlink ref="G222:G223" r:id="rId12" display="(14)" xr:uid="{00000000-0004-0000-1400-00000B000000}"/>
    <hyperlink ref="G224:G226" r:id="rId13" display="(15)" xr:uid="{00000000-0004-0000-1400-00000C000000}"/>
    <hyperlink ref="G227" r:id="rId14" xr:uid="{00000000-0004-0000-1400-00000D000000}"/>
    <hyperlink ref="G228:G230" r:id="rId15" display="(11)" xr:uid="{00000000-0004-0000-1400-00000E000000}"/>
    <hyperlink ref="G231:G235" r:id="rId16" display="(11)" xr:uid="{00000000-0004-0000-1400-00000F000000}"/>
    <hyperlink ref="G236" r:id="rId17" xr:uid="{00000000-0004-0000-1400-000010000000}"/>
    <hyperlink ref="G237" r:id="rId18" xr:uid="{00000000-0004-0000-1400-000011000000}"/>
    <hyperlink ref="G238" r:id="rId19" xr:uid="{00000000-0004-0000-1400-000012000000}"/>
    <hyperlink ref="G239" r:id="rId20" xr:uid="{00000000-0004-0000-1400-000013000000}"/>
  </hyperlinks>
  <pageMargins left="0.7" right="0.7" top="0.75" bottom="0.75" header="0.3" footer="0.3"/>
  <pageSetup paperSize="9" orientation="portrait"/>
  <drawing r:id="rId21"/>
  <legacyDrawing r:id="rId2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1400-000000000000}">
          <x14:formula1>
            <xm:f>'Annexe 1'!$B$5:$B$8</xm:f>
          </x14:formula1>
          <xm:sqref>C13</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44">
    <tabColor theme="4" tint="0.59999389629810485"/>
  </sheetPr>
  <dimension ref="B2:Q143"/>
  <sheetViews>
    <sheetView zoomScale="60" workbookViewId="0">
      <pane ySplit="2" topLeftCell="A3" activePane="bottomLeft" state="frozen"/>
      <selection activeCell="C40" sqref="C40"/>
      <selection pane="bottomLeft"/>
    </sheetView>
  </sheetViews>
  <sheetFormatPr baseColWidth="10" defaultRowHeight="14.4"/>
  <cols>
    <col min="2" max="2" width="43.109375" customWidth="1"/>
    <col min="3" max="3" width="12.44140625" customWidth="1"/>
    <col min="4" max="4" width="14.109375" bestFit="1" customWidth="1"/>
    <col min="6" max="6" width="15.109375" bestFit="1" customWidth="1"/>
    <col min="9" max="9" width="17.44140625" customWidth="1"/>
    <col min="15" max="15" width="14.44140625" customWidth="1"/>
  </cols>
  <sheetData>
    <row r="2" spans="2:17" ht="18">
      <c r="B2" s="57" t="s">
        <v>1399</v>
      </c>
    </row>
    <row r="5" spans="2:17">
      <c r="B5" s="1297" t="s">
        <v>90</v>
      </c>
      <c r="C5" s="1298"/>
      <c r="D5" s="1299"/>
      <c r="F5" s="1300" t="s">
        <v>63</v>
      </c>
      <c r="G5" s="1301"/>
      <c r="H5" s="1301"/>
      <c r="I5" s="1301"/>
      <c r="J5" s="1301"/>
      <c r="K5" s="1301"/>
      <c r="L5" s="1301"/>
      <c r="M5" s="1301"/>
      <c r="N5" s="1301"/>
      <c r="O5" s="1301"/>
      <c r="P5" s="1301"/>
      <c r="Q5" s="1302"/>
    </row>
    <row r="6" spans="2:17" ht="45" customHeight="1">
      <c r="B6" s="58" t="s">
        <v>64</v>
      </c>
      <c r="C6" s="59">
        <f>C11</f>
        <v>0.76052193136541391</v>
      </c>
      <c r="D6" s="60" t="s">
        <v>65</v>
      </c>
      <c r="F6" s="1303" t="s">
        <v>66</v>
      </c>
      <c r="G6" s="1304"/>
      <c r="H6" s="1343" t="s">
        <v>1400</v>
      </c>
      <c r="I6" s="1306"/>
      <c r="J6" s="1306"/>
      <c r="K6" s="1306"/>
      <c r="L6" s="1306"/>
      <c r="M6" s="1306"/>
      <c r="N6" s="1306"/>
      <c r="O6" s="1306"/>
      <c r="P6" s="1306"/>
      <c r="Q6" s="1307"/>
    </row>
    <row r="7" spans="2:17" ht="29.25" customHeight="1">
      <c r="B7" s="61" t="s">
        <v>68</v>
      </c>
      <c r="C7" s="1344" t="str">
        <f>C10</f>
        <v>v1.4</v>
      </c>
      <c r="D7" s="1345"/>
      <c r="F7" s="1308" t="s">
        <v>69</v>
      </c>
      <c r="G7" s="1309"/>
      <c r="H7" s="1346" t="s">
        <v>1401</v>
      </c>
      <c r="I7" s="1313"/>
      <c r="J7" s="1313"/>
      <c r="K7" s="1313"/>
      <c r="L7" s="1313"/>
      <c r="M7" s="1313"/>
      <c r="N7" s="1313"/>
      <c r="O7" s="1313"/>
      <c r="P7" s="1313"/>
      <c r="Q7" s="1314"/>
    </row>
    <row r="8" spans="2:17" ht="54.75" customHeight="1">
      <c r="B8" s="63" t="s">
        <v>28</v>
      </c>
      <c r="C8" s="1318" t="str">
        <f>C12</f>
        <v>Bon ordre de grandeur</v>
      </c>
      <c r="D8" s="1319"/>
      <c r="F8" s="1310"/>
      <c r="G8" s="1311"/>
      <c r="H8" s="1315"/>
      <c r="I8" s="1316"/>
      <c r="J8" s="1316"/>
      <c r="K8" s="1316"/>
      <c r="L8" s="1316"/>
      <c r="M8" s="1316"/>
      <c r="N8" s="1316"/>
      <c r="O8" s="1316"/>
      <c r="P8" s="1316"/>
      <c r="Q8" s="1317"/>
    </row>
    <row r="10" spans="2:17">
      <c r="B10" s="64" t="s">
        <v>93</v>
      </c>
      <c r="C10" s="1287" t="s">
        <v>1153</v>
      </c>
      <c r="D10" s="1288"/>
      <c r="E10" s="65"/>
      <c r="F10" s="65"/>
      <c r="G10" s="65"/>
      <c r="H10" s="65"/>
      <c r="I10" s="65"/>
      <c r="J10" s="65"/>
      <c r="K10" s="65"/>
      <c r="L10" s="65"/>
      <c r="M10" s="65"/>
      <c r="N10" s="65"/>
      <c r="O10" s="65"/>
      <c r="P10" s="65"/>
      <c r="Q10" s="66"/>
    </row>
    <row r="11" spans="2:17">
      <c r="B11" s="67" t="s">
        <v>95</v>
      </c>
      <c r="C11" s="849">
        <f>C143</f>
        <v>0.76052193136541391</v>
      </c>
      <c r="D11" s="69" t="s">
        <v>96</v>
      </c>
      <c r="E11" s="70"/>
      <c r="F11" s="70"/>
      <c r="G11" s="70"/>
      <c r="H11" s="70"/>
      <c r="I11" s="70"/>
      <c r="J11" s="70"/>
      <c r="K11" s="70"/>
      <c r="L11" s="70"/>
      <c r="M11" s="70"/>
      <c r="N11" s="70"/>
      <c r="O11" s="70"/>
      <c r="P11" s="70"/>
      <c r="Q11" s="71"/>
    </row>
    <row r="12" spans="2:17">
      <c r="B12" s="72" t="s">
        <v>97</v>
      </c>
      <c r="C12" s="1289" t="s">
        <v>98</v>
      </c>
      <c r="D12" s="1290"/>
      <c r="E12" s="70"/>
      <c r="F12" s="70"/>
      <c r="G12" s="70"/>
      <c r="H12" s="70"/>
      <c r="I12" s="70"/>
      <c r="J12" s="70"/>
      <c r="K12" s="70"/>
      <c r="L12" s="70"/>
      <c r="M12" s="70"/>
      <c r="N12" s="70"/>
      <c r="O12" s="70"/>
      <c r="P12" s="70"/>
      <c r="Q12" s="71"/>
    </row>
    <row r="13" spans="2:17">
      <c r="B13" s="73"/>
      <c r="C13" s="74"/>
      <c r="D13" s="74"/>
      <c r="E13" s="74"/>
      <c r="F13" s="74"/>
      <c r="G13" s="74"/>
      <c r="H13" s="74"/>
      <c r="I13" s="74"/>
      <c r="J13" s="74"/>
      <c r="K13" s="74"/>
      <c r="L13" s="74"/>
      <c r="M13" s="74"/>
      <c r="N13" s="74"/>
      <c r="O13" s="74"/>
      <c r="P13" s="74"/>
      <c r="Q13" s="75"/>
    </row>
    <row r="14" spans="2:17">
      <c r="B14" s="1351" t="s">
        <v>71</v>
      </c>
      <c r="C14" s="1352"/>
      <c r="D14" s="1352"/>
      <c r="E14" s="1352"/>
      <c r="F14" s="1352"/>
      <c r="G14" s="1352"/>
      <c r="H14" s="1352"/>
      <c r="I14" s="1352"/>
      <c r="J14" s="1352"/>
      <c r="K14" s="1352"/>
      <c r="L14" s="1352"/>
      <c r="M14" s="1352"/>
      <c r="N14" s="1352"/>
      <c r="O14" s="1352"/>
      <c r="P14" s="1352"/>
      <c r="Q14" s="1353"/>
    </row>
    <row r="15" spans="2:17" ht="34.049999999999997" customHeight="1">
      <c r="B15" s="76" t="s">
        <v>72</v>
      </c>
      <c r="C15" s="1294" t="s">
        <v>1402</v>
      </c>
      <c r="D15" s="1295"/>
      <c r="E15" s="1295"/>
      <c r="F15" s="1295"/>
      <c r="G15" s="1295"/>
      <c r="H15" s="1295"/>
      <c r="I15" s="1295"/>
      <c r="J15" s="1295"/>
      <c r="K15" s="1295"/>
      <c r="L15" s="1295"/>
      <c r="M15" s="1295"/>
      <c r="N15" s="1295"/>
      <c r="O15" s="1295"/>
      <c r="P15" s="1295"/>
      <c r="Q15" s="1296"/>
    </row>
    <row r="16" spans="2:17" ht="91.05" customHeight="1">
      <c r="B16" s="77" t="s">
        <v>74</v>
      </c>
      <c r="C16" s="1275" t="s">
        <v>1403</v>
      </c>
      <c r="D16" s="1276"/>
      <c r="E16" s="1276"/>
      <c r="F16" s="1276"/>
      <c r="G16" s="1276"/>
      <c r="H16" s="1276"/>
      <c r="I16" s="1276"/>
      <c r="J16" s="1276"/>
      <c r="K16" s="1276"/>
      <c r="L16" s="1276"/>
      <c r="M16" s="1276"/>
      <c r="N16" s="1276"/>
      <c r="O16" s="1276"/>
      <c r="P16" s="1276"/>
      <c r="Q16" s="1277"/>
    </row>
    <row r="17" spans="2:17" ht="35.549999999999997" customHeight="1">
      <c r="B17" s="77" t="s">
        <v>76</v>
      </c>
      <c r="C17" s="1275" t="s">
        <v>1404</v>
      </c>
      <c r="D17" s="1276"/>
      <c r="E17" s="1276"/>
      <c r="F17" s="1276"/>
      <c r="G17" s="1276"/>
      <c r="H17" s="1276"/>
      <c r="I17" s="1276"/>
      <c r="J17" s="1276"/>
      <c r="K17" s="1276"/>
      <c r="L17" s="1276"/>
      <c r="M17" s="1276"/>
      <c r="N17" s="1276"/>
      <c r="O17" s="1276"/>
      <c r="P17" s="1276"/>
      <c r="Q17" s="1277"/>
    </row>
    <row r="18" spans="2:17" ht="21" customHeight="1">
      <c r="B18" s="77" t="s">
        <v>78</v>
      </c>
      <c r="C18" s="1275" t="s">
        <v>1405</v>
      </c>
      <c r="D18" s="1276"/>
      <c r="E18" s="1276"/>
      <c r="F18" s="1276"/>
      <c r="G18" s="1276"/>
      <c r="H18" s="1276"/>
      <c r="I18" s="1276"/>
      <c r="J18" s="1276"/>
      <c r="K18" s="1276"/>
      <c r="L18" s="1276"/>
      <c r="M18" s="1276"/>
      <c r="N18" s="1276"/>
      <c r="O18" s="1276"/>
      <c r="P18" s="1276"/>
      <c r="Q18" s="1277"/>
    </row>
    <row r="19" spans="2:17" ht="34.049999999999997" customHeight="1">
      <c r="B19" s="77" t="s">
        <v>82</v>
      </c>
      <c r="C19" s="1275" t="s">
        <v>1406</v>
      </c>
      <c r="D19" s="1276"/>
      <c r="E19" s="1276"/>
      <c r="F19" s="1276"/>
      <c r="G19" s="1276"/>
      <c r="H19" s="1276"/>
      <c r="I19" s="1276"/>
      <c r="J19" s="1276"/>
      <c r="K19" s="1276"/>
      <c r="L19" s="1276"/>
      <c r="M19" s="1276"/>
      <c r="N19" s="1276"/>
      <c r="O19" s="1276"/>
      <c r="P19" s="1276"/>
      <c r="Q19" s="1277"/>
    </row>
    <row r="20" spans="2:17" ht="15" customHeight="1">
      <c r="B20" s="77" t="s">
        <v>84</v>
      </c>
      <c r="C20" s="1275" t="s">
        <v>1162</v>
      </c>
      <c r="D20" s="1276"/>
      <c r="E20" s="1276"/>
      <c r="F20" s="1276"/>
      <c r="G20" s="1276"/>
      <c r="H20" s="1276"/>
      <c r="I20" s="1276"/>
      <c r="J20" s="1276"/>
      <c r="K20" s="1276"/>
      <c r="L20" s="1276"/>
      <c r="M20" s="1276"/>
      <c r="N20" s="1276"/>
      <c r="O20" s="1276"/>
      <c r="P20" s="1276"/>
      <c r="Q20" s="1277"/>
    </row>
    <row r="21" spans="2:17">
      <c r="B21" s="77" t="s">
        <v>86</v>
      </c>
      <c r="C21" s="1275" t="s">
        <v>1407</v>
      </c>
      <c r="D21" s="1276"/>
      <c r="E21" s="1276"/>
      <c r="F21" s="1276"/>
      <c r="G21" s="1276"/>
      <c r="H21" s="1276"/>
      <c r="I21" s="1276"/>
      <c r="J21" s="1276"/>
      <c r="K21" s="1276"/>
      <c r="L21" s="1276"/>
      <c r="M21" s="1276"/>
      <c r="N21" s="1276"/>
      <c r="O21" s="1276"/>
      <c r="P21" s="1276"/>
      <c r="Q21" s="1277"/>
    </row>
    <row r="22" spans="2:17">
      <c r="B22" s="79" t="s">
        <v>88</v>
      </c>
      <c r="C22" s="1279">
        <v>44950</v>
      </c>
      <c r="D22" s="1347"/>
      <c r="E22" s="1347"/>
      <c r="F22" s="1347"/>
      <c r="G22" s="1347"/>
      <c r="H22" s="1347"/>
      <c r="I22" s="1347"/>
      <c r="J22" s="1347"/>
      <c r="K22" s="1347"/>
      <c r="L22" s="1347"/>
      <c r="M22" s="1347"/>
      <c r="N22" s="1347"/>
      <c r="O22" s="1347"/>
      <c r="P22" s="1347"/>
      <c r="Q22" s="1348"/>
    </row>
    <row r="26" spans="2:17">
      <c r="B26" s="98" t="s">
        <v>1408</v>
      </c>
    </row>
    <row r="27" spans="2:17">
      <c r="B27" s="98"/>
    </row>
    <row r="28" spans="2:17">
      <c r="B28" s="152" t="s">
        <v>192</v>
      </c>
    </row>
    <row r="29" spans="2:17">
      <c r="B29" s="99" t="s">
        <v>1409</v>
      </c>
    </row>
    <row r="30" spans="2:17">
      <c r="B30" s="402"/>
    </row>
    <row r="31" spans="2:17">
      <c r="B31" s="100" t="s">
        <v>1410</v>
      </c>
    </row>
    <row r="33" spans="2:16">
      <c r="B33" s="402" t="s">
        <v>1411</v>
      </c>
    </row>
    <row r="34" spans="2:16" ht="61.5" customHeight="1">
      <c r="B34" s="1459" t="s">
        <v>1412</v>
      </c>
      <c r="C34" s="1459"/>
      <c r="D34" s="1459"/>
      <c r="E34" s="1459"/>
      <c r="F34" s="1459"/>
      <c r="G34" s="1459"/>
      <c r="H34" s="1459"/>
      <c r="I34" s="1459"/>
      <c r="J34" s="1459"/>
      <c r="K34" s="1459"/>
      <c r="L34" s="1459"/>
      <c r="M34" s="1459"/>
      <c r="N34" s="1459"/>
      <c r="O34" s="1459"/>
      <c r="P34" s="1459"/>
    </row>
    <row r="35" spans="2:16">
      <c r="B35" s="99"/>
    </row>
    <row r="36" spans="2:16">
      <c r="B36" t="s">
        <v>1413</v>
      </c>
    </row>
    <row r="37" spans="2:16">
      <c r="B37" s="364" t="s">
        <v>1414</v>
      </c>
    </row>
    <row r="38" spans="2:16">
      <c r="B38" s="364"/>
    </row>
    <row r="40" spans="2:16" ht="40.950000000000003" customHeight="1">
      <c r="B40" s="850" t="s">
        <v>1415</v>
      </c>
      <c r="C40" s="329" t="s">
        <v>1416</v>
      </c>
    </row>
    <row r="41" spans="2:16">
      <c r="B41" s="87" t="s">
        <v>1417</v>
      </c>
      <c r="C41" s="271">
        <v>1</v>
      </c>
    </row>
    <row r="42" spans="2:16">
      <c r="B42" s="87" t="s">
        <v>1180</v>
      </c>
      <c r="C42" s="271">
        <v>0.5</v>
      </c>
    </row>
    <row r="43" spans="2:16">
      <c r="B43" s="119" t="s">
        <v>1418</v>
      </c>
      <c r="C43" s="121">
        <f>1/3</f>
        <v>0.33333333333333331</v>
      </c>
    </row>
    <row r="45" spans="2:16">
      <c r="B45" s="100" t="s">
        <v>1419</v>
      </c>
    </row>
    <row r="47" spans="2:16">
      <c r="B47" t="s">
        <v>1420</v>
      </c>
    </row>
    <row r="48" spans="2:16" ht="28.8">
      <c r="B48" s="843" t="s">
        <v>1421</v>
      </c>
      <c r="C48" s="889" t="s">
        <v>1194</v>
      </c>
      <c r="D48" s="889" t="s">
        <v>1195</v>
      </c>
      <c r="E48" s="889" t="s">
        <v>1196</v>
      </c>
      <c r="F48" s="890" t="s">
        <v>795</v>
      </c>
      <c r="O48" s="98"/>
    </row>
    <row r="49" spans="2:15">
      <c r="B49" s="87" t="s">
        <v>1417</v>
      </c>
      <c r="C49" s="108">
        <f>'16.patients'!C70</f>
        <v>54227895</v>
      </c>
      <c r="D49" s="108">
        <f>'16.patients'!D70</f>
        <v>13017763</v>
      </c>
      <c r="E49" s="108">
        <f>'16.patients'!E70</f>
        <v>21359518</v>
      </c>
      <c r="F49" s="958">
        <f>'16.patients'!F70</f>
        <v>88605176</v>
      </c>
      <c r="J49" s="243"/>
      <c r="K49" s="243"/>
      <c r="L49" s="243"/>
      <c r="M49" s="243"/>
      <c r="O49" s="243"/>
    </row>
    <row r="50" spans="2:15">
      <c r="B50" s="87" t="s">
        <v>1180</v>
      </c>
      <c r="C50" s="108">
        <f>'16.patients'!C71</f>
        <v>10576459</v>
      </c>
      <c r="D50" s="108">
        <f>'16.patients'!D71</f>
        <v>2101977</v>
      </c>
      <c r="E50" s="108">
        <f>'16.patients'!E71</f>
        <v>5051725</v>
      </c>
      <c r="F50" s="958">
        <f>'16.patients'!F71</f>
        <v>17730161</v>
      </c>
      <c r="J50" s="243"/>
      <c r="K50" s="243"/>
      <c r="L50" s="243"/>
      <c r="M50" s="243"/>
      <c r="O50" s="243"/>
    </row>
    <row r="51" spans="2:15">
      <c r="B51" s="119" t="s">
        <v>1418</v>
      </c>
      <c r="C51" s="280">
        <f>'16.patients'!C72</f>
        <v>9422383</v>
      </c>
      <c r="D51" s="280">
        <f>'16.patients'!D72</f>
        <v>887731</v>
      </c>
      <c r="E51" s="280">
        <f>'16.patients'!E72</f>
        <v>211189</v>
      </c>
      <c r="F51" s="959">
        <f>'16.patients'!F72</f>
        <v>10521303</v>
      </c>
      <c r="J51" s="243"/>
      <c r="K51" s="243"/>
      <c r="L51" s="243"/>
      <c r="M51" s="243"/>
      <c r="O51" s="243"/>
    </row>
    <row r="52" spans="2:15">
      <c r="C52" s="243"/>
      <c r="D52" s="243"/>
      <c r="E52" s="243"/>
      <c r="O52" s="243"/>
    </row>
    <row r="53" spans="2:15">
      <c r="B53" t="s">
        <v>1422</v>
      </c>
    </row>
    <row r="55" spans="2:15" ht="28.8">
      <c r="B55" s="843" t="s">
        <v>1423</v>
      </c>
      <c r="C55" s="889" t="s">
        <v>1194</v>
      </c>
      <c r="D55" s="889" t="s">
        <v>1195</v>
      </c>
      <c r="E55" s="889" t="s">
        <v>1196</v>
      </c>
      <c r="F55" s="960" t="s">
        <v>795</v>
      </c>
      <c r="I55" s="86"/>
      <c r="J55" s="908"/>
      <c r="K55" s="908"/>
      <c r="L55" s="908"/>
    </row>
    <row r="56" spans="2:15">
      <c r="B56" s="87" t="s">
        <v>1417</v>
      </c>
      <c r="C56" s="108">
        <f t="shared" ref="C56:F58" si="0">C49*$C41</f>
        <v>54227895</v>
      </c>
      <c r="D56" s="108">
        <f t="shared" si="0"/>
        <v>13017763</v>
      </c>
      <c r="E56" s="108">
        <f t="shared" si="0"/>
        <v>21359518</v>
      </c>
      <c r="F56" s="958">
        <f t="shared" si="0"/>
        <v>88605176</v>
      </c>
      <c r="J56" s="243"/>
      <c r="K56" s="243"/>
      <c r="L56" s="243"/>
      <c r="O56" s="243"/>
    </row>
    <row r="57" spans="2:15">
      <c r="B57" s="87" t="s">
        <v>1180</v>
      </c>
      <c r="C57" s="108">
        <f t="shared" si="0"/>
        <v>5288229.5</v>
      </c>
      <c r="D57" s="108">
        <f t="shared" si="0"/>
        <v>1050988.5</v>
      </c>
      <c r="E57" s="108">
        <f t="shared" si="0"/>
        <v>2525862.5</v>
      </c>
      <c r="F57" s="958">
        <f t="shared" si="0"/>
        <v>8865080.5</v>
      </c>
      <c r="J57" s="243"/>
      <c r="K57" s="243"/>
      <c r="L57" s="243"/>
      <c r="O57" s="243"/>
    </row>
    <row r="58" spans="2:15">
      <c r="B58" s="87" t="s">
        <v>1418</v>
      </c>
      <c r="C58" s="108">
        <f t="shared" si="0"/>
        <v>3140794.333333333</v>
      </c>
      <c r="D58" s="108">
        <f t="shared" si="0"/>
        <v>295910.33333333331</v>
      </c>
      <c r="E58" s="108">
        <f t="shared" si="0"/>
        <v>70396.333333333328</v>
      </c>
      <c r="F58" s="958">
        <f t="shared" si="0"/>
        <v>3507101</v>
      </c>
      <c r="J58" s="243"/>
      <c r="K58" s="243"/>
      <c r="L58" s="243"/>
      <c r="O58" s="243"/>
    </row>
    <row r="59" spans="2:15">
      <c r="B59" s="119" t="s">
        <v>119</v>
      </c>
      <c r="C59" s="961">
        <f>SUM(C56:C58)</f>
        <v>62656918.833333336</v>
      </c>
      <c r="D59" s="961">
        <f>SUM(D56:D58)</f>
        <v>14364661.833333334</v>
      </c>
      <c r="E59" s="961">
        <f>SUM(E56:E58)</f>
        <v>23955776.833333332</v>
      </c>
      <c r="F59" s="962">
        <f>SUM(F56:F58)</f>
        <v>100977357.5</v>
      </c>
      <c r="I59" s="98"/>
      <c r="J59" s="963"/>
      <c r="K59" s="963"/>
      <c r="L59" s="963"/>
      <c r="O59" s="243"/>
    </row>
    <row r="60" spans="2:15">
      <c r="C60" s="243"/>
      <c r="D60" s="243"/>
      <c r="E60" s="243"/>
    </row>
    <row r="61" spans="2:15">
      <c r="C61" s="243"/>
      <c r="D61" s="243"/>
      <c r="E61" s="243"/>
    </row>
    <row r="62" spans="2:15">
      <c r="C62" s="243"/>
      <c r="D62" s="243"/>
      <c r="E62" s="243"/>
    </row>
    <row r="63" spans="2:15">
      <c r="B63" s="100" t="s">
        <v>123</v>
      </c>
      <c r="C63" s="243"/>
      <c r="D63" s="243"/>
      <c r="E63" s="243"/>
    </row>
    <row r="64" spans="2:15">
      <c r="B64" t="s">
        <v>1424</v>
      </c>
      <c r="C64" s="243"/>
      <c r="D64" s="243"/>
      <c r="E64" s="243"/>
    </row>
    <row r="65" spans="2:15">
      <c r="C65" s="243"/>
      <c r="D65" s="243"/>
      <c r="E65" s="243"/>
    </row>
    <row r="66" spans="2:15">
      <c r="B66" t="s">
        <v>1425</v>
      </c>
      <c r="C66" s="243"/>
      <c r="D66" s="243"/>
      <c r="E66" s="243"/>
    </row>
    <row r="67" spans="2:15">
      <c r="C67" s="243"/>
      <c r="D67" s="243"/>
      <c r="E67" s="243"/>
    </row>
    <row r="68" spans="2:15" ht="28.8">
      <c r="B68" s="964" t="s">
        <v>1426</v>
      </c>
      <c r="C68" s="887">
        <f>'16.patients'!C86</f>
        <v>20</v>
      </c>
      <c r="D68" s="458" t="s">
        <v>1071</v>
      </c>
      <c r="E68" s="243"/>
    </row>
    <row r="69" spans="2:15">
      <c r="C69" s="243"/>
      <c r="D69" s="243"/>
      <c r="E69" s="243"/>
    </row>
    <row r="70" spans="2:15">
      <c r="B70" t="s">
        <v>1427</v>
      </c>
      <c r="C70" s="243"/>
      <c r="D70" s="243"/>
      <c r="E70" s="243"/>
    </row>
    <row r="71" spans="2:15">
      <c r="C71" s="243"/>
      <c r="D71" s="243"/>
      <c r="E71" s="243"/>
    </row>
    <row r="72" spans="2:15" ht="28.8">
      <c r="B72" s="843" t="s">
        <v>1428</v>
      </c>
      <c r="C72" s="889" t="s">
        <v>1194</v>
      </c>
      <c r="D72" s="889" t="s">
        <v>1195</v>
      </c>
      <c r="E72" s="889" t="s">
        <v>1196</v>
      </c>
      <c r="F72" s="960" t="s">
        <v>795</v>
      </c>
      <c r="I72" s="86"/>
      <c r="J72" s="908"/>
      <c r="K72" s="908"/>
      <c r="L72" s="908"/>
    </row>
    <row r="73" spans="2:15">
      <c r="B73" s="119" t="s">
        <v>1215</v>
      </c>
      <c r="C73" s="965">
        <f>C59*$C68*2/10^9</f>
        <v>2.5062767533333337</v>
      </c>
      <c r="D73" s="965">
        <f>D59*$C68*2/10^9</f>
        <v>0.57458647333333335</v>
      </c>
      <c r="E73" s="965">
        <f>E59*$C68*2/10^9</f>
        <v>0.95823107333333324</v>
      </c>
      <c r="F73" s="966">
        <f>F59*$C68*2/10^9</f>
        <v>4.0390943000000004</v>
      </c>
      <c r="J73" s="967"/>
      <c r="K73" s="967"/>
      <c r="L73" s="967"/>
      <c r="O73" s="98"/>
    </row>
    <row r="74" spans="2:15">
      <c r="C74" s="967"/>
      <c r="D74" s="967"/>
      <c r="E74" s="967"/>
    </row>
    <row r="75" spans="2:15">
      <c r="B75" s="100" t="s">
        <v>123</v>
      </c>
      <c r="C75" s="967"/>
      <c r="D75" s="967"/>
      <c r="E75" s="967"/>
    </row>
    <row r="76" spans="2:15">
      <c r="B76" t="s">
        <v>1429</v>
      </c>
      <c r="C76" s="967"/>
      <c r="D76" s="967"/>
      <c r="E76" s="967"/>
    </row>
    <row r="77" spans="2:15">
      <c r="C77" s="967"/>
      <c r="D77" s="967"/>
      <c r="E77" s="967"/>
    </row>
    <row r="78" spans="2:15">
      <c r="B78" s="843" t="s">
        <v>1430</v>
      </c>
      <c r="C78" s="328" t="s">
        <v>1059</v>
      </c>
      <c r="D78" s="328" t="s">
        <v>129</v>
      </c>
      <c r="E78" s="114" t="s">
        <v>130</v>
      </c>
    </row>
    <row r="79" spans="2:15" ht="43.2">
      <c r="B79" s="315" t="str">
        <f>'16.patients'!B103</f>
        <v>FE déplacement mobilité quotidienne</v>
      </c>
      <c r="C79" s="222">
        <f>'16.patients'!C103</f>
        <v>0.114337774802686</v>
      </c>
      <c r="D79" s="222" t="str">
        <f>'16.patients'!D103</f>
        <v>kgCO2e/pkm</v>
      </c>
      <c r="E79" s="968" t="s">
        <v>1431</v>
      </c>
    </row>
    <row r="80" spans="2:15">
      <c r="B80" s="78"/>
      <c r="C80" s="78"/>
      <c r="D80" s="78"/>
      <c r="E80" s="78"/>
    </row>
    <row r="81" spans="2:17">
      <c r="B81" s="78"/>
      <c r="C81" s="78"/>
      <c r="D81" s="78"/>
      <c r="E81" s="78"/>
    </row>
    <row r="82" spans="2:17" ht="28.8">
      <c r="B82" s="888" t="s">
        <v>1432</v>
      </c>
      <c r="C82" s="889" t="s">
        <v>1194</v>
      </c>
      <c r="D82" s="889" t="s">
        <v>1195</v>
      </c>
      <c r="E82" s="889" t="s">
        <v>1196</v>
      </c>
      <c r="F82" s="890" t="s">
        <v>119</v>
      </c>
      <c r="I82" s="969"/>
      <c r="J82" s="908"/>
      <c r="K82" s="908"/>
      <c r="L82" s="908"/>
      <c r="M82" s="970"/>
    </row>
    <row r="83" spans="2:17">
      <c r="B83" s="119" t="s">
        <v>337</v>
      </c>
      <c r="C83" s="927">
        <f>C73*10^9*$C79/10^9</f>
        <v>0.28656210701583368</v>
      </c>
      <c r="D83" s="927">
        <f>D73*10^9*$C79/10^9</f>
        <v>6.5696938792656215E-2</v>
      </c>
      <c r="E83" s="927">
        <f>E73*10^9*$C79/10^9</f>
        <v>0.10956200867172275</v>
      </c>
      <c r="F83" s="971">
        <f>SUM(C83:E83)</f>
        <v>0.4618210544802126</v>
      </c>
      <c r="J83" s="916"/>
      <c r="K83" s="916"/>
      <c r="L83" s="916"/>
      <c r="M83" s="972"/>
      <c r="O83" s="98"/>
      <c r="P83" s="97"/>
      <c r="Q83" s="97"/>
    </row>
    <row r="84" spans="2:17">
      <c r="B84" s="78"/>
      <c r="C84" s="78"/>
      <c r="D84" s="78"/>
      <c r="E84" s="78"/>
    </row>
    <row r="85" spans="2:17">
      <c r="B85" s="78"/>
      <c r="C85" s="78"/>
      <c r="D85" s="78"/>
      <c r="E85" s="78"/>
    </row>
    <row r="86" spans="2:17">
      <c r="B86" s="98" t="s">
        <v>1433</v>
      </c>
      <c r="C86" s="78"/>
      <c r="D86" s="78"/>
      <c r="E86" s="78"/>
    </row>
    <row r="88" spans="2:17">
      <c r="B88" s="152" t="s">
        <v>192</v>
      </c>
    </row>
    <row r="89" spans="2:17">
      <c r="B89" t="s">
        <v>1434</v>
      </c>
    </row>
    <row r="90" spans="2:17">
      <c r="B90" t="s">
        <v>1435</v>
      </c>
    </row>
    <row r="91" spans="2:17">
      <c r="B91" t="s">
        <v>1436</v>
      </c>
      <c r="O91" s="835"/>
    </row>
    <row r="93" spans="2:17">
      <c r="B93" t="s">
        <v>1437</v>
      </c>
    </row>
    <row r="94" spans="2:17">
      <c r="B94" t="s">
        <v>1438</v>
      </c>
    </row>
    <row r="96" spans="2:17">
      <c r="B96" t="s">
        <v>1439</v>
      </c>
    </row>
    <row r="97" spans="2:4">
      <c r="B97" t="s">
        <v>1440</v>
      </c>
    </row>
    <row r="98" spans="2:4">
      <c r="B98" t="s">
        <v>1441</v>
      </c>
    </row>
    <row r="100" spans="2:4">
      <c r="B100" t="s">
        <v>1425</v>
      </c>
    </row>
    <row r="102" spans="2:4">
      <c r="B102" s="1456" t="s">
        <v>1442</v>
      </c>
      <c r="C102" s="1457"/>
      <c r="D102" s="1458"/>
    </row>
    <row r="103" spans="2:4" ht="28.8">
      <c r="B103" s="218" t="s">
        <v>1443</v>
      </c>
      <c r="C103" s="973">
        <v>0.2</v>
      </c>
      <c r="D103" s="271" t="s">
        <v>469</v>
      </c>
    </row>
    <row r="104" spans="2:4">
      <c r="B104" s="87" t="s">
        <v>1444</v>
      </c>
      <c r="C104" s="110">
        <v>727924</v>
      </c>
      <c r="D104" s="271" t="s">
        <v>1445</v>
      </c>
    </row>
    <row r="105" spans="2:4">
      <c r="B105" s="218" t="s">
        <v>1446</v>
      </c>
      <c r="C105" s="110">
        <f>C104*C103</f>
        <v>145584.80000000002</v>
      </c>
      <c r="D105" s="271" t="s">
        <v>1447</v>
      </c>
    </row>
    <row r="106" spans="2:4">
      <c r="B106" s="218" t="s">
        <v>1446</v>
      </c>
      <c r="C106" s="110">
        <f>C105*365</f>
        <v>53138452.000000007</v>
      </c>
      <c r="D106" s="271" t="s">
        <v>1448</v>
      </c>
    </row>
    <row r="107" spans="2:4">
      <c r="B107" s="218" t="s">
        <v>1449</v>
      </c>
      <c r="C107" s="110">
        <f>C68*2</f>
        <v>40</v>
      </c>
      <c r="D107" s="271" t="s">
        <v>1071</v>
      </c>
    </row>
    <row r="108" spans="2:4">
      <c r="B108" s="261" t="s">
        <v>1442</v>
      </c>
      <c r="C108" s="974">
        <f>C106*C107/10^9</f>
        <v>2.1255380800000001</v>
      </c>
      <c r="D108" s="975" t="s">
        <v>1252</v>
      </c>
    </row>
    <row r="111" spans="2:4">
      <c r="B111" s="888" t="s">
        <v>1450</v>
      </c>
      <c r="C111" s="976" t="s">
        <v>96</v>
      </c>
    </row>
    <row r="112" spans="2:4">
      <c r="B112" s="119" t="s">
        <v>605</v>
      </c>
      <c r="C112" s="977">
        <f>C108*10^9*C79/10^9</f>
        <v>0.2430292943255736</v>
      </c>
    </row>
    <row r="115" spans="2:5">
      <c r="B115" s="98" t="s">
        <v>1451</v>
      </c>
    </row>
    <row r="117" spans="2:5">
      <c r="B117" s="152" t="s">
        <v>192</v>
      </c>
    </row>
    <row r="118" spans="2:5">
      <c r="B118" t="s">
        <v>1452</v>
      </c>
    </row>
    <row r="119" spans="2:5">
      <c r="B119" t="s">
        <v>1453</v>
      </c>
      <c r="C119" s="78"/>
      <c r="D119" s="78"/>
      <c r="E119" s="78"/>
    </row>
    <row r="120" spans="2:5">
      <c r="B120" t="s">
        <v>1454</v>
      </c>
    </row>
    <row r="122" spans="2:5">
      <c r="B122" t="s">
        <v>1425</v>
      </c>
    </row>
    <row r="124" spans="2:5">
      <c r="B124" s="1456" t="s">
        <v>1455</v>
      </c>
      <c r="C124" s="1457"/>
      <c r="D124" s="1458"/>
    </row>
    <row r="125" spans="2:5" ht="28.8">
      <c r="B125" s="218" t="s">
        <v>1443</v>
      </c>
      <c r="C125" s="973">
        <f>C103</f>
        <v>0.2</v>
      </c>
      <c r="D125" s="271" t="s">
        <v>469</v>
      </c>
    </row>
    <row r="126" spans="2:5">
      <c r="B126" s="87" t="s">
        <v>1456</v>
      </c>
      <c r="C126" s="110">
        <f>'16.patients'!E141</f>
        <v>166634</v>
      </c>
      <c r="D126" s="271" t="s">
        <v>1457</v>
      </c>
    </row>
    <row r="127" spans="2:5">
      <c r="B127" s="218" t="s">
        <v>1446</v>
      </c>
      <c r="C127" s="110">
        <f>C126*C125</f>
        <v>33326.800000000003</v>
      </c>
      <c r="D127" s="271" t="s">
        <v>1447</v>
      </c>
    </row>
    <row r="128" spans="2:5">
      <c r="B128" s="218" t="s">
        <v>1446</v>
      </c>
      <c r="C128" s="110">
        <f>C127*365.25</f>
        <v>12172613.700000001</v>
      </c>
      <c r="D128" s="271" t="s">
        <v>1448</v>
      </c>
    </row>
    <row r="129" spans="2:8">
      <c r="B129" s="218" t="s">
        <v>1449</v>
      </c>
      <c r="C129" s="110">
        <f>C107</f>
        <v>40</v>
      </c>
      <c r="D129" s="271" t="s">
        <v>1071</v>
      </c>
    </row>
    <row r="130" spans="2:8" ht="28.8">
      <c r="B130" s="261" t="s">
        <v>1455</v>
      </c>
      <c r="C130" s="974">
        <f>C128*C129/10^9</f>
        <v>0.48690454800000005</v>
      </c>
      <c r="D130" s="975" t="s">
        <v>1252</v>
      </c>
    </row>
    <row r="131" spans="2:8">
      <c r="H131" t="s">
        <v>188</v>
      </c>
    </row>
    <row r="133" spans="2:8" ht="28.8">
      <c r="B133" s="888" t="s">
        <v>1458</v>
      </c>
      <c r="C133" s="976" t="s">
        <v>96</v>
      </c>
    </row>
    <row r="134" spans="2:8">
      <c r="B134" s="119" t="s">
        <v>605</v>
      </c>
      <c r="C134" s="977">
        <f>C130*10^9*C79/10^9</f>
        <v>5.5671582559627619E-2</v>
      </c>
    </row>
    <row r="135" spans="2:8">
      <c r="B135" s="78"/>
      <c r="C135" s="78"/>
    </row>
    <row r="136" spans="2:8">
      <c r="C136" s="78"/>
      <c r="D136" s="78"/>
      <c r="E136" s="78"/>
    </row>
    <row r="137" spans="2:8">
      <c r="B137" s="98" t="s">
        <v>1459</v>
      </c>
      <c r="C137" s="78"/>
      <c r="D137" s="78"/>
      <c r="E137" s="78"/>
    </row>
    <row r="138" spans="2:8">
      <c r="B138" s="78"/>
      <c r="C138" s="78"/>
      <c r="D138" s="78"/>
      <c r="E138" s="78"/>
    </row>
    <row r="139" spans="2:8" ht="28.8">
      <c r="B139" s="843" t="s">
        <v>95</v>
      </c>
      <c r="C139" s="329" t="s">
        <v>1460</v>
      </c>
      <c r="D139" s="78"/>
      <c r="E139" s="78"/>
    </row>
    <row r="140" spans="2:8">
      <c r="B140" s="218" t="s">
        <v>1461</v>
      </c>
      <c r="C140" s="954">
        <f>F83</f>
        <v>0.4618210544802126</v>
      </c>
    </row>
    <row r="141" spans="2:8">
      <c r="B141" s="218" t="s">
        <v>1462</v>
      </c>
      <c r="C141" s="954">
        <f>C112</f>
        <v>0.2430292943255736</v>
      </c>
      <c r="D141" s="978"/>
    </row>
    <row r="142" spans="2:8" ht="28.8">
      <c r="B142" s="218" t="s">
        <v>1463</v>
      </c>
      <c r="C142" s="954">
        <f>C134</f>
        <v>5.5671582559627619E-2</v>
      </c>
      <c r="D142" s="978"/>
    </row>
    <row r="143" spans="2:8">
      <c r="B143" s="261" t="s">
        <v>119</v>
      </c>
      <c r="C143" s="979">
        <f>SUM(C140:C142)</f>
        <v>0.76052193136541391</v>
      </c>
      <c r="D143" s="957"/>
    </row>
  </sheetData>
  <mergeCells count="22">
    <mergeCell ref="B5:D5"/>
    <mergeCell ref="F5:Q5"/>
    <mergeCell ref="F6:G6"/>
    <mergeCell ref="H6:Q6"/>
    <mergeCell ref="C7:D7"/>
    <mergeCell ref="F7:G8"/>
    <mergeCell ref="H7:Q8"/>
    <mergeCell ref="C8:D8"/>
    <mergeCell ref="C10:D10"/>
    <mergeCell ref="C12:D12"/>
    <mergeCell ref="B14:Q14"/>
    <mergeCell ref="C15:Q15"/>
    <mergeCell ref="C16:Q16"/>
    <mergeCell ref="C17:Q17"/>
    <mergeCell ref="C18:Q18"/>
    <mergeCell ref="C19:Q19"/>
    <mergeCell ref="C20:Q20"/>
    <mergeCell ref="B124:D124"/>
    <mergeCell ref="C21:Q21"/>
    <mergeCell ref="C22:Q22"/>
    <mergeCell ref="B34:P34"/>
    <mergeCell ref="B102:D102"/>
  </mergeCells>
  <conditionalFormatting sqref="C8">
    <cfRule type="containsText" dxfId="381" priority="60" operator="containsText" text="Calcul validé">
      <formula>NOT(ISERROR(SEARCH("Calcul validé",C8)))</formula>
    </cfRule>
  </conditionalFormatting>
  <conditionalFormatting sqref="C8">
    <cfRule type="containsText" dxfId="380" priority="59" operator="containsText" text="Bon ordre de grandeur">
      <formula>NOT(ISERROR(SEARCH("Bon ordre de grandeur",C8)))</formula>
    </cfRule>
  </conditionalFormatting>
  <conditionalFormatting sqref="C8">
    <cfRule type="containsText" dxfId="379" priority="58" operator="containsText" text="Calcul brouillon, ordre de grandeur">
      <formula>NOT(ISERROR(SEARCH("Calcul brouillon, ordre de grandeur",C8)))</formula>
    </cfRule>
  </conditionalFormatting>
  <conditionalFormatting sqref="C8">
    <cfRule type="containsText" dxfId="378" priority="57" operator="containsText" text="Pas ok">
      <formula>NOT(ISERROR(SEARCH("Pas ok",C8)))</formula>
    </cfRule>
  </conditionalFormatting>
  <conditionalFormatting sqref="C8">
    <cfRule type="containsText" dxfId="377" priority="56" operator="containsText" text="Calcul validé">
      <formula>NOT(ISERROR(SEARCH("Calcul validé",C8)))</formula>
    </cfRule>
  </conditionalFormatting>
  <conditionalFormatting sqref="C8">
    <cfRule type="containsText" dxfId="376" priority="55" operator="containsText" text="Calcul validé">
      <formula>NOT(ISERROR(SEARCH("Calcul validé",C8)))</formula>
    </cfRule>
  </conditionalFormatting>
  <conditionalFormatting sqref="C8">
    <cfRule type="containsText" dxfId="375" priority="54" operator="containsText" text="Bon ordre de grandeur">
      <formula>NOT(ISERROR(SEARCH("Bon ordre de grandeur",C8)))</formula>
    </cfRule>
  </conditionalFormatting>
  <conditionalFormatting sqref="C8">
    <cfRule type="containsText" dxfId="374" priority="53" operator="containsText" text="Calcul brouillon, ordre de grandeur">
      <formula>NOT(ISERROR(SEARCH("Calcul brouillon, ordre de grandeur",C8)))</formula>
    </cfRule>
  </conditionalFormatting>
  <conditionalFormatting sqref="C8">
    <cfRule type="containsText" dxfId="373" priority="52" operator="containsText" text="Pas ok">
      <formula>NOT(ISERROR(SEARCH("Pas ok",C8)))</formula>
    </cfRule>
  </conditionalFormatting>
  <conditionalFormatting sqref="C8">
    <cfRule type="containsText" dxfId="372" priority="51" operator="containsText" text="Calcul brouillon, odg">
      <formula>NOT(ISERROR(SEARCH("Calcul brouillon, odg",C8)))</formula>
    </cfRule>
  </conditionalFormatting>
  <conditionalFormatting sqref="C12">
    <cfRule type="containsText" dxfId="371" priority="10" operator="containsText" text="Calcul validé">
      <formula>NOT(ISERROR(SEARCH("Calcul validé",C12)))</formula>
    </cfRule>
  </conditionalFormatting>
  <conditionalFormatting sqref="C12">
    <cfRule type="containsText" dxfId="370" priority="9" operator="containsText" text="Bon ordre de grandeur">
      <formula>NOT(ISERROR(SEARCH("Bon ordre de grandeur",C12)))</formula>
    </cfRule>
  </conditionalFormatting>
  <conditionalFormatting sqref="C12">
    <cfRule type="containsText" dxfId="369" priority="8" operator="containsText" text="Calcul brouillon, ordre de grandeur">
      <formula>NOT(ISERROR(SEARCH("Calcul brouillon, ordre de grandeur",C12)))</formula>
    </cfRule>
  </conditionalFormatting>
  <conditionalFormatting sqref="C12">
    <cfRule type="containsText" dxfId="368" priority="7" operator="containsText" text="Pas ok">
      <formula>NOT(ISERROR(SEARCH("Pas ok",C12)))</formula>
    </cfRule>
  </conditionalFormatting>
  <conditionalFormatting sqref="C12">
    <cfRule type="containsText" dxfId="367" priority="6" operator="containsText" text="Calcul validé">
      <formula>NOT(ISERROR(SEARCH("Calcul validé",C12)))</formula>
    </cfRule>
  </conditionalFormatting>
  <conditionalFormatting sqref="C12">
    <cfRule type="containsText" dxfId="366" priority="5" operator="containsText" text="Calcul validé">
      <formula>NOT(ISERROR(SEARCH("Calcul validé",C12)))</formula>
    </cfRule>
  </conditionalFormatting>
  <conditionalFormatting sqref="C12">
    <cfRule type="containsText" dxfId="365" priority="4" operator="containsText" text="Bon ordre de grandeur">
      <formula>NOT(ISERROR(SEARCH("Bon ordre de grandeur",C12)))</formula>
    </cfRule>
  </conditionalFormatting>
  <conditionalFormatting sqref="C12">
    <cfRule type="containsText" dxfId="364" priority="3" operator="containsText" text="Calcul brouillon, ordre de grandeur">
      <formula>NOT(ISERROR(SEARCH("Calcul brouillon, ordre de grandeur",C12)))</formula>
    </cfRule>
  </conditionalFormatting>
  <conditionalFormatting sqref="C12">
    <cfRule type="containsText" dxfId="363" priority="2" operator="containsText" text="Pas ok">
      <formula>NOT(ISERROR(SEARCH("Pas ok",C12)))</formula>
    </cfRule>
  </conditionalFormatting>
  <conditionalFormatting sqref="C12:D12">
    <cfRule type="containsText" dxfId="362" priority="1" operator="containsText" text="Calcul brouillon, odg">
      <formula>NOT(ISERROR(SEARCH("Calcul brouillon, odg",C12)))</formula>
    </cfRule>
  </conditionalFormatting>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'Annexe 1'!$B$5:$B$8</xm:f>
          </x14:formula1>
          <xm:sqref>C12</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45">
    <tabColor rgb="FF00B0F0"/>
  </sheetPr>
  <dimension ref="B2:Q175"/>
  <sheetViews>
    <sheetView topLeftCell="B1" zoomScale="60" workbookViewId="0">
      <pane ySplit="2" topLeftCell="A3" activePane="bottomLeft" state="frozen"/>
      <selection activeCell="A21" sqref="A21:XFD21"/>
      <selection pane="bottomLeft" activeCell="B1" sqref="B1"/>
    </sheetView>
  </sheetViews>
  <sheetFormatPr baseColWidth="10" defaultRowHeight="14.4"/>
  <cols>
    <col min="2" max="2" width="43.109375" customWidth="1"/>
    <col min="3" max="3" width="20.44140625" customWidth="1"/>
    <col min="4" max="4" width="14" bestFit="1" customWidth="1"/>
    <col min="8" max="8" width="51.44140625" customWidth="1"/>
  </cols>
  <sheetData>
    <row r="2" spans="2:17" ht="18">
      <c r="B2" s="57" t="s">
        <v>41</v>
      </c>
    </row>
    <row r="5" spans="2:17">
      <c r="B5" s="1297" t="s">
        <v>90</v>
      </c>
      <c r="C5" s="1298"/>
      <c r="D5" s="1299"/>
      <c r="F5" s="1300" t="s">
        <v>63</v>
      </c>
      <c r="G5" s="1301"/>
      <c r="H5" s="1301"/>
      <c r="I5" s="1301"/>
      <c r="J5" s="1301"/>
      <c r="K5" s="1301"/>
      <c r="L5" s="1301"/>
      <c r="M5" s="1301"/>
      <c r="N5" s="1301"/>
      <c r="O5" s="1301"/>
      <c r="P5" s="1301"/>
      <c r="Q5" s="1302"/>
    </row>
    <row r="6" spans="2:17" ht="45" customHeight="1">
      <c r="B6" s="58" t="s">
        <v>64</v>
      </c>
      <c r="C6" s="59">
        <f>C13</f>
        <v>1.7668808161065837</v>
      </c>
      <c r="D6" s="60" t="s">
        <v>65</v>
      </c>
      <c r="F6" s="1303" t="s">
        <v>66</v>
      </c>
      <c r="G6" s="1304"/>
      <c r="H6" s="1305" t="s">
        <v>1464</v>
      </c>
      <c r="I6" s="1306"/>
      <c r="J6" s="1306"/>
      <c r="K6" s="1306"/>
      <c r="L6" s="1306"/>
      <c r="M6" s="1306"/>
      <c r="N6" s="1306"/>
      <c r="O6" s="1306"/>
      <c r="P6" s="1306"/>
      <c r="Q6" s="1307"/>
    </row>
    <row r="7" spans="2:17" ht="29.25" customHeight="1">
      <c r="B7" s="61" t="s">
        <v>68</v>
      </c>
      <c r="C7" s="1344" t="str">
        <f>C12</f>
        <v>v1.3</v>
      </c>
      <c r="D7" s="1345"/>
      <c r="F7" s="1308" t="s">
        <v>69</v>
      </c>
      <c r="G7" s="1309"/>
      <c r="H7" s="1312" t="s">
        <v>1108</v>
      </c>
      <c r="I7" s="1313"/>
      <c r="J7" s="1313"/>
      <c r="K7" s="1313"/>
      <c r="L7" s="1313"/>
      <c r="M7" s="1313"/>
      <c r="N7" s="1313"/>
      <c r="O7" s="1313"/>
      <c r="P7" s="1313"/>
      <c r="Q7" s="1314"/>
    </row>
    <row r="8" spans="2:17" ht="36" customHeight="1">
      <c r="B8" s="63" t="s">
        <v>28</v>
      </c>
      <c r="C8" s="1318" t="str">
        <f>C14</f>
        <v>Bon ordre de grandeur</v>
      </c>
      <c r="D8" s="1319"/>
      <c r="F8" s="1310"/>
      <c r="G8" s="1311"/>
      <c r="H8" s="1315"/>
      <c r="I8" s="1316"/>
      <c r="J8" s="1316"/>
      <c r="K8" s="1316"/>
      <c r="L8" s="1316"/>
      <c r="M8" s="1316"/>
      <c r="N8" s="1316"/>
      <c r="O8" s="1316"/>
      <c r="P8" s="1316"/>
      <c r="Q8" s="1317"/>
    </row>
    <row r="12" spans="2:17">
      <c r="B12" s="64" t="s">
        <v>93</v>
      </c>
      <c r="C12" s="1287" t="s">
        <v>1465</v>
      </c>
      <c r="D12" s="1288"/>
      <c r="E12" s="65"/>
      <c r="F12" s="65"/>
      <c r="G12" s="65"/>
      <c r="H12" s="65"/>
      <c r="I12" s="65"/>
      <c r="J12" s="65"/>
      <c r="K12" s="65"/>
      <c r="L12" s="65"/>
      <c r="M12" s="65"/>
      <c r="N12" s="65"/>
      <c r="O12" s="65"/>
      <c r="P12" s="65"/>
      <c r="Q12" s="66"/>
    </row>
    <row r="13" spans="2:17">
      <c r="B13" s="67" t="s">
        <v>95</v>
      </c>
      <c r="C13" s="849">
        <f>C174</f>
        <v>1.7668808161065837</v>
      </c>
      <c r="D13" s="69" t="s">
        <v>96</v>
      </c>
      <c r="E13" s="70"/>
      <c r="F13" s="70"/>
      <c r="G13" s="70"/>
      <c r="H13" s="70"/>
      <c r="I13" s="70"/>
      <c r="J13" s="70"/>
      <c r="K13" s="70"/>
      <c r="L13" s="70"/>
      <c r="M13" s="70"/>
      <c r="N13" s="70"/>
      <c r="O13" s="70"/>
      <c r="P13" s="70"/>
      <c r="Q13" s="71"/>
    </row>
    <row r="14" spans="2:17">
      <c r="B14" s="72" t="s">
        <v>97</v>
      </c>
      <c r="C14" s="1289" t="s">
        <v>98</v>
      </c>
      <c r="D14" s="1290"/>
      <c r="E14" s="70"/>
      <c r="F14" s="70"/>
      <c r="G14" s="70"/>
      <c r="H14" s="70"/>
      <c r="I14" s="70"/>
      <c r="J14" s="70"/>
      <c r="K14" s="70"/>
      <c r="L14" s="70"/>
      <c r="M14" s="70"/>
      <c r="N14" s="70"/>
      <c r="O14" s="70"/>
      <c r="P14" s="70"/>
      <c r="Q14" s="71"/>
    </row>
    <row r="15" spans="2:17">
      <c r="B15" s="73"/>
      <c r="C15" s="74"/>
      <c r="D15" s="74"/>
      <c r="E15" s="74"/>
      <c r="F15" s="74"/>
      <c r="G15" s="74"/>
      <c r="H15" s="74"/>
      <c r="I15" s="74"/>
      <c r="J15" s="74"/>
      <c r="K15" s="74"/>
      <c r="L15" s="74"/>
      <c r="M15" s="74"/>
      <c r="N15" s="74"/>
      <c r="O15" s="74"/>
      <c r="P15" s="74"/>
      <c r="Q15" s="75"/>
    </row>
    <row r="16" spans="2:17">
      <c r="B16" s="1351" t="s">
        <v>71</v>
      </c>
      <c r="C16" s="1352"/>
      <c r="D16" s="1352"/>
      <c r="E16" s="1352"/>
      <c r="F16" s="1352"/>
      <c r="G16" s="1352"/>
      <c r="H16" s="1352"/>
      <c r="I16" s="1352"/>
      <c r="J16" s="1352"/>
      <c r="K16" s="1352"/>
      <c r="L16" s="1352"/>
      <c r="M16" s="1352"/>
      <c r="N16" s="1352"/>
      <c r="O16" s="1352"/>
      <c r="P16" s="1352"/>
      <c r="Q16" s="1353"/>
    </row>
    <row r="17" spans="2:17" ht="67.5" customHeight="1">
      <c r="B17" s="76" t="s">
        <v>72</v>
      </c>
      <c r="C17" s="1294" t="s">
        <v>1466</v>
      </c>
      <c r="D17" s="1295"/>
      <c r="E17" s="1295"/>
      <c r="F17" s="1295"/>
      <c r="G17" s="1295"/>
      <c r="H17" s="1295"/>
      <c r="I17" s="1295"/>
      <c r="J17" s="1295"/>
      <c r="K17" s="1295"/>
      <c r="L17" s="1295"/>
      <c r="M17" s="1295"/>
      <c r="N17" s="1295"/>
      <c r="O17" s="1295"/>
      <c r="P17" s="1295"/>
      <c r="Q17" s="1296"/>
    </row>
    <row r="18" spans="2:17" ht="115.05" customHeight="1">
      <c r="B18" s="77" t="s">
        <v>74</v>
      </c>
      <c r="C18" s="1275" t="s">
        <v>1467</v>
      </c>
      <c r="D18" s="1276"/>
      <c r="E18" s="1276"/>
      <c r="F18" s="1276"/>
      <c r="G18" s="1276"/>
      <c r="H18" s="1276"/>
      <c r="I18" s="1276"/>
      <c r="J18" s="1276"/>
      <c r="K18" s="1276"/>
      <c r="L18" s="1276"/>
      <c r="M18" s="1276"/>
      <c r="N18" s="1276"/>
      <c r="O18" s="1276"/>
      <c r="P18" s="1276"/>
      <c r="Q18" s="1277"/>
    </row>
    <row r="19" spans="2:17" ht="30.75" customHeight="1">
      <c r="B19" s="77" t="s">
        <v>76</v>
      </c>
      <c r="C19" s="1275" t="s">
        <v>1468</v>
      </c>
      <c r="D19" s="1276"/>
      <c r="E19" s="1276"/>
      <c r="F19" s="1276"/>
      <c r="G19" s="1276"/>
      <c r="H19" s="1276"/>
      <c r="I19" s="1276"/>
      <c r="J19" s="1276"/>
      <c r="K19" s="1276"/>
      <c r="L19" s="1276"/>
      <c r="M19" s="1276"/>
      <c r="N19" s="1276"/>
      <c r="O19" s="1276"/>
      <c r="P19" s="1276"/>
      <c r="Q19" s="1277"/>
    </row>
    <row r="20" spans="2:17" ht="21" customHeight="1">
      <c r="B20" s="77" t="s">
        <v>78</v>
      </c>
      <c r="C20" s="1275" t="s">
        <v>1469</v>
      </c>
      <c r="D20" s="1276"/>
      <c r="E20" s="1276"/>
      <c r="F20" s="1276"/>
      <c r="G20" s="1276"/>
      <c r="H20" s="1276"/>
      <c r="I20" s="1276"/>
      <c r="J20" s="1276"/>
      <c r="K20" s="1276"/>
      <c r="L20" s="1276"/>
      <c r="M20" s="1276"/>
      <c r="N20" s="1276"/>
      <c r="O20" s="1276"/>
      <c r="P20" s="1276"/>
      <c r="Q20" s="1277"/>
    </row>
    <row r="21" spans="2:17" ht="90.75" customHeight="1">
      <c r="B21" s="77" t="s">
        <v>82</v>
      </c>
      <c r="C21" s="1275" t="s">
        <v>1470</v>
      </c>
      <c r="D21" s="1276"/>
      <c r="E21" s="1276"/>
      <c r="F21" s="1276"/>
      <c r="G21" s="1276"/>
      <c r="H21" s="1276"/>
      <c r="I21" s="1276"/>
      <c r="J21" s="1276"/>
      <c r="K21" s="1276"/>
      <c r="L21" s="1276"/>
      <c r="M21" s="1276"/>
      <c r="N21" s="1276"/>
      <c r="O21" s="1276"/>
      <c r="P21" s="1276"/>
      <c r="Q21" s="1277"/>
    </row>
    <row r="22" spans="2:17">
      <c r="B22" s="77" t="s">
        <v>84</v>
      </c>
      <c r="C22" s="1275" t="s">
        <v>1162</v>
      </c>
      <c r="D22" s="1276"/>
      <c r="E22" s="1276"/>
      <c r="F22" s="1276"/>
      <c r="G22" s="1276"/>
      <c r="H22" s="1276"/>
      <c r="I22" s="1276"/>
      <c r="J22" s="1276"/>
      <c r="K22" s="1276"/>
      <c r="L22" s="1276"/>
      <c r="M22" s="1276"/>
      <c r="N22" s="1276"/>
      <c r="O22" s="1276"/>
      <c r="P22" s="1276"/>
      <c r="Q22" s="1277"/>
    </row>
    <row r="23" spans="2:17" ht="22.05" customHeight="1">
      <c r="B23" s="77" t="s">
        <v>86</v>
      </c>
      <c r="C23" s="1275"/>
      <c r="D23" s="1276"/>
      <c r="E23" s="1276"/>
      <c r="F23" s="1276"/>
      <c r="G23" s="1276"/>
      <c r="H23" s="1276"/>
      <c r="I23" s="1276"/>
      <c r="J23" s="1276"/>
      <c r="K23" s="1276"/>
      <c r="L23" s="1276"/>
      <c r="M23" s="1276"/>
      <c r="N23" s="1276"/>
      <c r="O23" s="1276"/>
      <c r="P23" s="1276"/>
      <c r="Q23" s="1277"/>
    </row>
    <row r="24" spans="2:17">
      <c r="B24" s="79" t="s">
        <v>88</v>
      </c>
      <c r="C24" s="1279">
        <v>44504</v>
      </c>
      <c r="D24" s="1347"/>
      <c r="E24" s="1347"/>
      <c r="F24" s="1347"/>
      <c r="G24" s="1347"/>
      <c r="H24" s="1347"/>
      <c r="I24" s="1347"/>
      <c r="J24" s="1347"/>
      <c r="K24" s="1347"/>
      <c r="L24" s="1347"/>
      <c r="M24" s="1347"/>
      <c r="N24" s="1347"/>
      <c r="O24" s="1347"/>
      <c r="P24" s="1347"/>
      <c r="Q24" s="1348"/>
    </row>
    <row r="26" spans="2:17" ht="15.75" customHeight="1"/>
    <row r="27" spans="2:17" ht="15.75" customHeight="1">
      <c r="B27" s="152" t="s">
        <v>192</v>
      </c>
    </row>
    <row r="28" spans="2:17">
      <c r="B28" t="s">
        <v>1471</v>
      </c>
    </row>
    <row r="29" spans="2:17">
      <c r="B29" t="s">
        <v>1472</v>
      </c>
    </row>
    <row r="30" spans="2:17">
      <c r="B30" s="364"/>
    </row>
    <row r="31" spans="2:17">
      <c r="B31" t="s">
        <v>1473</v>
      </c>
    </row>
    <row r="32" spans="2:17">
      <c r="B32" t="s">
        <v>1474</v>
      </c>
    </row>
    <row r="34" spans="2:10">
      <c r="B34" s="100" t="s">
        <v>123</v>
      </c>
    </row>
    <row r="35" spans="2:10">
      <c r="B35" t="s">
        <v>1475</v>
      </c>
    </row>
    <row r="38" spans="2:10" ht="28.8">
      <c r="B38" s="850" t="s">
        <v>1119</v>
      </c>
      <c r="C38" s="469" t="s">
        <v>119</v>
      </c>
      <c r="D38" s="328" t="s">
        <v>1120</v>
      </c>
      <c r="E38" s="328" t="s">
        <v>1121</v>
      </c>
      <c r="F38" s="328" t="s">
        <v>1122</v>
      </c>
      <c r="G38" s="328" t="s">
        <v>1123</v>
      </c>
      <c r="H38" s="328" t="s">
        <v>1124</v>
      </c>
      <c r="I38" s="328" t="s">
        <v>427</v>
      </c>
      <c r="J38" s="329" t="s">
        <v>130</v>
      </c>
    </row>
    <row r="39" spans="2:10">
      <c r="B39" s="87" t="s">
        <v>1476</v>
      </c>
      <c r="C39" s="110">
        <f t="shared" ref="C39:C41" si="0">SUM(D39:H39)</f>
        <v>123753</v>
      </c>
      <c r="D39" s="110">
        <v>43121</v>
      </c>
      <c r="E39" s="110">
        <v>18567</v>
      </c>
      <c r="F39" s="110"/>
      <c r="G39" s="110">
        <v>50345</v>
      </c>
      <c r="H39" s="110">
        <v>11720</v>
      </c>
      <c r="I39" s="110">
        <v>2018</v>
      </c>
      <c r="J39" s="464" t="s">
        <v>431</v>
      </c>
    </row>
    <row r="40" spans="2:10">
      <c r="B40" s="87" t="s">
        <v>1477</v>
      </c>
      <c r="C40" s="110">
        <f t="shared" si="0"/>
        <v>102466</v>
      </c>
      <c r="D40" s="110">
        <v>60214</v>
      </c>
      <c r="E40" s="110">
        <v>7856</v>
      </c>
      <c r="F40" s="110"/>
      <c r="G40" s="110">
        <v>18961</v>
      </c>
      <c r="H40" s="110">
        <v>15435</v>
      </c>
      <c r="I40" s="110">
        <v>2018</v>
      </c>
      <c r="J40" s="464" t="s">
        <v>431</v>
      </c>
    </row>
    <row r="41" spans="2:10">
      <c r="B41" s="87" t="s">
        <v>1478</v>
      </c>
      <c r="C41" s="110">
        <f t="shared" si="0"/>
        <v>1170618</v>
      </c>
      <c r="D41" s="110">
        <v>67921</v>
      </c>
      <c r="E41" s="110">
        <v>4910</v>
      </c>
      <c r="F41" s="110">
        <v>264368</v>
      </c>
      <c r="G41" s="110">
        <v>562642</v>
      </c>
      <c r="H41" s="110">
        <v>270777</v>
      </c>
      <c r="I41" s="110" t="s">
        <v>1479</v>
      </c>
      <c r="J41" s="464" t="s">
        <v>133</v>
      </c>
    </row>
    <row r="42" spans="2:10">
      <c r="B42" s="119" t="s">
        <v>119</v>
      </c>
      <c r="C42" s="120">
        <f t="shared" ref="C42:H42" si="1">SUM(C39:C41)</f>
        <v>1396837</v>
      </c>
      <c r="D42" s="120">
        <f t="shared" si="1"/>
        <v>171256</v>
      </c>
      <c r="E42" s="120">
        <f t="shared" si="1"/>
        <v>31333</v>
      </c>
      <c r="F42" s="120">
        <f t="shared" si="1"/>
        <v>264368</v>
      </c>
      <c r="G42" s="120">
        <f t="shared" si="1"/>
        <v>631948</v>
      </c>
      <c r="H42" s="120">
        <f t="shared" si="1"/>
        <v>297932</v>
      </c>
      <c r="I42" s="120"/>
      <c r="J42" s="121"/>
    </row>
    <row r="45" spans="2:10" ht="28.8">
      <c r="B45" s="843" t="s">
        <v>1480</v>
      </c>
      <c r="C45" s="328" t="s">
        <v>119</v>
      </c>
      <c r="D45" s="328" t="s">
        <v>427</v>
      </c>
      <c r="E45" s="329" t="s">
        <v>130</v>
      </c>
    </row>
    <row r="46" spans="2:10">
      <c r="B46" s="87" t="s">
        <v>1481</v>
      </c>
      <c r="C46" s="110">
        <v>147908</v>
      </c>
      <c r="D46" s="110">
        <v>2017</v>
      </c>
      <c r="E46" s="464" t="s">
        <v>431</v>
      </c>
    </row>
    <row r="47" spans="2:10">
      <c r="B47" s="87" t="s">
        <v>1482</v>
      </c>
      <c r="C47" s="110">
        <v>19176</v>
      </c>
      <c r="D47" s="110">
        <v>2017</v>
      </c>
      <c r="E47" s="464" t="s">
        <v>431</v>
      </c>
    </row>
    <row r="48" spans="2:10">
      <c r="B48" s="87" t="s">
        <v>1483</v>
      </c>
      <c r="C48" s="110">
        <v>57103</v>
      </c>
      <c r="D48" s="110">
        <v>2017</v>
      </c>
      <c r="E48" s="464" t="s">
        <v>431</v>
      </c>
    </row>
    <row r="49" spans="2:5">
      <c r="B49" s="87" t="s">
        <v>1484</v>
      </c>
      <c r="C49" s="110">
        <v>117279</v>
      </c>
      <c r="D49" s="110">
        <v>2017</v>
      </c>
      <c r="E49" s="464" t="s">
        <v>431</v>
      </c>
    </row>
    <row r="50" spans="2:5">
      <c r="B50" s="119" t="s">
        <v>119</v>
      </c>
      <c r="C50" s="120">
        <f>SUM(C46:C49)</f>
        <v>341466</v>
      </c>
      <c r="D50" s="120">
        <v>2017</v>
      </c>
      <c r="E50" s="464" t="s">
        <v>431</v>
      </c>
    </row>
    <row r="53" spans="2:5">
      <c r="B53" s="843" t="s">
        <v>1485</v>
      </c>
      <c r="C53" s="328" t="s">
        <v>119</v>
      </c>
      <c r="D53" s="328" t="s">
        <v>427</v>
      </c>
      <c r="E53" s="329" t="s">
        <v>130</v>
      </c>
    </row>
    <row r="54" spans="2:5">
      <c r="B54" s="87" t="s">
        <v>510</v>
      </c>
      <c r="C54" s="110">
        <v>4428</v>
      </c>
      <c r="D54" s="110">
        <v>2012</v>
      </c>
      <c r="E54" s="464" t="s">
        <v>431</v>
      </c>
    </row>
    <row r="55" spans="2:5">
      <c r="B55" s="87" t="s">
        <v>511</v>
      </c>
      <c r="C55" s="110">
        <v>7970</v>
      </c>
      <c r="D55" s="110">
        <v>2012</v>
      </c>
      <c r="E55" s="464" t="s">
        <v>431</v>
      </c>
    </row>
    <row r="56" spans="2:5">
      <c r="B56" s="87" t="s">
        <v>512</v>
      </c>
      <c r="C56" s="110">
        <v>5313</v>
      </c>
      <c r="D56" s="110">
        <v>2012</v>
      </c>
      <c r="E56" s="464" t="s">
        <v>431</v>
      </c>
    </row>
    <row r="57" spans="2:5">
      <c r="B57" s="87" t="s">
        <v>513</v>
      </c>
      <c r="C57" s="110">
        <v>43394</v>
      </c>
      <c r="D57" s="110">
        <v>2012</v>
      </c>
      <c r="E57" s="464" t="s">
        <v>431</v>
      </c>
    </row>
    <row r="58" spans="2:5">
      <c r="B58" s="119" t="s">
        <v>119</v>
      </c>
      <c r="C58" s="120">
        <f>SUM(C54:C57)</f>
        <v>61105</v>
      </c>
      <c r="D58" s="120">
        <v>2012</v>
      </c>
      <c r="E58" s="258" t="s">
        <v>431</v>
      </c>
    </row>
    <row r="61" spans="2:5">
      <c r="B61" s="843" t="s">
        <v>1486</v>
      </c>
      <c r="C61" s="328" t="s">
        <v>119</v>
      </c>
      <c r="D61" s="328" t="s">
        <v>427</v>
      </c>
      <c r="E61" s="329" t="s">
        <v>130</v>
      </c>
    </row>
    <row r="62" spans="2:5">
      <c r="B62" s="218" t="s">
        <v>1487</v>
      </c>
      <c r="C62" s="110">
        <v>34221</v>
      </c>
      <c r="D62" s="110">
        <v>2015</v>
      </c>
      <c r="E62" s="464" t="s">
        <v>431</v>
      </c>
    </row>
    <row r="63" spans="2:5">
      <c r="B63" s="218" t="s">
        <v>1488</v>
      </c>
      <c r="C63" s="110">
        <v>63910</v>
      </c>
      <c r="D63" s="110">
        <v>2015</v>
      </c>
      <c r="E63" s="464" t="s">
        <v>431</v>
      </c>
    </row>
    <row r="64" spans="2:5">
      <c r="B64" s="218" t="s">
        <v>1489</v>
      </c>
      <c r="C64" s="110">
        <v>7923</v>
      </c>
      <c r="D64" s="110">
        <v>2015</v>
      </c>
      <c r="E64" s="464" t="s">
        <v>431</v>
      </c>
    </row>
    <row r="65" spans="2:5" ht="28.8">
      <c r="B65" s="218" t="s">
        <v>1490</v>
      </c>
      <c r="C65" s="110">
        <v>45281</v>
      </c>
      <c r="D65" s="110">
        <v>2015</v>
      </c>
      <c r="E65" s="464" t="s">
        <v>431</v>
      </c>
    </row>
    <row r="66" spans="2:5">
      <c r="B66" s="218" t="s">
        <v>1491</v>
      </c>
      <c r="C66" s="110">
        <v>8663</v>
      </c>
      <c r="D66" s="110">
        <v>2015</v>
      </c>
      <c r="E66" s="464" t="s">
        <v>431</v>
      </c>
    </row>
    <row r="67" spans="2:5" ht="28.8">
      <c r="B67" s="218" t="s">
        <v>1492</v>
      </c>
      <c r="C67" s="110">
        <v>221490</v>
      </c>
      <c r="D67" s="110">
        <v>2015</v>
      </c>
      <c r="E67" s="464" t="s">
        <v>431</v>
      </c>
    </row>
    <row r="68" spans="2:5">
      <c r="B68" s="980" t="s">
        <v>1493</v>
      </c>
      <c r="C68" s="110">
        <f>130387+23950</f>
        <v>154337</v>
      </c>
      <c r="D68" s="110">
        <v>2015</v>
      </c>
      <c r="E68" s="464" t="s">
        <v>431</v>
      </c>
    </row>
    <row r="69" spans="2:5" ht="28.8">
      <c r="B69" s="218" t="s">
        <v>1494</v>
      </c>
      <c r="C69" s="110">
        <v>117292</v>
      </c>
      <c r="D69" s="110">
        <v>2015</v>
      </c>
      <c r="E69" s="464" t="s">
        <v>431</v>
      </c>
    </row>
    <row r="70" spans="2:5">
      <c r="B70" s="218" t="s">
        <v>921</v>
      </c>
      <c r="C70" s="110">
        <v>1268</v>
      </c>
      <c r="D70" s="110">
        <v>2015</v>
      </c>
      <c r="E70" s="464" t="s">
        <v>431</v>
      </c>
    </row>
    <row r="71" spans="2:5">
      <c r="B71" s="119" t="s">
        <v>119</v>
      </c>
      <c r="C71" s="120">
        <f>SUM(C62:C67,C69:C70)</f>
        <v>500048</v>
      </c>
      <c r="D71" s="120">
        <v>2015</v>
      </c>
      <c r="E71" s="464" t="s">
        <v>431</v>
      </c>
    </row>
    <row r="73" spans="2:5">
      <c r="B73" t="s">
        <v>1495</v>
      </c>
    </row>
    <row r="75" spans="2:5" ht="28.8">
      <c r="B75" s="843" t="s">
        <v>1496</v>
      </c>
      <c r="C75" s="328" t="s">
        <v>119</v>
      </c>
      <c r="D75" s="328" t="s">
        <v>427</v>
      </c>
      <c r="E75" s="329" t="s">
        <v>428</v>
      </c>
    </row>
    <row r="76" spans="2:5" ht="28.8">
      <c r="B76" s="218" t="s">
        <v>1497</v>
      </c>
      <c r="C76" s="110">
        <f>5400+100+3500+10000+6100</f>
        <v>25100</v>
      </c>
      <c r="D76" s="110">
        <v>2014</v>
      </c>
      <c r="E76" s="464" t="s">
        <v>431</v>
      </c>
    </row>
    <row r="77" spans="2:5">
      <c r="B77" s="218" t="s">
        <v>1488</v>
      </c>
      <c r="C77" s="110">
        <f>14200+7000+10200</f>
        <v>31400</v>
      </c>
      <c r="D77" s="110">
        <v>2014</v>
      </c>
      <c r="E77" s="464" t="s">
        <v>431</v>
      </c>
    </row>
    <row r="78" spans="2:5">
      <c r="B78" s="218" t="s">
        <v>1498</v>
      </c>
      <c r="C78" s="110">
        <v>10000</v>
      </c>
      <c r="D78" s="110">
        <v>2014</v>
      </c>
      <c r="E78" s="464" t="s">
        <v>431</v>
      </c>
    </row>
    <row r="79" spans="2:5">
      <c r="B79" s="218" t="s">
        <v>1499</v>
      </c>
      <c r="C79" s="110">
        <v>84010</v>
      </c>
      <c r="D79" s="110">
        <v>2014</v>
      </c>
      <c r="E79" s="464" t="s">
        <v>431</v>
      </c>
    </row>
    <row r="80" spans="2:5">
      <c r="B80" s="218" t="s">
        <v>1491</v>
      </c>
      <c r="C80" s="110">
        <v>3400</v>
      </c>
      <c r="D80" s="110">
        <v>2014</v>
      </c>
      <c r="E80" s="464" t="s">
        <v>431</v>
      </c>
    </row>
    <row r="81" spans="2:5">
      <c r="B81" s="218" t="s">
        <v>1500</v>
      </c>
      <c r="C81" s="110">
        <v>35400</v>
      </c>
      <c r="D81" s="110">
        <v>2014</v>
      </c>
      <c r="E81" s="464" t="s">
        <v>431</v>
      </c>
    </row>
    <row r="82" spans="2:5">
      <c r="B82" s="980" t="s">
        <v>1493</v>
      </c>
      <c r="C82" s="110">
        <v>18100</v>
      </c>
      <c r="D82" s="110">
        <v>2014</v>
      </c>
      <c r="E82" s="464" t="s">
        <v>431</v>
      </c>
    </row>
    <row r="83" spans="2:5" ht="28.8">
      <c r="B83" s="218" t="s">
        <v>1501</v>
      </c>
      <c r="C83" s="110">
        <v>3700</v>
      </c>
      <c r="D83" s="110">
        <v>2014</v>
      </c>
      <c r="E83" s="464" t="s">
        <v>431</v>
      </c>
    </row>
    <row r="84" spans="2:5">
      <c r="B84" s="218" t="s">
        <v>921</v>
      </c>
      <c r="C84" s="110">
        <f>193300-SUM(C76:C81,C83)</f>
        <v>290</v>
      </c>
      <c r="D84" s="110">
        <v>2014</v>
      </c>
      <c r="E84" s="464" t="s">
        <v>431</v>
      </c>
    </row>
    <row r="85" spans="2:5">
      <c r="B85" s="119" t="s">
        <v>119</v>
      </c>
      <c r="C85" s="120">
        <f>SUM(C76:C81,C83:C84)</f>
        <v>193300</v>
      </c>
      <c r="D85" s="120">
        <v>2014</v>
      </c>
      <c r="E85" s="464" t="s">
        <v>431</v>
      </c>
    </row>
    <row r="88" spans="2:5" ht="28.8">
      <c r="B88" s="843" t="s">
        <v>1502</v>
      </c>
      <c r="C88" s="328" t="s">
        <v>119</v>
      </c>
      <c r="D88" s="328" t="s">
        <v>427</v>
      </c>
      <c r="E88" s="329" t="s">
        <v>428</v>
      </c>
    </row>
    <row r="89" spans="2:5" ht="28.8">
      <c r="B89" s="218" t="s">
        <v>1497</v>
      </c>
      <c r="C89" s="110">
        <v>15300</v>
      </c>
      <c r="D89" s="110">
        <v>2014</v>
      </c>
      <c r="E89" s="464" t="s">
        <v>431</v>
      </c>
    </row>
    <row r="90" spans="2:5">
      <c r="B90" s="218" t="s">
        <v>1488</v>
      </c>
      <c r="C90" s="110">
        <v>18900</v>
      </c>
      <c r="D90" s="110">
        <v>2014</v>
      </c>
      <c r="E90" s="464" t="s">
        <v>431</v>
      </c>
    </row>
    <row r="91" spans="2:5">
      <c r="B91" s="218" t="s">
        <v>1498</v>
      </c>
      <c r="C91" s="110">
        <v>6100</v>
      </c>
      <c r="D91" s="110">
        <v>2014</v>
      </c>
      <c r="E91" s="464" t="s">
        <v>431</v>
      </c>
    </row>
    <row r="92" spans="2:5">
      <c r="B92" s="218" t="s">
        <v>1499</v>
      </c>
      <c r="C92" s="110">
        <v>54200</v>
      </c>
      <c r="D92" s="110">
        <v>2014</v>
      </c>
      <c r="E92" s="464" t="s">
        <v>431</v>
      </c>
    </row>
    <row r="93" spans="2:5">
      <c r="B93" s="218" t="s">
        <v>1491</v>
      </c>
      <c r="C93" s="110">
        <v>4500</v>
      </c>
      <c r="D93" s="110">
        <v>2014</v>
      </c>
      <c r="E93" s="464" t="s">
        <v>431</v>
      </c>
    </row>
    <row r="94" spans="2:5">
      <c r="B94" s="218" t="s">
        <v>1500</v>
      </c>
      <c r="C94" s="110">
        <v>23000</v>
      </c>
      <c r="D94" s="110">
        <v>2014</v>
      </c>
      <c r="E94" s="464" t="s">
        <v>431</v>
      </c>
    </row>
    <row r="95" spans="2:5">
      <c r="B95" s="980" t="s">
        <v>1493</v>
      </c>
      <c r="C95" s="110">
        <v>1900</v>
      </c>
      <c r="D95" s="110">
        <v>2014</v>
      </c>
      <c r="E95" s="464" t="s">
        <v>431</v>
      </c>
    </row>
    <row r="96" spans="2:5" ht="28.8">
      <c r="B96" s="218" t="s">
        <v>1501</v>
      </c>
      <c r="C96" s="110">
        <v>1600</v>
      </c>
      <c r="D96" s="110">
        <v>2014</v>
      </c>
      <c r="E96" s="464" t="s">
        <v>431</v>
      </c>
    </row>
    <row r="97" spans="2:8">
      <c r="B97" s="218" t="s">
        <v>921</v>
      </c>
      <c r="C97" s="110">
        <f>124500-SUM(C89:C94,C96)</f>
        <v>900</v>
      </c>
      <c r="D97" s="110">
        <v>2014</v>
      </c>
      <c r="E97" s="464" t="s">
        <v>431</v>
      </c>
    </row>
    <row r="98" spans="2:8">
      <c r="B98" s="119" t="s">
        <v>119</v>
      </c>
      <c r="C98" s="120">
        <f>SUM(C89:C94,C96:C97)</f>
        <v>124500</v>
      </c>
      <c r="D98" s="120">
        <v>2014</v>
      </c>
      <c r="E98" s="464" t="s">
        <v>431</v>
      </c>
    </row>
    <row r="100" spans="2:8" s="78" customFormat="1"/>
    <row r="101" spans="2:8" s="78" customFormat="1">
      <c r="B101" t="s">
        <v>250</v>
      </c>
    </row>
    <row r="102" spans="2:8" s="78" customFormat="1">
      <c r="B102" s="215"/>
      <c r="C102" s="217" t="s">
        <v>251</v>
      </c>
    </row>
    <row r="103" spans="2:8">
      <c r="B103" s="218" t="s">
        <v>252</v>
      </c>
      <c r="C103" s="260">
        <f>'Annexe 2'!C5</f>
        <v>98433.71</v>
      </c>
    </row>
    <row r="104" spans="2:8">
      <c r="B104" s="261" t="s">
        <v>253</v>
      </c>
      <c r="C104" s="981">
        <f>'Annexe 2'!C6</f>
        <v>50086.251713683101</v>
      </c>
    </row>
    <row r="106" spans="2:8">
      <c r="B106" s="100" t="s">
        <v>123</v>
      </c>
    </row>
    <row r="107" spans="2:8">
      <c r="B107" t="s">
        <v>1503</v>
      </c>
    </row>
    <row r="108" spans="2:8">
      <c r="B108" s="364"/>
    </row>
    <row r="109" spans="2:8">
      <c r="B109" t="s">
        <v>1504</v>
      </c>
    </row>
    <row r="110" spans="2:8">
      <c r="B110" t="s">
        <v>1505</v>
      </c>
    </row>
    <row r="111" spans="2:8">
      <c r="B111" s="99"/>
      <c r="H111" s="982"/>
    </row>
    <row r="112" spans="2:8">
      <c r="B112" t="s">
        <v>1506</v>
      </c>
    </row>
    <row r="113" spans="2:3">
      <c r="B113" s="99" t="s">
        <v>1507</v>
      </c>
    </row>
    <row r="114" spans="2:3">
      <c r="B114" t="s">
        <v>1508</v>
      </c>
    </row>
    <row r="116" spans="2:3">
      <c r="B116" s="843" t="s">
        <v>1509</v>
      </c>
      <c r="C116" s="329" t="s">
        <v>1510</v>
      </c>
    </row>
    <row r="117" spans="2:3">
      <c r="B117" s="87" t="s">
        <v>1511</v>
      </c>
      <c r="C117" s="271">
        <f>G42+E42*0.5+F42*0.5*0.5+C50</f>
        <v>1055172.5</v>
      </c>
    </row>
    <row r="118" spans="2:3">
      <c r="B118" s="87" t="s">
        <v>1512</v>
      </c>
      <c r="C118" s="271">
        <f>C71</f>
        <v>500048</v>
      </c>
    </row>
    <row r="119" spans="2:3">
      <c r="B119" s="87" t="s">
        <v>1513</v>
      </c>
      <c r="C119" s="271">
        <f>C85</f>
        <v>193300</v>
      </c>
    </row>
    <row r="120" spans="2:3">
      <c r="B120" s="87" t="s">
        <v>1514</v>
      </c>
      <c r="C120" s="271">
        <f>C98</f>
        <v>124500</v>
      </c>
    </row>
    <row r="121" spans="2:3">
      <c r="B121" s="87" t="s">
        <v>1379</v>
      </c>
      <c r="C121" s="271">
        <f>D42+E42*0.5+F42*(0.5+0.5*0.5)+(((H39+H40)-(C66+C80+C93))+(H41-((C67-C68)+(C81-C82)+(C94-C95))))+C58</f>
        <v>622119.5</v>
      </c>
    </row>
    <row r="122" spans="2:3">
      <c r="B122" s="90" t="s">
        <v>368</v>
      </c>
      <c r="C122" s="983">
        <f>SUM(C103:C104)</f>
        <v>148519.96171368309</v>
      </c>
    </row>
    <row r="123" spans="2:3">
      <c r="B123" s="119" t="s">
        <v>119</v>
      </c>
      <c r="C123" s="121">
        <f>SUM(C117:C122)</f>
        <v>2643659.9617136829</v>
      </c>
    </row>
    <row r="126" spans="2:3">
      <c r="B126" s="100" t="s">
        <v>123</v>
      </c>
    </row>
    <row r="127" spans="2:3">
      <c r="B127" t="s">
        <v>1515</v>
      </c>
    </row>
    <row r="129" spans="2:7">
      <c r="B129" t="s">
        <v>1516</v>
      </c>
    </row>
    <row r="131" spans="2:7" ht="43.2">
      <c r="B131" s="850" t="s">
        <v>1517</v>
      </c>
      <c r="C131" s="329" t="s">
        <v>1518</v>
      </c>
    </row>
    <row r="132" spans="2:7">
      <c r="B132" s="119" t="s">
        <v>1519</v>
      </c>
      <c r="C132" s="121">
        <v>0.22</v>
      </c>
    </row>
    <row r="134" spans="2:7">
      <c r="B134" t="s">
        <v>1427</v>
      </c>
    </row>
    <row r="136" spans="2:7">
      <c r="C136" s="984" t="s">
        <v>1059</v>
      </c>
      <c r="D136" s="985" t="s">
        <v>129</v>
      </c>
      <c r="E136" s="985" t="s">
        <v>427</v>
      </c>
      <c r="F136" s="986" t="s">
        <v>130</v>
      </c>
    </row>
    <row r="137" spans="2:7">
      <c r="B137" s="987" t="s">
        <v>1520</v>
      </c>
      <c r="C137" s="110">
        <v>677</v>
      </c>
      <c r="D137" s="110" t="s">
        <v>1521</v>
      </c>
      <c r="E137" s="110"/>
      <c r="F137" s="257" t="s">
        <v>325</v>
      </c>
      <c r="G137" s="364"/>
    </row>
    <row r="138" spans="2:7" ht="28.8">
      <c r="B138" s="218" t="s">
        <v>1522</v>
      </c>
      <c r="C138" s="988">
        <f>C132</f>
        <v>0.22</v>
      </c>
      <c r="D138" s="988"/>
      <c r="E138" s="988"/>
      <c r="F138" s="989"/>
    </row>
    <row r="139" spans="2:7">
      <c r="B139" s="218" t="s">
        <v>1523</v>
      </c>
      <c r="C139" s="110">
        <f>C137*C138</f>
        <v>148.94</v>
      </c>
      <c r="D139" s="110" t="s">
        <v>1521</v>
      </c>
      <c r="E139" s="110"/>
      <c r="F139" s="271"/>
    </row>
    <row r="140" spans="2:7">
      <c r="B140" s="218" t="s">
        <v>1524</v>
      </c>
      <c r="C140" s="110">
        <v>28</v>
      </c>
      <c r="D140" s="110" t="s">
        <v>1525</v>
      </c>
      <c r="E140" s="110">
        <v>2015</v>
      </c>
      <c r="F140" s="464" t="s">
        <v>172</v>
      </c>
      <c r="G140" s="364"/>
    </row>
    <row r="141" spans="2:7">
      <c r="B141" s="218" t="s">
        <v>1526</v>
      </c>
      <c r="C141" s="973">
        <v>0.09</v>
      </c>
      <c r="D141" s="110" t="s">
        <v>469</v>
      </c>
      <c r="E141" s="110"/>
      <c r="F141" s="464" t="s">
        <v>897</v>
      </c>
      <c r="G141" s="364"/>
    </row>
    <row r="142" spans="2:7" ht="43.2">
      <c r="B142" s="218" t="s">
        <v>1527</v>
      </c>
      <c r="C142" s="110">
        <f>C140*(1-C141)</f>
        <v>25.48</v>
      </c>
      <c r="D142" s="110" t="s">
        <v>1525</v>
      </c>
      <c r="E142" s="110"/>
      <c r="F142" s="464"/>
      <c r="G142" s="364"/>
    </row>
    <row r="143" spans="2:7" ht="28.8">
      <c r="B143" s="261" t="s">
        <v>1528</v>
      </c>
      <c r="C143" s="834">
        <f>C139*10^9/(C142*10^6)</f>
        <v>5845.3689167974881</v>
      </c>
      <c r="D143" s="120" t="s">
        <v>1529</v>
      </c>
      <c r="E143" s="120"/>
      <c r="F143" s="121"/>
      <c r="G143" s="364" t="s">
        <v>1530</v>
      </c>
    </row>
    <row r="144" spans="2:7">
      <c r="B144" s="78"/>
      <c r="G144" s="364"/>
    </row>
    <row r="145" spans="2:3">
      <c r="B145" s="78"/>
    </row>
    <row r="146" spans="2:3">
      <c r="B146" s="100" t="s">
        <v>123</v>
      </c>
    </row>
    <row r="147" spans="2:3">
      <c r="B147" t="s">
        <v>1531</v>
      </c>
    </row>
    <row r="148" spans="2:3">
      <c r="B148" s="78"/>
    </row>
    <row r="149" spans="2:3">
      <c r="B149" s="843" t="s">
        <v>1509</v>
      </c>
      <c r="C149" s="329" t="s">
        <v>1532</v>
      </c>
    </row>
    <row r="150" spans="2:3">
      <c r="B150" s="87" t="s">
        <v>1511</v>
      </c>
      <c r="C150" s="89">
        <f t="shared" ref="C150:C155" si="2">C117*$C$143/10^9</f>
        <v>6.167872533359497</v>
      </c>
    </row>
    <row r="151" spans="2:3">
      <c r="B151" s="87" t="s">
        <v>1512</v>
      </c>
      <c r="C151" s="89">
        <f t="shared" si="2"/>
        <v>2.9229650361067505</v>
      </c>
    </row>
    <row r="152" spans="2:3">
      <c r="B152" s="87" t="s">
        <v>1513</v>
      </c>
      <c r="C152" s="89">
        <f t="shared" si="2"/>
        <v>1.1299098116169544</v>
      </c>
    </row>
    <row r="153" spans="2:3">
      <c r="B153" s="87" t="s">
        <v>1514</v>
      </c>
      <c r="C153" s="89">
        <f t="shared" si="2"/>
        <v>0.72774843014128721</v>
      </c>
    </row>
    <row r="154" spans="2:3">
      <c r="B154" s="87" t="s">
        <v>1379</v>
      </c>
      <c r="C154" s="89">
        <f t="shared" si="2"/>
        <v>3.6365179878335949</v>
      </c>
    </row>
    <row r="155" spans="2:3">
      <c r="B155" s="90" t="s">
        <v>368</v>
      </c>
      <c r="C155" s="89">
        <f t="shared" si="2"/>
        <v>0.8681539677251161</v>
      </c>
    </row>
    <row r="156" spans="2:3">
      <c r="B156" s="119" t="s">
        <v>119</v>
      </c>
      <c r="C156" s="990">
        <f>SUM(C150:C155)</f>
        <v>15.453167766783201</v>
      </c>
    </row>
    <row r="157" spans="2:3">
      <c r="B157" s="78"/>
    </row>
    <row r="159" spans="2:3">
      <c r="B159" s="100" t="s">
        <v>123</v>
      </c>
    </row>
    <row r="160" spans="2:3">
      <c r="B160" t="s">
        <v>1533</v>
      </c>
    </row>
    <row r="162" spans="2:4">
      <c r="B162" s="843" t="s">
        <v>1223</v>
      </c>
      <c r="C162" s="328" t="s">
        <v>1059</v>
      </c>
      <c r="D162" s="329" t="s">
        <v>129</v>
      </c>
    </row>
    <row r="163" spans="2:4">
      <c r="B163" s="991" t="s">
        <v>1534</v>
      </c>
      <c r="C163" s="992">
        <v>0.114337774802686</v>
      </c>
      <c r="D163" s="220" t="s">
        <v>1535</v>
      </c>
    </row>
    <row r="164" spans="2:4">
      <c r="B164" s="993" t="s">
        <v>1536</v>
      </c>
      <c r="C164" s="829">
        <v>1.1626043155935691E-3</v>
      </c>
      <c r="D164" s="223" t="s">
        <v>1535</v>
      </c>
    </row>
    <row r="167" spans="2:4">
      <c r="B167" s="843" t="s">
        <v>1537</v>
      </c>
      <c r="C167" s="328" t="s">
        <v>1059</v>
      </c>
      <c r="D167" s="329" t="s">
        <v>129</v>
      </c>
    </row>
    <row r="168" spans="2:4">
      <c r="B168" s="87" t="s">
        <v>1511</v>
      </c>
      <c r="C168" s="88">
        <f t="shared" ref="C168:C173" si="3">C150*10^9*$C$163/10^9</f>
        <v>0.70522082073093062</v>
      </c>
      <c r="D168" s="271" t="s">
        <v>96</v>
      </c>
    </row>
    <row r="169" spans="2:4">
      <c r="B169" s="87" t="s">
        <v>1512</v>
      </c>
      <c r="C169" s="88">
        <f t="shared" si="3"/>
        <v>0.3342053180544986</v>
      </c>
      <c r="D169" s="271" t="s">
        <v>96</v>
      </c>
    </row>
    <row r="170" spans="2:4">
      <c r="B170" s="87" t="s">
        <v>1513</v>
      </c>
      <c r="C170" s="88">
        <f t="shared" si="3"/>
        <v>0.1291913735880047</v>
      </c>
      <c r="D170" s="271" t="s">
        <v>96</v>
      </c>
    </row>
    <row r="171" spans="2:4">
      <c r="B171" s="87" t="s">
        <v>1514</v>
      </c>
      <c r="C171" s="88">
        <f t="shared" si="3"/>
        <v>8.3209136118502766E-2</v>
      </c>
      <c r="D171" s="271" t="s">
        <v>96</v>
      </c>
    </row>
    <row r="172" spans="2:4">
      <c r="B172" s="87" t="s">
        <v>1379</v>
      </c>
      <c r="C172" s="88">
        <f t="shared" si="3"/>
        <v>0.41579137475883443</v>
      </c>
      <c r="D172" s="271" t="s">
        <v>96</v>
      </c>
    </row>
    <row r="173" spans="2:4">
      <c r="B173" s="90" t="s">
        <v>368</v>
      </c>
      <c r="C173" s="88">
        <f t="shared" si="3"/>
        <v>9.9262792855812673E-2</v>
      </c>
      <c r="D173" s="271" t="s">
        <v>96</v>
      </c>
    </row>
    <row r="174" spans="2:4">
      <c r="B174" s="119" t="s">
        <v>119</v>
      </c>
      <c r="C174" s="994">
        <f>SUM(C168:C173)</f>
        <v>1.7668808161065837</v>
      </c>
      <c r="D174" s="121" t="s">
        <v>96</v>
      </c>
    </row>
    <row r="175" spans="2:4">
      <c r="C175" s="253"/>
    </row>
  </sheetData>
  <mergeCells count="19">
    <mergeCell ref="B5:D5"/>
    <mergeCell ref="F5:Q5"/>
    <mergeCell ref="F6:G6"/>
    <mergeCell ref="H6:Q6"/>
    <mergeCell ref="C7:D7"/>
    <mergeCell ref="F7:G8"/>
    <mergeCell ref="H7:Q8"/>
    <mergeCell ref="C8:D8"/>
    <mergeCell ref="C12:D12"/>
    <mergeCell ref="C14:D14"/>
    <mergeCell ref="B16:Q16"/>
    <mergeCell ref="C17:Q17"/>
    <mergeCell ref="C18:Q18"/>
    <mergeCell ref="C23:Q23"/>
    <mergeCell ref="C24:Q24"/>
    <mergeCell ref="C19:Q19"/>
    <mergeCell ref="C20:Q20"/>
    <mergeCell ref="C21:Q21"/>
    <mergeCell ref="C22:Q22"/>
  </mergeCells>
  <conditionalFormatting sqref="C8">
    <cfRule type="containsText" dxfId="361" priority="50" operator="containsText" text="Calcul validé">
      <formula>NOT(ISERROR(SEARCH("Calcul validé",C8)))</formula>
    </cfRule>
  </conditionalFormatting>
  <conditionalFormatting sqref="C8">
    <cfRule type="containsText" dxfId="360" priority="49" operator="containsText" text="Bon ordre de grandeur">
      <formula>NOT(ISERROR(SEARCH("Bon ordre de grandeur",C8)))</formula>
    </cfRule>
  </conditionalFormatting>
  <conditionalFormatting sqref="C8">
    <cfRule type="containsText" dxfId="359" priority="48" operator="containsText" text="Calcul brouillon, ordre de grandeur">
      <formula>NOT(ISERROR(SEARCH("Calcul brouillon, ordre de grandeur",C8)))</formula>
    </cfRule>
  </conditionalFormatting>
  <conditionalFormatting sqref="C8">
    <cfRule type="containsText" dxfId="358" priority="47" operator="containsText" text="Pas ok">
      <formula>NOT(ISERROR(SEARCH("Pas ok",C8)))</formula>
    </cfRule>
  </conditionalFormatting>
  <conditionalFormatting sqref="C8">
    <cfRule type="containsText" dxfId="357" priority="46" operator="containsText" text="Calcul validé">
      <formula>NOT(ISERROR(SEARCH("Calcul validé",C8)))</formula>
    </cfRule>
  </conditionalFormatting>
  <conditionalFormatting sqref="C8">
    <cfRule type="containsText" dxfId="356" priority="45" operator="containsText" text="Calcul validé">
      <formula>NOT(ISERROR(SEARCH("Calcul validé",C8)))</formula>
    </cfRule>
  </conditionalFormatting>
  <conditionalFormatting sqref="C8">
    <cfRule type="containsText" dxfId="355" priority="44" operator="containsText" text="Bon ordre de grandeur">
      <formula>NOT(ISERROR(SEARCH("Bon ordre de grandeur",C8)))</formula>
    </cfRule>
  </conditionalFormatting>
  <conditionalFormatting sqref="C8">
    <cfRule type="containsText" dxfId="354" priority="43" operator="containsText" text="Calcul brouillon, ordre de grandeur">
      <formula>NOT(ISERROR(SEARCH("Calcul brouillon, ordre de grandeur",C8)))</formula>
    </cfRule>
  </conditionalFormatting>
  <conditionalFormatting sqref="C8">
    <cfRule type="containsText" dxfId="353" priority="42" operator="containsText" text="Pas ok">
      <formula>NOT(ISERROR(SEARCH("Pas ok",C8)))</formula>
    </cfRule>
  </conditionalFormatting>
  <conditionalFormatting sqref="C8">
    <cfRule type="containsText" dxfId="352" priority="41" operator="containsText" text="Calcul brouillon, odg">
      <formula>NOT(ISERROR(SEARCH("Calcul brouillon, odg",C8)))</formula>
    </cfRule>
  </conditionalFormatting>
  <conditionalFormatting sqref="C14">
    <cfRule type="containsText" dxfId="351" priority="10" operator="containsText" text="Calcul validé">
      <formula>NOT(ISERROR(SEARCH("Calcul validé",C14)))</formula>
    </cfRule>
  </conditionalFormatting>
  <conditionalFormatting sqref="C14">
    <cfRule type="containsText" dxfId="350" priority="9" operator="containsText" text="Bon ordre de grandeur">
      <formula>NOT(ISERROR(SEARCH("Bon ordre de grandeur",C14)))</formula>
    </cfRule>
  </conditionalFormatting>
  <conditionalFormatting sqref="C14">
    <cfRule type="containsText" dxfId="349" priority="8" operator="containsText" text="Calcul brouillon, ordre de grandeur">
      <formula>NOT(ISERROR(SEARCH("Calcul brouillon, ordre de grandeur",C14)))</formula>
    </cfRule>
  </conditionalFormatting>
  <conditionalFormatting sqref="C14">
    <cfRule type="containsText" dxfId="348" priority="7" operator="containsText" text="Pas ok">
      <formula>NOT(ISERROR(SEARCH("Pas ok",C14)))</formula>
    </cfRule>
  </conditionalFormatting>
  <conditionalFormatting sqref="C14">
    <cfRule type="containsText" dxfId="347" priority="6" operator="containsText" text="Calcul validé">
      <formula>NOT(ISERROR(SEARCH("Calcul validé",C14)))</formula>
    </cfRule>
  </conditionalFormatting>
  <conditionalFormatting sqref="C14">
    <cfRule type="containsText" dxfId="346" priority="5" operator="containsText" text="Calcul validé">
      <formula>NOT(ISERROR(SEARCH("Calcul validé",C14)))</formula>
    </cfRule>
  </conditionalFormatting>
  <conditionalFormatting sqref="C14">
    <cfRule type="containsText" dxfId="345" priority="4" operator="containsText" text="Bon ordre de grandeur">
      <formula>NOT(ISERROR(SEARCH("Bon ordre de grandeur",C14)))</formula>
    </cfRule>
  </conditionalFormatting>
  <conditionalFormatting sqref="C14">
    <cfRule type="containsText" dxfId="344" priority="3" operator="containsText" text="Calcul brouillon, ordre de grandeur">
      <formula>NOT(ISERROR(SEARCH("Calcul brouillon, ordre de grandeur",C14)))</formula>
    </cfRule>
  </conditionalFormatting>
  <conditionalFormatting sqref="C14">
    <cfRule type="containsText" dxfId="343" priority="2" operator="containsText" text="Pas ok">
      <formula>NOT(ISERROR(SEARCH("Pas ok",C14)))</formula>
    </cfRule>
  </conditionalFormatting>
  <conditionalFormatting sqref="C14:D14">
    <cfRule type="containsText" dxfId="342" priority="1" operator="containsText" text="Calcul brouillon, odg">
      <formula>NOT(ISERROR(SEARCH("Calcul brouillon, odg",C14)))</formula>
    </cfRule>
  </conditionalFormatting>
  <pageMargins left="0.7" right="0.7" top="0.75" bottom="0.75" header="0.3" footer="0.3"/>
  <pageSetup paperSize="9" orientation="portrait"/>
  <drawing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46">
    <tabColor rgb="FF92D050"/>
  </sheetPr>
  <dimension ref="A2:U278"/>
  <sheetViews>
    <sheetView zoomScale="70" workbookViewId="0">
      <pane ySplit="2" topLeftCell="A3" activePane="bottomLeft" state="frozen"/>
      <selection activeCell="A21" sqref="A21:XFD21"/>
      <selection pane="bottomLeft"/>
    </sheetView>
  </sheetViews>
  <sheetFormatPr baseColWidth="10" defaultRowHeight="14.4"/>
  <cols>
    <col min="2" max="2" width="43.109375" customWidth="1"/>
    <col min="3" max="3" width="33.44140625" customWidth="1"/>
    <col min="4" max="4" width="43.109375" customWidth="1"/>
    <col min="5" max="5" width="33.44140625" customWidth="1"/>
    <col min="6" max="6" width="17.77734375" customWidth="1"/>
    <col min="7" max="7" width="23.109375" customWidth="1"/>
    <col min="8" max="8" width="18.109375" customWidth="1"/>
    <col min="9" max="9" width="16.44140625" bestFit="1" customWidth="1"/>
    <col min="10" max="10" width="11.44140625" bestFit="1" customWidth="1"/>
    <col min="11" max="11" width="27.44140625" customWidth="1"/>
    <col min="13" max="13" width="26.77734375" customWidth="1"/>
    <col min="14" max="14" width="34.109375" customWidth="1"/>
    <col min="15" max="15" width="32.109375" customWidth="1"/>
  </cols>
  <sheetData>
    <row r="2" spans="2:21" ht="18">
      <c r="B2" s="57" t="s">
        <v>1538</v>
      </c>
    </row>
    <row r="5" spans="2:21">
      <c r="B5" s="1297" t="s">
        <v>90</v>
      </c>
      <c r="C5" s="1298"/>
      <c r="D5" s="1299"/>
      <c r="F5" s="1300" t="s">
        <v>63</v>
      </c>
      <c r="G5" s="1301"/>
      <c r="H5" s="1301"/>
      <c r="I5" s="1301"/>
      <c r="J5" s="1301"/>
      <c r="K5" s="1301"/>
      <c r="L5" s="1301"/>
      <c r="M5" s="1301"/>
      <c r="N5" s="1301"/>
      <c r="O5" s="1301"/>
      <c r="P5" s="1301"/>
      <c r="Q5" s="1302"/>
    </row>
    <row r="6" spans="2:21">
      <c r="B6" s="58" t="s">
        <v>64</v>
      </c>
      <c r="C6" s="265">
        <f>C13</f>
        <v>1.042020053415007</v>
      </c>
      <c r="D6" s="266" t="s">
        <v>65</v>
      </c>
      <c r="F6" s="1303" t="s">
        <v>66</v>
      </c>
      <c r="G6" s="1304"/>
      <c r="H6" s="1305" t="s">
        <v>1538</v>
      </c>
      <c r="I6" s="1306"/>
      <c r="J6" s="1306"/>
      <c r="K6" s="1306"/>
      <c r="L6" s="1306"/>
      <c r="M6" s="1306"/>
      <c r="N6" s="1306"/>
      <c r="O6" s="1306"/>
      <c r="P6" s="1306"/>
      <c r="Q6" s="1307"/>
    </row>
    <row r="7" spans="2:21">
      <c r="B7" s="61" t="s">
        <v>68</v>
      </c>
      <c r="C7" s="1287" t="s">
        <v>70</v>
      </c>
      <c r="D7" s="1288"/>
      <c r="F7" s="1308" t="s">
        <v>69</v>
      </c>
      <c r="G7" s="1309"/>
      <c r="H7" s="1312" t="s">
        <v>1539</v>
      </c>
      <c r="I7" s="1313"/>
      <c r="J7" s="1313"/>
      <c r="K7" s="1313"/>
      <c r="L7" s="1313"/>
      <c r="M7" s="1313"/>
      <c r="N7" s="1313"/>
      <c r="O7" s="1313"/>
      <c r="P7" s="1313"/>
      <c r="Q7" s="1314"/>
    </row>
    <row r="8" spans="2:21">
      <c r="B8" s="63" t="s">
        <v>28</v>
      </c>
      <c r="C8" s="1289" t="s">
        <v>98</v>
      </c>
      <c r="D8" s="1290"/>
      <c r="F8" s="1310"/>
      <c r="G8" s="1311"/>
      <c r="H8" s="1315"/>
      <c r="I8" s="1316"/>
      <c r="J8" s="1316"/>
      <c r="K8" s="1316"/>
      <c r="L8" s="1316"/>
      <c r="M8" s="1316"/>
      <c r="N8" s="1316"/>
      <c r="O8" s="1316"/>
      <c r="P8" s="1316"/>
      <c r="Q8" s="1317"/>
    </row>
    <row r="12" spans="2:21">
      <c r="B12" s="64" t="s">
        <v>93</v>
      </c>
      <c r="C12" s="1287" t="s">
        <v>70</v>
      </c>
      <c r="D12" s="1288"/>
      <c r="E12" s="65"/>
      <c r="F12" s="65"/>
      <c r="G12" s="65"/>
      <c r="H12" s="65"/>
      <c r="I12" s="65"/>
      <c r="J12" s="65"/>
      <c r="K12" s="65"/>
      <c r="L12" s="65"/>
      <c r="M12" s="65"/>
      <c r="N12" s="65"/>
      <c r="O12" s="65"/>
      <c r="P12" s="65"/>
      <c r="Q12" s="66"/>
    </row>
    <row r="13" spans="2:21">
      <c r="B13" s="67" t="s">
        <v>95</v>
      </c>
      <c r="C13" s="666">
        <f>C34</f>
        <v>1.042020053415007</v>
      </c>
      <c r="D13" s="69" t="s">
        <v>96</v>
      </c>
      <c r="E13" s="70"/>
      <c r="F13" s="70"/>
      <c r="G13" s="70"/>
      <c r="H13" s="70"/>
      <c r="I13" s="70"/>
      <c r="J13" s="70"/>
      <c r="K13" s="70"/>
      <c r="L13" s="70"/>
      <c r="M13" s="70"/>
      <c r="N13" s="70"/>
      <c r="O13" s="70"/>
      <c r="P13" s="70"/>
      <c r="Q13" s="71"/>
    </row>
    <row r="14" spans="2:21">
      <c r="B14" s="72" t="s">
        <v>97</v>
      </c>
      <c r="C14" s="1289" t="s">
        <v>98</v>
      </c>
      <c r="D14" s="1290"/>
      <c r="E14" s="70"/>
      <c r="F14" s="70"/>
      <c r="G14" s="70"/>
      <c r="H14" s="70"/>
      <c r="I14" s="70"/>
      <c r="J14" s="70"/>
      <c r="K14" s="70"/>
      <c r="L14" s="70"/>
      <c r="M14" s="70"/>
      <c r="N14" s="70"/>
      <c r="O14" s="70"/>
      <c r="P14" s="70"/>
      <c r="Q14" s="71"/>
      <c r="U14" s="191"/>
    </row>
    <row r="15" spans="2:21">
      <c r="B15" s="73"/>
      <c r="C15" s="74"/>
      <c r="D15" s="74"/>
      <c r="E15" s="74"/>
      <c r="F15" s="74"/>
      <c r="G15" s="74"/>
      <c r="H15" s="74"/>
      <c r="I15" s="74"/>
      <c r="J15" s="74"/>
      <c r="K15" s="74"/>
      <c r="L15" s="74"/>
      <c r="M15" s="74"/>
      <c r="N15" s="74"/>
      <c r="O15" s="74"/>
      <c r="P15" s="74"/>
      <c r="Q15" s="75"/>
    </row>
    <row r="16" spans="2:21">
      <c r="B16" s="1291" t="s">
        <v>71</v>
      </c>
      <c r="C16" s="1292"/>
      <c r="D16" s="1292"/>
      <c r="E16" s="1292"/>
      <c r="F16" s="1292"/>
      <c r="G16" s="1292"/>
      <c r="H16" s="1292"/>
      <c r="I16" s="1292"/>
      <c r="J16" s="1292"/>
      <c r="K16" s="1292"/>
      <c r="L16" s="1292"/>
      <c r="M16" s="1292"/>
      <c r="N16" s="1292"/>
      <c r="O16" s="1292"/>
      <c r="P16" s="1292"/>
      <c r="Q16" s="1293"/>
      <c r="U16" s="191"/>
    </row>
    <row r="17" spans="2:21" ht="130.94999999999999" customHeight="1">
      <c r="B17" s="76" t="s">
        <v>72</v>
      </c>
      <c r="C17" s="1294" t="s">
        <v>1540</v>
      </c>
      <c r="D17" s="1295"/>
      <c r="E17" s="1295"/>
      <c r="F17" s="1295"/>
      <c r="G17" s="1295"/>
      <c r="H17" s="1295"/>
      <c r="I17" s="1295"/>
      <c r="J17" s="1295"/>
      <c r="K17" s="1295"/>
      <c r="L17" s="1295"/>
      <c r="M17" s="1295"/>
      <c r="N17" s="1295"/>
      <c r="O17" s="1295"/>
      <c r="P17" s="1295"/>
      <c r="Q17" s="1296"/>
      <c r="U17" s="191"/>
    </row>
    <row r="18" spans="2:21" ht="228" customHeight="1">
      <c r="B18" s="77" t="s">
        <v>74</v>
      </c>
      <c r="C18" s="1275" t="s">
        <v>1541</v>
      </c>
      <c r="D18" s="1276"/>
      <c r="E18" s="1276"/>
      <c r="F18" s="1276"/>
      <c r="G18" s="1276"/>
      <c r="H18" s="1276"/>
      <c r="I18" s="1276"/>
      <c r="J18" s="1276"/>
      <c r="K18" s="1276"/>
      <c r="L18" s="1276"/>
      <c r="M18" s="1276"/>
      <c r="N18" s="1276"/>
      <c r="O18" s="1276"/>
      <c r="P18" s="1276"/>
      <c r="Q18" s="1277"/>
    </row>
    <row r="19" spans="2:21" ht="55.95" customHeight="1">
      <c r="B19" s="77" t="s">
        <v>76</v>
      </c>
      <c r="C19" s="1439" t="s">
        <v>1542</v>
      </c>
      <c r="D19" s="1440"/>
      <c r="E19" s="1440"/>
      <c r="F19" s="1440"/>
      <c r="G19" s="1440"/>
      <c r="H19" s="1440"/>
      <c r="I19" s="1440"/>
      <c r="J19" s="1440"/>
      <c r="K19" s="1440"/>
      <c r="L19" s="1440"/>
      <c r="M19" s="1440"/>
      <c r="N19" s="1440"/>
      <c r="O19" s="1440"/>
      <c r="P19" s="1440"/>
      <c r="Q19" s="1441"/>
    </row>
    <row r="20" spans="2:21">
      <c r="B20" s="77" t="s">
        <v>78</v>
      </c>
      <c r="C20" s="1275" t="s">
        <v>1543</v>
      </c>
      <c r="D20" s="1276"/>
      <c r="E20" s="1276"/>
      <c r="F20" s="1276"/>
      <c r="G20" s="1276"/>
      <c r="H20" s="1276"/>
      <c r="I20" s="1276"/>
      <c r="J20" s="1276"/>
      <c r="K20" s="1276"/>
      <c r="L20" s="1276"/>
      <c r="M20" s="1276"/>
      <c r="N20" s="1276"/>
      <c r="O20" s="1276"/>
      <c r="P20" s="1276"/>
      <c r="Q20" s="1277"/>
    </row>
    <row r="21" spans="2:21">
      <c r="B21" s="77" t="s">
        <v>82</v>
      </c>
      <c r="C21" s="1275" t="s">
        <v>1544</v>
      </c>
      <c r="D21" s="1276"/>
      <c r="E21" s="1276"/>
      <c r="F21" s="1276"/>
      <c r="G21" s="1276"/>
      <c r="H21" s="1276"/>
      <c r="I21" s="1276"/>
      <c r="J21" s="1276"/>
      <c r="K21" s="1276"/>
      <c r="L21" s="1276"/>
      <c r="M21" s="1276"/>
      <c r="N21" s="1276"/>
      <c r="O21" s="1276"/>
      <c r="P21" s="1276"/>
      <c r="Q21" s="1277"/>
    </row>
    <row r="22" spans="2:21">
      <c r="B22" s="77" t="s">
        <v>84</v>
      </c>
      <c r="C22" s="1275" t="s">
        <v>1545</v>
      </c>
      <c r="D22" s="1276"/>
      <c r="E22" s="1276"/>
      <c r="F22" s="1276"/>
      <c r="G22" s="1276"/>
      <c r="H22" s="1276"/>
      <c r="I22" s="1276"/>
      <c r="J22" s="1276"/>
      <c r="K22" s="1276"/>
      <c r="L22" s="1276"/>
      <c r="M22" s="1276"/>
      <c r="N22" s="1276"/>
      <c r="O22" s="1276"/>
      <c r="P22" s="1276"/>
      <c r="Q22" s="1277"/>
    </row>
    <row r="23" spans="2:21">
      <c r="B23" s="77" t="s">
        <v>86</v>
      </c>
      <c r="C23" s="1275" t="s">
        <v>1546</v>
      </c>
      <c r="D23" s="1276"/>
      <c r="E23" s="1276"/>
      <c r="F23" s="1276"/>
      <c r="G23" s="1276"/>
      <c r="H23" s="1276"/>
      <c r="I23" s="1276"/>
      <c r="J23" s="1276"/>
      <c r="K23" s="1276"/>
      <c r="L23" s="1276"/>
      <c r="M23" s="1276"/>
      <c r="N23" s="1276"/>
      <c r="O23" s="1276"/>
      <c r="P23" s="1276"/>
      <c r="Q23" s="1277"/>
    </row>
    <row r="24" spans="2:21">
      <c r="B24" s="79" t="s">
        <v>88</v>
      </c>
      <c r="C24" s="1279">
        <v>44532</v>
      </c>
      <c r="D24" s="1280"/>
      <c r="E24" s="1280"/>
      <c r="F24" s="1280"/>
      <c r="G24" s="1280"/>
      <c r="H24" s="1280"/>
      <c r="I24" s="1280"/>
      <c r="J24" s="1280"/>
      <c r="K24" s="1280"/>
      <c r="L24" s="1280"/>
      <c r="M24" s="1280"/>
      <c r="N24" s="1280"/>
      <c r="O24" s="1280"/>
      <c r="P24" s="1280"/>
      <c r="Q24" s="1281"/>
    </row>
    <row r="28" spans="2:21">
      <c r="B28" s="98" t="s">
        <v>649</v>
      </c>
    </row>
    <row r="30" spans="2:21">
      <c r="B30" s="995"/>
      <c r="C30" s="446" t="s">
        <v>650</v>
      </c>
    </row>
    <row r="31" spans="2:21">
      <c r="B31" s="513" t="s">
        <v>1547</v>
      </c>
      <c r="C31" s="271">
        <f>C258</f>
        <v>0.2720397736501261</v>
      </c>
    </row>
    <row r="32" spans="2:21">
      <c r="B32" s="513" t="s">
        <v>1548</v>
      </c>
      <c r="C32" s="271">
        <f>C264</f>
        <v>0.31</v>
      </c>
    </row>
    <row r="33" spans="2:5">
      <c r="B33" s="513" t="s">
        <v>1549</v>
      </c>
      <c r="C33" s="271">
        <f>E277</f>
        <v>0.45998027976488076</v>
      </c>
    </row>
    <row r="34" spans="2:5">
      <c r="B34" s="996" t="s">
        <v>1550</v>
      </c>
      <c r="C34" s="121">
        <f>SUM(C31:C33)</f>
        <v>1.042020053415007</v>
      </c>
    </row>
    <row r="42" spans="2:5">
      <c r="B42" s="997"/>
      <c r="C42" s="436" t="s">
        <v>1551</v>
      </c>
      <c r="D42" s="436" t="s">
        <v>1552</v>
      </c>
      <c r="E42" s="446" t="s">
        <v>650</v>
      </c>
    </row>
    <row r="43" spans="2:5">
      <c r="B43" s="998" t="s">
        <v>1553</v>
      </c>
      <c r="C43" s="108">
        <f t="shared" ref="C43:C47" si="0">D246*2931/1791</f>
        <v>59953.825929648228</v>
      </c>
      <c r="D43" s="110">
        <f t="shared" ref="D43:D47" si="1">E246</f>
        <v>2540</v>
      </c>
      <c r="E43" s="271">
        <f t="shared" ref="E43:E47" si="2">G246/10^9</f>
        <v>9.3053001599999977E-2</v>
      </c>
    </row>
    <row r="44" spans="2:5">
      <c r="B44" s="998" t="s">
        <v>1554</v>
      </c>
      <c r="C44" s="108">
        <f t="shared" si="0"/>
        <v>730.2952261306533</v>
      </c>
      <c r="D44" s="110">
        <f t="shared" si="1"/>
        <v>510</v>
      </c>
      <c r="E44" s="271">
        <f t="shared" si="2"/>
        <v>2.275875E-4</v>
      </c>
    </row>
    <row r="45" spans="2:5">
      <c r="B45" s="998" t="s">
        <v>1555</v>
      </c>
      <c r="C45" s="108">
        <f t="shared" si="0"/>
        <v>140196.38655749193</v>
      </c>
      <c r="D45" s="110">
        <f t="shared" si="1"/>
        <v>265</v>
      </c>
      <c r="E45" s="271">
        <f t="shared" si="2"/>
        <v>2.2701913342198579E-2</v>
      </c>
    </row>
    <row r="46" spans="2:5">
      <c r="B46" s="998" t="s">
        <v>1556</v>
      </c>
      <c r="C46" s="108">
        <f t="shared" si="0"/>
        <v>141796.90064597988</v>
      </c>
      <c r="D46" s="110">
        <f t="shared" si="1"/>
        <v>265</v>
      </c>
      <c r="E46" s="271">
        <f t="shared" si="2"/>
        <v>2.2961083589250003E-2</v>
      </c>
    </row>
    <row r="47" spans="2:5">
      <c r="B47" s="999" t="s">
        <v>1557</v>
      </c>
      <c r="C47" s="108">
        <f t="shared" si="0"/>
        <v>343510.64703517588</v>
      </c>
      <c r="D47" s="120">
        <f t="shared" si="1"/>
        <v>130</v>
      </c>
      <c r="E47" s="121">
        <f t="shared" si="2"/>
        <v>2.7287473200000002E-2</v>
      </c>
    </row>
    <row r="74" spans="2:2">
      <c r="B74" s="98" t="s">
        <v>1558</v>
      </c>
    </row>
    <row r="75" spans="2:2">
      <c r="B75" s="152" t="s">
        <v>192</v>
      </c>
    </row>
    <row r="76" spans="2:2">
      <c r="B76" t="s">
        <v>1559</v>
      </c>
    </row>
    <row r="77" spans="2:2">
      <c r="B77" t="s">
        <v>1560</v>
      </c>
    </row>
    <row r="78" spans="2:2">
      <c r="B78" t="s">
        <v>1561</v>
      </c>
    </row>
    <row r="79" spans="2:2">
      <c r="B79" t="s">
        <v>1562</v>
      </c>
    </row>
    <row r="81" spans="2:8">
      <c r="B81" s="100" t="s">
        <v>123</v>
      </c>
    </row>
    <row r="82" spans="2:8">
      <c r="B82" t="s">
        <v>1563</v>
      </c>
    </row>
    <row r="84" spans="2:8">
      <c r="B84" s="1000" t="s">
        <v>1564</v>
      </c>
      <c r="C84" s="1001" t="s">
        <v>1565</v>
      </c>
      <c r="D84" s="1002" t="s">
        <v>1566</v>
      </c>
      <c r="E84" s="1002" t="s">
        <v>1567</v>
      </c>
      <c r="F84" s="1002" t="s">
        <v>1568</v>
      </c>
      <c r="G84" s="1001" t="s">
        <v>1569</v>
      </c>
      <c r="H84" s="1003" t="s">
        <v>1570</v>
      </c>
    </row>
    <row r="85" spans="2:8">
      <c r="B85" s="1004">
        <v>9162141</v>
      </c>
      <c r="C85" s="130" t="s">
        <v>1571</v>
      </c>
      <c r="D85" s="130">
        <v>1</v>
      </c>
      <c r="E85" s="130">
        <v>0.1</v>
      </c>
      <c r="F85" s="130" t="s">
        <v>1554</v>
      </c>
      <c r="G85" s="130" t="s">
        <v>1572</v>
      </c>
      <c r="H85" s="116">
        <v>648</v>
      </c>
    </row>
    <row r="86" spans="2:8">
      <c r="B86" s="1004">
        <v>9194715</v>
      </c>
      <c r="C86" s="130" t="s">
        <v>1573</v>
      </c>
      <c r="D86" s="130">
        <v>1</v>
      </c>
      <c r="E86" s="130">
        <v>0.25</v>
      </c>
      <c r="F86" s="130" t="s">
        <v>1554</v>
      </c>
      <c r="G86" s="130" t="s">
        <v>1572</v>
      </c>
      <c r="H86" s="116">
        <v>50</v>
      </c>
    </row>
    <row r="87" spans="2:8">
      <c r="B87" s="1004">
        <v>9105261</v>
      </c>
      <c r="C87" s="130" t="s">
        <v>1574</v>
      </c>
      <c r="D87" s="130">
        <v>1</v>
      </c>
      <c r="E87" s="130">
        <v>0.1</v>
      </c>
      <c r="F87" s="130" t="s">
        <v>1554</v>
      </c>
      <c r="G87" s="130" t="s">
        <v>1572</v>
      </c>
      <c r="H87" s="116">
        <v>1241</v>
      </c>
    </row>
    <row r="88" spans="2:8">
      <c r="B88" s="1004">
        <v>9154348</v>
      </c>
      <c r="C88" s="130" t="s">
        <v>1575</v>
      </c>
      <c r="D88" s="130">
        <v>1</v>
      </c>
      <c r="E88" s="130">
        <v>0.25</v>
      </c>
      <c r="F88" s="130" t="s">
        <v>1554</v>
      </c>
      <c r="G88" s="130" t="s">
        <v>1572</v>
      </c>
      <c r="H88" s="116">
        <v>56</v>
      </c>
    </row>
    <row r="89" spans="2:8">
      <c r="B89" s="1004">
        <v>9156778</v>
      </c>
      <c r="C89" s="130" t="s">
        <v>1576</v>
      </c>
      <c r="D89" s="130">
        <v>1</v>
      </c>
      <c r="E89" s="130">
        <v>0.1</v>
      </c>
      <c r="F89" s="130" t="s">
        <v>1554</v>
      </c>
      <c r="G89" s="130" t="s">
        <v>1572</v>
      </c>
      <c r="H89" s="116">
        <v>821</v>
      </c>
    </row>
    <row r="90" spans="2:8">
      <c r="B90" s="1004">
        <v>9437342</v>
      </c>
      <c r="C90" s="130" t="s">
        <v>1577</v>
      </c>
      <c r="D90" s="130">
        <v>1</v>
      </c>
      <c r="E90" s="130">
        <v>1.5</v>
      </c>
      <c r="F90" s="130" t="s">
        <v>1557</v>
      </c>
      <c r="G90" s="130" t="s">
        <v>1572</v>
      </c>
      <c r="H90" s="116">
        <v>56113</v>
      </c>
    </row>
    <row r="91" spans="2:8">
      <c r="B91" s="1004">
        <v>9282477</v>
      </c>
      <c r="C91" s="130" t="s">
        <v>1578</v>
      </c>
      <c r="D91" s="130">
        <v>1</v>
      </c>
      <c r="E91" s="130">
        <v>0.25</v>
      </c>
      <c r="F91" s="130" t="s">
        <v>1557</v>
      </c>
      <c r="G91" s="130" t="s">
        <v>1572</v>
      </c>
      <c r="H91" s="116">
        <v>49364</v>
      </c>
    </row>
    <row r="92" spans="2:8">
      <c r="B92" s="1004">
        <v>9237092</v>
      </c>
      <c r="C92" s="130" t="s">
        <v>1579</v>
      </c>
      <c r="D92" s="130">
        <v>1</v>
      </c>
      <c r="E92" s="130">
        <v>0.25</v>
      </c>
      <c r="F92" s="130" t="s">
        <v>1557</v>
      </c>
      <c r="G92" s="130" t="s">
        <v>1572</v>
      </c>
      <c r="H92" s="116">
        <v>157325</v>
      </c>
    </row>
    <row r="93" spans="2:8">
      <c r="B93" s="1004">
        <v>9237086</v>
      </c>
      <c r="C93" s="130" t="s">
        <v>1580</v>
      </c>
      <c r="D93" s="130">
        <v>1</v>
      </c>
      <c r="E93" s="130">
        <v>0.25</v>
      </c>
      <c r="F93" s="130" t="s">
        <v>1557</v>
      </c>
      <c r="G93" s="130" t="s">
        <v>1572</v>
      </c>
      <c r="H93" s="116">
        <v>9011</v>
      </c>
    </row>
    <row r="94" spans="2:8">
      <c r="B94" s="1004">
        <v>5756263</v>
      </c>
      <c r="C94" s="130" t="s">
        <v>1581</v>
      </c>
      <c r="D94" s="130">
        <v>1</v>
      </c>
      <c r="E94" s="130">
        <v>0.24</v>
      </c>
      <c r="F94" s="130" t="s">
        <v>1553</v>
      </c>
      <c r="G94" s="130" t="s">
        <v>1572</v>
      </c>
      <c r="H94" s="116">
        <v>83</v>
      </c>
    </row>
    <row r="95" spans="2:8">
      <c r="B95" s="1004">
        <v>9350204</v>
      </c>
      <c r="C95" s="130" t="s">
        <v>1581</v>
      </c>
      <c r="D95" s="130">
        <v>1</v>
      </c>
      <c r="E95" s="130">
        <v>0.24</v>
      </c>
      <c r="F95" s="130" t="s">
        <v>1553</v>
      </c>
      <c r="G95" s="130" t="s">
        <v>1572</v>
      </c>
      <c r="H95" s="116">
        <v>76634</v>
      </c>
    </row>
    <row r="96" spans="2:8">
      <c r="B96" s="1004">
        <v>9165530</v>
      </c>
      <c r="C96" s="130" t="s">
        <v>1582</v>
      </c>
      <c r="D96" s="130">
        <v>1</v>
      </c>
      <c r="E96" s="130">
        <v>0.24</v>
      </c>
      <c r="F96" s="130" t="s">
        <v>1553</v>
      </c>
      <c r="G96" s="130" t="s">
        <v>1572</v>
      </c>
      <c r="H96" s="116">
        <v>25047</v>
      </c>
    </row>
    <row r="97" spans="2:8">
      <c r="B97" s="1004">
        <v>9234076</v>
      </c>
      <c r="C97" s="130" t="s">
        <v>1583</v>
      </c>
      <c r="D97" s="130">
        <v>44</v>
      </c>
      <c r="E97" s="130">
        <v>15</v>
      </c>
      <c r="F97" s="130" t="s">
        <v>1584</v>
      </c>
      <c r="G97" s="130" t="s">
        <v>1572</v>
      </c>
      <c r="H97" s="116">
        <v>69</v>
      </c>
    </row>
    <row r="98" spans="2:8">
      <c r="B98" s="1004">
        <v>9234082</v>
      </c>
      <c r="C98" s="130" t="s">
        <v>1585</v>
      </c>
      <c r="D98" s="130">
        <v>44</v>
      </c>
      <c r="E98" s="130">
        <v>47</v>
      </c>
      <c r="F98" s="130" t="s">
        <v>1584</v>
      </c>
      <c r="G98" s="130" t="s">
        <v>1572</v>
      </c>
      <c r="H98" s="116">
        <v>1464</v>
      </c>
    </row>
    <row r="99" spans="2:8">
      <c r="B99" s="1004">
        <v>9237666</v>
      </c>
      <c r="C99" s="130" t="s">
        <v>1586</v>
      </c>
      <c r="D99" s="130">
        <v>44</v>
      </c>
      <c r="E99" s="130">
        <v>5</v>
      </c>
      <c r="F99" s="130" t="s">
        <v>1584</v>
      </c>
      <c r="G99" s="130" t="s">
        <v>1572</v>
      </c>
      <c r="H99" s="116">
        <v>32</v>
      </c>
    </row>
    <row r="100" spans="2:8">
      <c r="B100" s="1004">
        <v>9239234</v>
      </c>
      <c r="C100" s="130" t="s">
        <v>1587</v>
      </c>
      <c r="D100" s="130">
        <v>44</v>
      </c>
      <c r="E100" s="130">
        <v>20</v>
      </c>
      <c r="F100" s="130" t="s">
        <v>1584</v>
      </c>
      <c r="G100" s="130" t="s">
        <v>1572</v>
      </c>
      <c r="H100" s="116">
        <v>2</v>
      </c>
    </row>
    <row r="101" spans="2:8">
      <c r="B101" s="1004">
        <v>9239731</v>
      </c>
      <c r="C101" s="130" t="s">
        <v>1588</v>
      </c>
      <c r="D101" s="130">
        <v>44</v>
      </c>
      <c r="E101" s="130">
        <v>50</v>
      </c>
      <c r="F101" s="130" t="s">
        <v>1584</v>
      </c>
      <c r="G101" s="130" t="s">
        <v>1572</v>
      </c>
      <c r="H101" s="116">
        <v>165</v>
      </c>
    </row>
    <row r="102" spans="2:8">
      <c r="B102" s="1004">
        <v>9239263</v>
      </c>
      <c r="C102" s="130" t="s">
        <v>1589</v>
      </c>
      <c r="D102" s="130">
        <v>44</v>
      </c>
      <c r="E102" s="130">
        <v>50</v>
      </c>
      <c r="F102" s="130" t="s">
        <v>1584</v>
      </c>
      <c r="G102" s="130" t="s">
        <v>1572</v>
      </c>
      <c r="H102" s="116">
        <v>1</v>
      </c>
    </row>
    <row r="103" spans="2:8">
      <c r="B103" s="1004">
        <v>9239257</v>
      </c>
      <c r="C103" s="130" t="s">
        <v>1590</v>
      </c>
      <c r="D103" s="130">
        <v>44</v>
      </c>
      <c r="E103" s="130">
        <v>5</v>
      </c>
      <c r="F103" s="130" t="s">
        <v>1584</v>
      </c>
      <c r="G103" s="130" t="s">
        <v>1572</v>
      </c>
      <c r="H103" s="116">
        <v>5</v>
      </c>
    </row>
    <row r="104" spans="2:8">
      <c r="B104" s="1004">
        <v>9237637</v>
      </c>
      <c r="C104" s="130" t="s">
        <v>1591</v>
      </c>
      <c r="D104" s="130">
        <v>44</v>
      </c>
      <c r="E104" s="130">
        <v>47</v>
      </c>
      <c r="F104" s="130" t="s">
        <v>1584</v>
      </c>
      <c r="G104" s="130" t="s">
        <v>1572</v>
      </c>
      <c r="H104" s="116">
        <v>101</v>
      </c>
    </row>
    <row r="105" spans="2:8">
      <c r="B105" s="1004">
        <v>9356141</v>
      </c>
      <c r="C105" s="130" t="s">
        <v>1592</v>
      </c>
      <c r="D105" s="130">
        <v>44</v>
      </c>
      <c r="E105" s="130">
        <v>47</v>
      </c>
      <c r="F105" s="130" t="s">
        <v>1584</v>
      </c>
      <c r="G105" s="130" t="s">
        <v>1572</v>
      </c>
      <c r="H105" s="116">
        <v>22</v>
      </c>
    </row>
    <row r="106" spans="2:8">
      <c r="B106" s="1004">
        <v>9278990</v>
      </c>
      <c r="C106" s="130" t="s">
        <v>1593</v>
      </c>
      <c r="D106" s="130">
        <v>44</v>
      </c>
      <c r="E106" s="130">
        <v>50</v>
      </c>
      <c r="F106" s="130" t="s">
        <v>1584</v>
      </c>
      <c r="G106" s="130" t="s">
        <v>1572</v>
      </c>
      <c r="H106" s="116">
        <v>135</v>
      </c>
    </row>
    <row r="107" spans="2:8">
      <c r="B107" s="1004">
        <v>9237643</v>
      </c>
      <c r="C107" s="130" t="s">
        <v>1594</v>
      </c>
      <c r="D107" s="130">
        <v>44</v>
      </c>
      <c r="E107" s="130">
        <v>5</v>
      </c>
      <c r="F107" s="130" t="s">
        <v>1584</v>
      </c>
      <c r="G107" s="130" t="s">
        <v>1572</v>
      </c>
      <c r="H107" s="116">
        <v>4</v>
      </c>
    </row>
    <row r="108" spans="2:8">
      <c r="B108" s="1004">
        <v>9239292</v>
      </c>
      <c r="C108" s="130" t="s">
        <v>1595</v>
      </c>
      <c r="D108" s="130">
        <v>44</v>
      </c>
      <c r="E108" s="130">
        <v>15</v>
      </c>
      <c r="F108" s="130" t="s">
        <v>1584</v>
      </c>
      <c r="G108" s="130" t="s">
        <v>1572</v>
      </c>
      <c r="H108" s="116">
        <v>26</v>
      </c>
    </row>
    <row r="109" spans="2:8">
      <c r="B109" s="1004">
        <v>9239323</v>
      </c>
      <c r="C109" s="130" t="s">
        <v>1596</v>
      </c>
      <c r="D109" s="130">
        <v>44</v>
      </c>
      <c r="E109" s="130">
        <v>50</v>
      </c>
      <c r="F109" s="130" t="s">
        <v>1584</v>
      </c>
      <c r="G109" s="130" t="s">
        <v>1572</v>
      </c>
      <c r="H109" s="116">
        <v>471</v>
      </c>
    </row>
    <row r="110" spans="2:8">
      <c r="B110" s="1004">
        <v>9239317</v>
      </c>
      <c r="C110" s="130" t="s">
        <v>1597</v>
      </c>
      <c r="D110" s="130">
        <v>44</v>
      </c>
      <c r="E110" s="130">
        <v>5</v>
      </c>
      <c r="F110" s="130" t="s">
        <v>1584</v>
      </c>
      <c r="G110" s="130" t="s">
        <v>1572</v>
      </c>
      <c r="H110" s="116">
        <v>66</v>
      </c>
    </row>
    <row r="111" spans="2:8">
      <c r="B111" s="1004">
        <v>9249913</v>
      </c>
      <c r="C111" s="130" t="s">
        <v>1598</v>
      </c>
      <c r="D111" s="130">
        <v>135</v>
      </c>
      <c r="E111" s="130">
        <v>15</v>
      </c>
      <c r="F111" s="130" t="s">
        <v>1599</v>
      </c>
      <c r="G111" s="130" t="s">
        <v>1572</v>
      </c>
      <c r="H111" s="116">
        <v>47</v>
      </c>
    </row>
    <row r="112" spans="2:8">
      <c r="B112" s="1004">
        <v>9285665</v>
      </c>
      <c r="C112" s="130" t="s">
        <v>1600</v>
      </c>
      <c r="D112" s="130">
        <v>135</v>
      </c>
      <c r="E112" s="130">
        <v>15</v>
      </c>
      <c r="F112" s="130" t="s">
        <v>1599</v>
      </c>
      <c r="G112" s="130" t="s">
        <v>1572</v>
      </c>
      <c r="H112" s="116">
        <v>100</v>
      </c>
    </row>
    <row r="113" spans="2:8">
      <c r="B113" s="1004">
        <v>9239369</v>
      </c>
      <c r="C113" s="130" t="s">
        <v>1601</v>
      </c>
      <c r="D113" s="130">
        <v>135</v>
      </c>
      <c r="E113" s="130">
        <v>5</v>
      </c>
      <c r="F113" s="130" t="s">
        <v>1599</v>
      </c>
      <c r="G113" s="130" t="s">
        <v>1572</v>
      </c>
      <c r="H113" s="116">
        <v>21</v>
      </c>
    </row>
    <row r="114" spans="2:8">
      <c r="B114" s="1004">
        <v>9249936</v>
      </c>
      <c r="C114" s="130" t="s">
        <v>1602</v>
      </c>
      <c r="D114" s="130">
        <v>135</v>
      </c>
      <c r="E114" s="130">
        <v>5</v>
      </c>
      <c r="F114" s="130" t="s">
        <v>1599</v>
      </c>
      <c r="G114" s="130" t="s">
        <v>1572</v>
      </c>
      <c r="H114" s="116">
        <v>159</v>
      </c>
    </row>
    <row r="115" spans="2:8">
      <c r="B115" s="1004">
        <v>9285671</v>
      </c>
      <c r="C115" s="130" t="s">
        <v>1603</v>
      </c>
      <c r="D115" s="130">
        <v>135</v>
      </c>
      <c r="E115" s="130">
        <v>5</v>
      </c>
      <c r="F115" s="130" t="s">
        <v>1599</v>
      </c>
      <c r="G115" s="130" t="s">
        <v>1572</v>
      </c>
      <c r="H115" s="116">
        <v>469</v>
      </c>
    </row>
    <row r="116" spans="2:8">
      <c r="B116" s="1004">
        <v>9237672</v>
      </c>
      <c r="C116" s="130" t="s">
        <v>1604</v>
      </c>
      <c r="D116" s="130">
        <v>135</v>
      </c>
      <c r="E116" s="130">
        <v>15</v>
      </c>
      <c r="F116" s="130" t="s">
        <v>1599</v>
      </c>
      <c r="G116" s="130" t="s">
        <v>1572</v>
      </c>
      <c r="H116" s="116">
        <v>31</v>
      </c>
    </row>
    <row r="117" spans="2:8">
      <c r="B117" s="1004">
        <v>9264918</v>
      </c>
      <c r="C117" s="130" t="s">
        <v>1605</v>
      </c>
      <c r="D117" s="130">
        <v>135</v>
      </c>
      <c r="E117" s="130">
        <v>15</v>
      </c>
      <c r="F117" s="130" t="s">
        <v>1599</v>
      </c>
      <c r="G117" s="130" t="s">
        <v>1572</v>
      </c>
      <c r="H117" s="116">
        <v>141</v>
      </c>
    </row>
    <row r="118" spans="2:8">
      <c r="B118" s="1004">
        <v>9237689</v>
      </c>
      <c r="C118" s="130" t="s">
        <v>1606</v>
      </c>
      <c r="D118" s="130">
        <v>135</v>
      </c>
      <c r="E118" s="130">
        <v>5</v>
      </c>
      <c r="F118" s="130" t="s">
        <v>1599</v>
      </c>
      <c r="G118" s="130" t="s">
        <v>1572</v>
      </c>
      <c r="H118" s="116">
        <v>501</v>
      </c>
    </row>
    <row r="119" spans="2:8">
      <c r="B119" s="1004">
        <v>9264924</v>
      </c>
      <c r="C119" s="130" t="s">
        <v>1607</v>
      </c>
      <c r="D119" s="130">
        <v>135</v>
      </c>
      <c r="E119" s="130">
        <v>5</v>
      </c>
      <c r="F119" s="130" t="s">
        <v>1599</v>
      </c>
      <c r="G119" s="130" t="s">
        <v>1572</v>
      </c>
      <c r="H119" s="116">
        <v>364</v>
      </c>
    </row>
    <row r="120" spans="2:8">
      <c r="B120" s="1004">
        <v>9280136</v>
      </c>
      <c r="C120" s="130" t="s">
        <v>1608</v>
      </c>
      <c r="D120" s="130">
        <v>135</v>
      </c>
      <c r="E120" s="130">
        <v>15</v>
      </c>
      <c r="F120" s="130" t="s">
        <v>1599</v>
      </c>
      <c r="G120" s="130" t="s">
        <v>1572</v>
      </c>
      <c r="H120" s="116">
        <v>1313</v>
      </c>
    </row>
    <row r="121" spans="2:8">
      <c r="B121" s="1004">
        <v>9280165</v>
      </c>
      <c r="C121" s="130" t="s">
        <v>1609</v>
      </c>
      <c r="D121" s="130">
        <v>135</v>
      </c>
      <c r="E121" s="130">
        <v>5</v>
      </c>
      <c r="F121" s="130" t="s">
        <v>1599</v>
      </c>
      <c r="G121" s="130" t="s">
        <v>1572</v>
      </c>
      <c r="H121" s="116">
        <v>104</v>
      </c>
    </row>
    <row r="122" spans="2:8">
      <c r="B122" s="1004">
        <v>9280142</v>
      </c>
      <c r="C122" s="130" t="s">
        <v>1610</v>
      </c>
      <c r="D122" s="130">
        <v>135</v>
      </c>
      <c r="E122" s="130">
        <v>5</v>
      </c>
      <c r="F122" s="130" t="s">
        <v>1599</v>
      </c>
      <c r="G122" s="130" t="s">
        <v>1572</v>
      </c>
      <c r="H122" s="116">
        <v>1460</v>
      </c>
    </row>
    <row r="123" spans="2:8">
      <c r="B123" s="1004">
        <v>9389229</v>
      </c>
      <c r="C123" s="130" t="s">
        <v>1611</v>
      </c>
      <c r="D123" s="130">
        <v>170</v>
      </c>
      <c r="E123" s="130">
        <v>15</v>
      </c>
      <c r="F123" s="130" t="s">
        <v>1599</v>
      </c>
      <c r="G123" s="130" t="s">
        <v>1572</v>
      </c>
      <c r="H123" s="116">
        <v>1697</v>
      </c>
    </row>
    <row r="124" spans="2:8">
      <c r="B124" s="1004">
        <v>9389235</v>
      </c>
      <c r="C124" s="130" t="s">
        <v>1612</v>
      </c>
      <c r="D124" s="130">
        <v>170</v>
      </c>
      <c r="E124" s="130">
        <v>2</v>
      </c>
      <c r="F124" s="130" t="s">
        <v>1599</v>
      </c>
      <c r="G124" s="130" t="s">
        <v>1572</v>
      </c>
      <c r="H124" s="116">
        <v>191</v>
      </c>
    </row>
    <row r="125" spans="2:8">
      <c r="B125" s="1004">
        <v>9389241</v>
      </c>
      <c r="C125" s="130" t="s">
        <v>1613</v>
      </c>
      <c r="D125" s="130">
        <v>170</v>
      </c>
      <c r="E125" s="130">
        <v>5</v>
      </c>
      <c r="F125" s="130" t="s">
        <v>1599</v>
      </c>
      <c r="G125" s="130" t="s">
        <v>1572</v>
      </c>
      <c r="H125" s="116">
        <v>17168</v>
      </c>
    </row>
    <row r="126" spans="2:8">
      <c r="B126" s="1004">
        <v>5645256</v>
      </c>
      <c r="C126" s="130" t="s">
        <v>1614</v>
      </c>
      <c r="D126" s="130">
        <v>170</v>
      </c>
      <c r="E126" s="130">
        <v>15</v>
      </c>
      <c r="F126" s="130" t="s">
        <v>1599</v>
      </c>
      <c r="G126" s="130" t="s">
        <v>1572</v>
      </c>
      <c r="H126" s="116">
        <v>268</v>
      </c>
    </row>
    <row r="127" spans="2:8">
      <c r="B127" s="1004">
        <v>9256474</v>
      </c>
      <c r="C127" s="130" t="s">
        <v>1614</v>
      </c>
      <c r="D127" s="130">
        <v>170</v>
      </c>
      <c r="E127" s="130">
        <v>15</v>
      </c>
      <c r="F127" s="130" t="s">
        <v>1599</v>
      </c>
      <c r="G127" s="130" t="s">
        <v>1572</v>
      </c>
      <c r="H127" s="116">
        <v>3935</v>
      </c>
    </row>
    <row r="128" spans="2:8">
      <c r="B128" s="1004">
        <v>9236626</v>
      </c>
      <c r="C128" s="130" t="s">
        <v>1615</v>
      </c>
      <c r="D128" s="130">
        <v>170</v>
      </c>
      <c r="E128" s="130">
        <v>20</v>
      </c>
      <c r="F128" s="130" t="s">
        <v>1599</v>
      </c>
      <c r="G128" s="130" t="s">
        <v>1572</v>
      </c>
      <c r="H128" s="116">
        <v>1049</v>
      </c>
    </row>
    <row r="129" spans="2:8">
      <c r="B129" s="1004">
        <v>9265763</v>
      </c>
      <c r="C129" s="130" t="s">
        <v>1616</v>
      </c>
      <c r="D129" s="130">
        <v>170</v>
      </c>
      <c r="E129" s="130">
        <v>2</v>
      </c>
      <c r="F129" s="130" t="s">
        <v>1599</v>
      </c>
      <c r="G129" s="130" t="s">
        <v>1572</v>
      </c>
      <c r="H129" s="116">
        <v>122</v>
      </c>
    </row>
    <row r="130" spans="2:8">
      <c r="B130" s="1004">
        <v>5621623</v>
      </c>
      <c r="C130" s="130" t="s">
        <v>1617</v>
      </c>
      <c r="D130" s="130">
        <v>170</v>
      </c>
      <c r="E130" s="130">
        <v>5</v>
      </c>
      <c r="F130" s="130" t="s">
        <v>1599</v>
      </c>
      <c r="G130" s="130" t="s">
        <v>1572</v>
      </c>
      <c r="H130" s="116">
        <v>29</v>
      </c>
    </row>
    <row r="131" spans="2:8">
      <c r="B131" s="1004">
        <v>9236632</v>
      </c>
      <c r="C131" s="130" t="s">
        <v>1617</v>
      </c>
      <c r="D131" s="130">
        <v>170</v>
      </c>
      <c r="E131" s="130">
        <v>5</v>
      </c>
      <c r="F131" s="130" t="s">
        <v>1599</v>
      </c>
      <c r="G131" s="130" t="s">
        <v>1572</v>
      </c>
      <c r="H131" s="116">
        <v>4424</v>
      </c>
    </row>
    <row r="132" spans="2:8">
      <c r="B132" s="1004">
        <v>3964230</v>
      </c>
      <c r="C132" s="130" t="s">
        <v>1618</v>
      </c>
      <c r="D132" s="130">
        <v>170</v>
      </c>
      <c r="E132" s="130">
        <v>5</v>
      </c>
      <c r="F132" s="130" t="s">
        <v>1599</v>
      </c>
      <c r="G132" s="130" t="s">
        <v>1572</v>
      </c>
      <c r="H132" s="116">
        <v>3</v>
      </c>
    </row>
    <row r="133" spans="2:8">
      <c r="B133" s="1004">
        <v>9396413</v>
      </c>
      <c r="C133" s="130" t="s">
        <v>1618</v>
      </c>
      <c r="D133" s="130">
        <v>170</v>
      </c>
      <c r="E133" s="130">
        <v>5</v>
      </c>
      <c r="F133" s="130" t="s">
        <v>1599</v>
      </c>
      <c r="G133" s="130" t="s">
        <v>1572</v>
      </c>
      <c r="H133" s="116">
        <v>14445</v>
      </c>
    </row>
    <row r="134" spans="2:8">
      <c r="B134" s="1004">
        <v>9256480</v>
      </c>
      <c r="C134" s="130" t="s">
        <v>1619</v>
      </c>
      <c r="D134" s="130">
        <v>170</v>
      </c>
      <c r="E134" s="130">
        <v>5</v>
      </c>
      <c r="F134" s="130" t="s">
        <v>1599</v>
      </c>
      <c r="G134" s="130" t="s">
        <v>1572</v>
      </c>
      <c r="H134" s="116">
        <v>6392</v>
      </c>
    </row>
    <row r="135" spans="2:8">
      <c r="B135" s="1004">
        <v>9377692</v>
      </c>
      <c r="C135" s="130" t="s">
        <v>1620</v>
      </c>
      <c r="D135" s="130">
        <v>180</v>
      </c>
      <c r="E135" s="130">
        <v>5</v>
      </c>
      <c r="F135" s="130" t="s">
        <v>1599</v>
      </c>
      <c r="G135" s="130" t="s">
        <v>1572</v>
      </c>
      <c r="H135" s="116">
        <v>1374</v>
      </c>
    </row>
    <row r="136" spans="2:8">
      <c r="B136" s="1004">
        <v>9432008</v>
      </c>
      <c r="C136" s="130" t="s">
        <v>1621</v>
      </c>
      <c r="D136" s="130">
        <v>185</v>
      </c>
      <c r="E136" s="130">
        <v>15</v>
      </c>
      <c r="F136" s="130" t="s">
        <v>1599</v>
      </c>
      <c r="G136" s="130" t="s">
        <v>1572</v>
      </c>
      <c r="H136" s="116">
        <v>65</v>
      </c>
    </row>
    <row r="137" spans="2:8">
      <c r="B137" s="1005">
        <v>9432014</v>
      </c>
      <c r="C137" s="353" t="s">
        <v>1622</v>
      </c>
      <c r="D137" s="353">
        <v>185</v>
      </c>
      <c r="E137" s="353">
        <v>5</v>
      </c>
      <c r="F137" s="353" t="s">
        <v>1599</v>
      </c>
      <c r="G137" s="353" t="s">
        <v>1572</v>
      </c>
      <c r="H137" s="171">
        <v>362</v>
      </c>
    </row>
    <row r="140" spans="2:8">
      <c r="B140" t="s">
        <v>1623</v>
      </c>
    </row>
    <row r="142" spans="2:8" ht="28.8">
      <c r="B142" s="112" t="s">
        <v>108</v>
      </c>
      <c r="C142" s="217" t="s">
        <v>1624</v>
      </c>
    </row>
    <row r="143" spans="2:8">
      <c r="B143" s="428" t="s">
        <v>1625</v>
      </c>
      <c r="C143" s="271">
        <v>1500</v>
      </c>
    </row>
    <row r="144" spans="2:8">
      <c r="B144" s="428" t="s">
        <v>1626</v>
      </c>
      <c r="C144" s="271">
        <v>1500</v>
      </c>
    </row>
    <row r="145" spans="1:13">
      <c r="B145" s="428" t="s">
        <v>1627</v>
      </c>
      <c r="C145" s="1006" t="s">
        <v>1628</v>
      </c>
    </row>
    <row r="146" spans="1:13">
      <c r="B146" s="1007" t="s">
        <v>1629</v>
      </c>
      <c r="C146" s="121">
        <v>1.847</v>
      </c>
    </row>
    <row r="150" spans="1:13">
      <c r="A150" s="402"/>
      <c r="C150" s="78"/>
    </row>
    <row r="151" spans="1:13">
      <c r="B151" s="1008" t="s">
        <v>1630</v>
      </c>
    </row>
    <row r="153" spans="1:13">
      <c r="B153" s="1009" t="s">
        <v>1631</v>
      </c>
      <c r="C153" s="256">
        <v>5</v>
      </c>
      <c r="D153" s="256" t="s">
        <v>1632</v>
      </c>
      <c r="E153" s="256" t="s">
        <v>1633</v>
      </c>
      <c r="F153" s="256">
        <v>2</v>
      </c>
      <c r="G153" s="256" t="s">
        <v>1634</v>
      </c>
      <c r="H153" s="256" t="s">
        <v>1635</v>
      </c>
      <c r="I153" s="256" t="s">
        <v>1636</v>
      </c>
      <c r="J153" s="256">
        <v>3.75</v>
      </c>
      <c r="K153" s="256" t="s">
        <v>1637</v>
      </c>
      <c r="L153" s="320"/>
    </row>
    <row r="154" spans="1:13">
      <c r="B154" s="428" t="s">
        <v>1631</v>
      </c>
      <c r="C154" s="110">
        <v>15</v>
      </c>
      <c r="D154" s="110" t="s">
        <v>1632</v>
      </c>
      <c r="E154" s="110" t="s">
        <v>1633</v>
      </c>
      <c r="F154" s="110">
        <v>5.4</v>
      </c>
      <c r="G154" s="110" t="s">
        <v>1634</v>
      </c>
      <c r="H154" s="110" t="s">
        <v>1635</v>
      </c>
      <c r="I154" s="110" t="s">
        <v>1636</v>
      </c>
      <c r="J154" s="110">
        <v>10</v>
      </c>
      <c r="K154" s="110" t="s">
        <v>1637</v>
      </c>
      <c r="L154" s="271"/>
    </row>
    <row r="155" spans="1:13">
      <c r="B155" s="428" t="s">
        <v>1631</v>
      </c>
      <c r="C155" s="110">
        <v>47</v>
      </c>
      <c r="D155" s="110" t="s">
        <v>1632</v>
      </c>
      <c r="E155" s="110" t="s">
        <v>1633</v>
      </c>
      <c r="F155" s="110">
        <v>18.8</v>
      </c>
      <c r="G155" s="110" t="s">
        <v>1634</v>
      </c>
      <c r="H155" s="110" t="s">
        <v>1635</v>
      </c>
      <c r="I155" s="110" t="s">
        <v>1636</v>
      </c>
      <c r="J155" s="110">
        <v>35</v>
      </c>
      <c r="K155" s="110" t="s">
        <v>1637</v>
      </c>
      <c r="L155" s="271"/>
    </row>
    <row r="156" spans="1:13">
      <c r="B156" s="428" t="s">
        <v>1631</v>
      </c>
      <c r="C156" s="110">
        <v>50</v>
      </c>
      <c r="D156" s="110" t="s">
        <v>1632</v>
      </c>
      <c r="E156" s="110" t="s">
        <v>1633</v>
      </c>
      <c r="F156" s="110">
        <f>C156*F155/C155</f>
        <v>20</v>
      </c>
      <c r="G156" s="110" t="s">
        <v>1634</v>
      </c>
      <c r="H156" s="110" t="s">
        <v>1635</v>
      </c>
      <c r="I156" s="110" t="s">
        <v>1636</v>
      </c>
      <c r="J156" s="110">
        <f>C156*J155/C155</f>
        <v>37.234042553191486</v>
      </c>
      <c r="K156" s="110" t="s">
        <v>1637</v>
      </c>
      <c r="L156" s="271" t="s">
        <v>1638</v>
      </c>
      <c r="M156" s="1010" t="s">
        <v>1639</v>
      </c>
    </row>
    <row r="157" spans="1:13">
      <c r="B157" s="428" t="s">
        <v>1631</v>
      </c>
      <c r="C157" s="110">
        <v>20</v>
      </c>
      <c r="D157" s="110" t="s">
        <v>1632</v>
      </c>
      <c r="E157" s="110" t="s">
        <v>1633</v>
      </c>
      <c r="F157" s="110">
        <f>C157*F154/C154</f>
        <v>7.2</v>
      </c>
      <c r="G157" s="110" t="s">
        <v>1634</v>
      </c>
      <c r="H157" s="110" t="s">
        <v>1635</v>
      </c>
      <c r="I157" s="110" t="s">
        <v>1636</v>
      </c>
      <c r="J157" s="110">
        <f>C157*J154/C154</f>
        <v>13.333333333333334</v>
      </c>
      <c r="K157" s="110" t="s">
        <v>1637</v>
      </c>
      <c r="L157" s="271" t="s">
        <v>1638</v>
      </c>
      <c r="M157" s="1010" t="s">
        <v>1639</v>
      </c>
    </row>
    <row r="158" spans="1:13">
      <c r="B158" s="347" t="s">
        <v>1631</v>
      </c>
      <c r="C158" s="120">
        <v>2</v>
      </c>
      <c r="D158" s="120" t="s">
        <v>1632</v>
      </c>
      <c r="E158" s="120" t="s">
        <v>1633</v>
      </c>
      <c r="F158" s="120">
        <f>C158*F153/C153</f>
        <v>0.8</v>
      </c>
      <c r="G158" s="120" t="s">
        <v>1634</v>
      </c>
      <c r="H158" s="120" t="s">
        <v>1635</v>
      </c>
      <c r="I158" s="120" t="s">
        <v>1636</v>
      </c>
      <c r="J158" s="120">
        <f>C158*J153/C153</f>
        <v>1.5</v>
      </c>
      <c r="K158" s="120" t="s">
        <v>1637</v>
      </c>
      <c r="L158" s="121" t="s">
        <v>1638</v>
      </c>
      <c r="M158" s="1010" t="s">
        <v>1639</v>
      </c>
    </row>
    <row r="160" spans="1:13">
      <c r="B160" s="98" t="s">
        <v>1640</v>
      </c>
    </row>
    <row r="162" spans="2:11">
      <c r="B162" s="1009" t="s">
        <v>1641</v>
      </c>
      <c r="C162" s="256">
        <v>2</v>
      </c>
      <c r="D162" s="256" t="s">
        <v>1632</v>
      </c>
      <c r="E162" s="256" t="s">
        <v>1633</v>
      </c>
      <c r="F162" s="256">
        <v>0.59</v>
      </c>
      <c r="G162" s="256" t="s">
        <v>1634</v>
      </c>
      <c r="H162" s="256" t="s">
        <v>1635</v>
      </c>
      <c r="I162" s="256" t="s">
        <v>1636</v>
      </c>
      <c r="J162" s="256">
        <v>0.94299999999999995</v>
      </c>
      <c r="K162" s="320" t="s">
        <v>1637</v>
      </c>
    </row>
    <row r="163" spans="2:11">
      <c r="B163" s="428" t="s">
        <v>1641</v>
      </c>
      <c r="C163" s="110">
        <v>5</v>
      </c>
      <c r="D163" s="110" t="s">
        <v>1632</v>
      </c>
      <c r="E163" s="110" t="s">
        <v>1633</v>
      </c>
      <c r="F163" s="110">
        <v>1.47</v>
      </c>
      <c r="G163" s="110" t="s">
        <v>1634</v>
      </c>
      <c r="H163" s="110" t="s">
        <v>1635</v>
      </c>
      <c r="I163" s="110" t="s">
        <v>1636</v>
      </c>
      <c r="J163" s="110">
        <v>2.3580000000000001</v>
      </c>
      <c r="K163" s="271" t="s">
        <v>1637</v>
      </c>
    </row>
    <row r="164" spans="2:11">
      <c r="B164" s="428" t="s">
        <v>1641</v>
      </c>
      <c r="C164" s="110">
        <v>11</v>
      </c>
      <c r="D164" s="110" t="s">
        <v>1632</v>
      </c>
      <c r="E164" s="110" t="s">
        <v>1633</v>
      </c>
      <c r="F164" s="110">
        <v>3.23</v>
      </c>
      <c r="G164" s="110" t="s">
        <v>1634</v>
      </c>
      <c r="H164" s="110" t="s">
        <v>1635</v>
      </c>
      <c r="I164" s="110" t="s">
        <v>1636</v>
      </c>
      <c r="J164" s="110">
        <v>5.1870000000000003</v>
      </c>
      <c r="K164" s="271" t="s">
        <v>1637</v>
      </c>
    </row>
    <row r="165" spans="2:11">
      <c r="B165" s="428" t="s">
        <v>1641</v>
      </c>
      <c r="C165" s="110">
        <v>15</v>
      </c>
      <c r="D165" s="110" t="s">
        <v>1632</v>
      </c>
      <c r="E165" s="110" t="s">
        <v>1633</v>
      </c>
      <c r="F165" s="110">
        <v>4.4000000000000004</v>
      </c>
      <c r="G165" s="110" t="s">
        <v>1634</v>
      </c>
      <c r="H165" s="110" t="s">
        <v>1635</v>
      </c>
      <c r="I165" s="110" t="s">
        <v>1636</v>
      </c>
      <c r="J165" s="110">
        <v>7.0730000000000004</v>
      </c>
      <c r="K165" s="271" t="s">
        <v>1637</v>
      </c>
    </row>
    <row r="166" spans="2:11">
      <c r="B166" s="347" t="s">
        <v>1641</v>
      </c>
      <c r="C166" s="120">
        <v>20</v>
      </c>
      <c r="D166" s="120" t="s">
        <v>1632</v>
      </c>
      <c r="E166" s="120" t="s">
        <v>1633</v>
      </c>
      <c r="F166" s="120">
        <v>5.9</v>
      </c>
      <c r="G166" s="120" t="s">
        <v>1634</v>
      </c>
      <c r="H166" s="120" t="s">
        <v>1635</v>
      </c>
      <c r="I166" s="120" t="s">
        <v>1636</v>
      </c>
      <c r="J166" s="120">
        <v>9.4309999999999992</v>
      </c>
      <c r="K166" s="121" t="s">
        <v>1637</v>
      </c>
    </row>
    <row r="168" spans="2:11">
      <c r="B168" s="1009" t="s">
        <v>1642</v>
      </c>
      <c r="C168" s="256">
        <v>5</v>
      </c>
      <c r="D168" s="256" t="s">
        <v>1632</v>
      </c>
      <c r="E168" s="256" t="s">
        <v>1633</v>
      </c>
      <c r="F168" s="256">
        <v>1.1000000000000001</v>
      </c>
      <c r="G168" s="256" t="s">
        <v>1634</v>
      </c>
      <c r="H168" s="256" t="s">
        <v>1635</v>
      </c>
      <c r="I168" s="256" t="s">
        <v>1636</v>
      </c>
      <c r="J168" s="256" t="s">
        <v>687</v>
      </c>
      <c r="K168" s="320" t="s">
        <v>1637</v>
      </c>
    </row>
    <row r="169" spans="2:11">
      <c r="B169" s="347" t="s">
        <v>1642</v>
      </c>
      <c r="C169" s="120">
        <v>15</v>
      </c>
      <c r="D169" s="120" t="s">
        <v>1632</v>
      </c>
      <c r="E169" s="120" t="s">
        <v>1633</v>
      </c>
      <c r="F169" s="120">
        <v>3.2</v>
      </c>
      <c r="G169" s="120" t="s">
        <v>1634</v>
      </c>
      <c r="H169" s="120" t="s">
        <v>1635</v>
      </c>
      <c r="I169" s="120" t="s">
        <v>1636</v>
      </c>
      <c r="J169" s="120" t="s">
        <v>687</v>
      </c>
      <c r="K169" s="121" t="s">
        <v>1637</v>
      </c>
    </row>
    <row r="170" spans="2:11">
      <c r="B170" s="99"/>
    </row>
    <row r="171" spans="2:11">
      <c r="B171" s="1009" t="s">
        <v>1643</v>
      </c>
      <c r="C171" s="256">
        <v>2</v>
      </c>
      <c r="D171" s="256" t="s">
        <v>1632</v>
      </c>
      <c r="E171" s="256" t="s">
        <v>1633</v>
      </c>
      <c r="F171" s="256">
        <v>0.6</v>
      </c>
      <c r="G171" s="256" t="s">
        <v>1634</v>
      </c>
      <c r="H171" s="256" t="s">
        <v>1635</v>
      </c>
      <c r="I171" s="256" t="s">
        <v>1636</v>
      </c>
      <c r="J171" s="256" t="s">
        <v>687</v>
      </c>
      <c r="K171" s="320" t="s">
        <v>1637</v>
      </c>
    </row>
    <row r="172" spans="2:11">
      <c r="B172" s="428" t="s">
        <v>1643</v>
      </c>
      <c r="C172" s="110">
        <v>5</v>
      </c>
      <c r="D172" s="110" t="s">
        <v>1632</v>
      </c>
      <c r="E172" s="110" t="s">
        <v>1633</v>
      </c>
      <c r="F172" s="110">
        <v>1.5</v>
      </c>
      <c r="G172" s="110" t="s">
        <v>1634</v>
      </c>
      <c r="H172" s="110" t="s">
        <v>1635</v>
      </c>
      <c r="I172" s="110" t="s">
        <v>1636</v>
      </c>
      <c r="J172" s="110" t="s">
        <v>687</v>
      </c>
      <c r="K172" s="271" t="s">
        <v>1637</v>
      </c>
    </row>
    <row r="173" spans="2:11">
      <c r="B173" s="347" t="s">
        <v>1643</v>
      </c>
      <c r="C173" s="120">
        <v>15</v>
      </c>
      <c r="D173" s="120" t="s">
        <v>1632</v>
      </c>
      <c r="E173" s="120" t="s">
        <v>1633</v>
      </c>
      <c r="F173" s="120">
        <v>4.5</v>
      </c>
      <c r="G173" s="120" t="s">
        <v>1634</v>
      </c>
      <c r="H173" s="120" t="s">
        <v>1635</v>
      </c>
      <c r="I173" s="120" t="s">
        <v>1636</v>
      </c>
      <c r="J173" s="120" t="s">
        <v>687</v>
      </c>
      <c r="K173" s="121" t="s">
        <v>1637</v>
      </c>
    </row>
    <row r="174" spans="2:11">
      <c r="B174" s="99"/>
    </row>
    <row r="175" spans="2:11">
      <c r="B175" s="1009" t="s">
        <v>1644</v>
      </c>
      <c r="C175" s="256">
        <v>2</v>
      </c>
      <c r="D175" s="256" t="s">
        <v>1632</v>
      </c>
      <c r="E175" s="256" t="s">
        <v>1633</v>
      </c>
      <c r="F175" s="256">
        <v>0.6</v>
      </c>
      <c r="G175" s="256" t="s">
        <v>1634</v>
      </c>
      <c r="H175" s="256" t="s">
        <v>1635</v>
      </c>
      <c r="I175" s="256" t="s">
        <v>1636</v>
      </c>
      <c r="J175" s="256" t="s">
        <v>687</v>
      </c>
      <c r="K175" s="320" t="s">
        <v>1637</v>
      </c>
    </row>
    <row r="176" spans="2:11">
      <c r="B176" s="428" t="s">
        <v>1644</v>
      </c>
      <c r="C176" s="110">
        <v>5</v>
      </c>
      <c r="D176" s="110" t="s">
        <v>1632</v>
      </c>
      <c r="E176" s="110" t="s">
        <v>1633</v>
      </c>
      <c r="F176" s="110">
        <v>1.5</v>
      </c>
      <c r="G176" s="110" t="s">
        <v>1634</v>
      </c>
      <c r="H176" s="110" t="s">
        <v>1635</v>
      </c>
      <c r="I176" s="110" t="s">
        <v>1636</v>
      </c>
      <c r="J176" s="110" t="s">
        <v>687</v>
      </c>
      <c r="K176" s="271" t="s">
        <v>1637</v>
      </c>
    </row>
    <row r="177" spans="2:11">
      <c r="B177" s="428" t="s">
        <v>1644</v>
      </c>
      <c r="C177" s="110">
        <v>10</v>
      </c>
      <c r="D177" s="110" t="s">
        <v>1632</v>
      </c>
      <c r="E177" s="110" t="s">
        <v>1633</v>
      </c>
      <c r="F177" s="110">
        <v>3</v>
      </c>
      <c r="G177" s="110" t="s">
        <v>1634</v>
      </c>
      <c r="H177" s="110" t="s">
        <v>1635</v>
      </c>
      <c r="I177" s="110" t="s">
        <v>1636</v>
      </c>
      <c r="J177" s="110" t="s">
        <v>687</v>
      </c>
      <c r="K177" s="271" t="s">
        <v>1637</v>
      </c>
    </row>
    <row r="178" spans="2:11">
      <c r="B178" s="428" t="s">
        <v>1644</v>
      </c>
      <c r="C178" s="110">
        <v>15</v>
      </c>
      <c r="D178" s="110" t="s">
        <v>1632</v>
      </c>
      <c r="E178" s="110" t="s">
        <v>1633</v>
      </c>
      <c r="F178" s="110">
        <v>4.5</v>
      </c>
      <c r="G178" s="110" t="s">
        <v>1634</v>
      </c>
      <c r="H178" s="110" t="s">
        <v>1635</v>
      </c>
      <c r="I178" s="110" t="s">
        <v>1636</v>
      </c>
      <c r="J178" s="110" t="s">
        <v>687</v>
      </c>
      <c r="K178" s="271" t="s">
        <v>1637</v>
      </c>
    </row>
    <row r="179" spans="2:11">
      <c r="B179" s="347" t="s">
        <v>1644</v>
      </c>
      <c r="C179" s="120">
        <v>50</v>
      </c>
      <c r="D179" s="120" t="s">
        <v>1632</v>
      </c>
      <c r="E179" s="120" t="s">
        <v>1633</v>
      </c>
      <c r="F179" s="120">
        <v>15</v>
      </c>
      <c r="G179" s="120" t="s">
        <v>1634</v>
      </c>
      <c r="H179" s="120" t="s">
        <v>1635</v>
      </c>
      <c r="I179" s="120" t="s">
        <v>1636</v>
      </c>
      <c r="J179" s="120" t="s">
        <v>687</v>
      </c>
      <c r="K179" s="121" t="s">
        <v>1637</v>
      </c>
    </row>
    <row r="181" spans="2:11">
      <c r="B181" s="100" t="s">
        <v>123</v>
      </c>
    </row>
    <row r="183" spans="2:11">
      <c r="B183" t="s">
        <v>1645</v>
      </c>
    </row>
    <row r="186" spans="2:11">
      <c r="B186" s="1011" t="s">
        <v>1646</v>
      </c>
      <c r="C186" s="1012" t="s">
        <v>1647</v>
      </c>
      <c r="D186" s="1012" t="s">
        <v>1551</v>
      </c>
      <c r="E186" s="1012" t="s">
        <v>1551</v>
      </c>
      <c r="F186" s="1012" t="s">
        <v>1551</v>
      </c>
      <c r="G186" s="1013" t="s">
        <v>1551</v>
      </c>
    </row>
    <row r="187" spans="2:11">
      <c r="B187" s="1014" t="s">
        <v>1553</v>
      </c>
      <c r="C187" s="99">
        <f>E94*H94+E95*H95+E96*H96</f>
        <v>24423.359999999997</v>
      </c>
      <c r="D187">
        <f>C143*C187/1000</f>
        <v>36635.039999999994</v>
      </c>
      <c r="E187">
        <v>2540</v>
      </c>
      <c r="G187" s="1015">
        <f t="shared" ref="G187:G189" si="3">D187*E187</f>
        <v>93053001.599999979</v>
      </c>
    </row>
    <row r="188" spans="2:11">
      <c r="B188" s="1014" t="s">
        <v>1554</v>
      </c>
      <c r="C188" s="99">
        <f>E85*H85+E86*H86+E87*H87+E88*H88+E89*H89</f>
        <v>297.5</v>
      </c>
      <c r="D188">
        <f>C188*C144/1000</f>
        <v>446.25</v>
      </c>
      <c r="E188">
        <v>510</v>
      </c>
      <c r="G188" s="1015">
        <f t="shared" si="3"/>
        <v>227587.5</v>
      </c>
    </row>
    <row r="189" spans="2:11">
      <c r="B189" s="1016" t="s">
        <v>1557</v>
      </c>
      <c r="C189" s="1017">
        <f>E90*H90+E91*H91+E92*H92+E93*H93</f>
        <v>138094.5</v>
      </c>
      <c r="D189" s="1018">
        <f>C189*1.52</f>
        <v>209903.64</v>
      </c>
      <c r="E189" s="1018">
        <v>130</v>
      </c>
      <c r="F189" s="1018"/>
      <c r="G189" s="267">
        <f t="shared" si="3"/>
        <v>27287473.200000003</v>
      </c>
    </row>
    <row r="190" spans="2:11">
      <c r="B190" s="859"/>
      <c r="C190" s="859"/>
      <c r="D190" s="859"/>
      <c r="E190" s="859"/>
      <c r="F190" s="1019" t="s">
        <v>1648</v>
      </c>
      <c r="G190" s="1020">
        <f>SUM(G187:G189)</f>
        <v>120568062.29999998</v>
      </c>
    </row>
    <row r="193" spans="2:14">
      <c r="B193" s="100" t="s">
        <v>123</v>
      </c>
    </row>
    <row r="194" spans="2:14">
      <c r="B194" t="s">
        <v>1649</v>
      </c>
    </row>
    <row r="197" spans="2:14" ht="43.2">
      <c r="B197" s="1021" t="s">
        <v>1564</v>
      </c>
      <c r="C197" s="1022" t="s">
        <v>1565</v>
      </c>
      <c r="D197" s="1023" t="s">
        <v>1566</v>
      </c>
      <c r="E197" s="1023" t="s">
        <v>1567</v>
      </c>
      <c r="F197" s="1023" t="s">
        <v>1650</v>
      </c>
      <c r="G197" s="1023" t="s">
        <v>1651</v>
      </c>
      <c r="H197" s="1022" t="s">
        <v>1570</v>
      </c>
      <c r="I197" s="1023" t="s">
        <v>1652</v>
      </c>
      <c r="J197" s="1023" t="s">
        <v>1653</v>
      </c>
      <c r="K197" s="1023" t="s">
        <v>1654</v>
      </c>
      <c r="L197" s="1023" t="s">
        <v>1552</v>
      </c>
      <c r="M197" s="1024" t="s">
        <v>1655</v>
      </c>
      <c r="N197" s="1025" t="s">
        <v>1656</v>
      </c>
    </row>
    <row r="198" spans="2:14">
      <c r="B198" s="1004">
        <v>9234076</v>
      </c>
      <c r="C198" s="130" t="s">
        <v>1583</v>
      </c>
      <c r="D198" s="130">
        <v>44</v>
      </c>
      <c r="E198" s="130">
        <v>15</v>
      </c>
      <c r="F198" s="110">
        <f>$F$154</f>
        <v>5.4</v>
      </c>
      <c r="G198" s="110">
        <f t="shared" ref="G198:G199" si="4">J154</f>
        <v>10</v>
      </c>
      <c r="H198" s="130">
        <v>69</v>
      </c>
      <c r="I198" s="110">
        <f t="shared" ref="I198:I238" si="5">H198*F198</f>
        <v>372.6</v>
      </c>
      <c r="J198" s="110">
        <f t="shared" ref="J198:J238" si="6">H198*G198</f>
        <v>690</v>
      </c>
      <c r="K198" s="110">
        <f t="shared" ref="K198:K211" si="7">F198*$C$146*H198</f>
        <v>688.19220000000007</v>
      </c>
      <c r="L198" s="110">
        <v>265</v>
      </c>
      <c r="M198" s="271">
        <f t="shared" ref="M198:M238" si="8">J198*L198</f>
        <v>182850</v>
      </c>
    </row>
    <row r="199" spans="2:14">
      <c r="B199" s="1004">
        <v>9234082</v>
      </c>
      <c r="C199" s="130" t="s">
        <v>1585</v>
      </c>
      <c r="D199" s="130">
        <v>44</v>
      </c>
      <c r="E199" s="130">
        <v>47</v>
      </c>
      <c r="F199" s="110">
        <f>$F$155</f>
        <v>18.8</v>
      </c>
      <c r="G199" s="110">
        <f t="shared" si="4"/>
        <v>35</v>
      </c>
      <c r="H199" s="130">
        <v>1464</v>
      </c>
      <c r="I199" s="110">
        <f t="shared" si="5"/>
        <v>27523.200000000001</v>
      </c>
      <c r="J199" s="110">
        <f t="shared" si="6"/>
        <v>51240</v>
      </c>
      <c r="K199" s="110">
        <f t="shared" si="7"/>
        <v>50835.350399999996</v>
      </c>
      <c r="L199" s="110">
        <v>265</v>
      </c>
      <c r="M199" s="271">
        <f t="shared" si="8"/>
        <v>13578600</v>
      </c>
    </row>
    <row r="200" spans="2:14">
      <c r="B200" s="1004">
        <v>9237666</v>
      </c>
      <c r="C200" s="130" t="s">
        <v>1586</v>
      </c>
      <c r="D200" s="130">
        <v>44</v>
      </c>
      <c r="E200" s="130">
        <v>5</v>
      </c>
      <c r="F200" s="110">
        <f>$F$153</f>
        <v>2</v>
      </c>
      <c r="G200" s="110">
        <f>J153</f>
        <v>3.75</v>
      </c>
      <c r="H200" s="130">
        <v>32</v>
      </c>
      <c r="I200" s="110">
        <f t="shared" si="5"/>
        <v>64</v>
      </c>
      <c r="J200" s="110">
        <f t="shared" si="6"/>
        <v>120</v>
      </c>
      <c r="K200" s="110">
        <f t="shared" si="7"/>
        <v>118.208</v>
      </c>
      <c r="L200" s="110">
        <v>265</v>
      </c>
      <c r="M200" s="271">
        <f t="shared" si="8"/>
        <v>31800</v>
      </c>
    </row>
    <row r="201" spans="2:14">
      <c r="B201" s="1004">
        <v>9239234</v>
      </c>
      <c r="C201" s="130" t="s">
        <v>1587</v>
      </c>
      <c r="D201" s="130">
        <v>44</v>
      </c>
      <c r="E201" s="130">
        <v>20</v>
      </c>
      <c r="F201" s="110">
        <f>$F$157</f>
        <v>7.2</v>
      </c>
      <c r="G201" s="110">
        <f>J157</f>
        <v>13.333333333333334</v>
      </c>
      <c r="H201" s="130">
        <v>2</v>
      </c>
      <c r="I201" s="110">
        <f t="shared" si="5"/>
        <v>14.4</v>
      </c>
      <c r="J201" s="110">
        <f t="shared" si="6"/>
        <v>26.666666666666668</v>
      </c>
      <c r="K201" s="110">
        <f t="shared" si="7"/>
        <v>26.596800000000002</v>
      </c>
      <c r="L201" s="110">
        <v>265</v>
      </c>
      <c r="M201" s="271">
        <f t="shared" si="8"/>
        <v>7066.666666666667</v>
      </c>
    </row>
    <row r="202" spans="2:14">
      <c r="B202" s="1004">
        <v>9239731</v>
      </c>
      <c r="C202" s="130" t="s">
        <v>1588</v>
      </c>
      <c r="D202" s="130">
        <v>44</v>
      </c>
      <c r="E202" s="130">
        <v>50</v>
      </c>
      <c r="F202" s="110">
        <f t="shared" ref="F202:F203" si="9">$F$156</f>
        <v>20</v>
      </c>
      <c r="G202" s="110">
        <f>J156</f>
        <v>37.234042553191486</v>
      </c>
      <c r="H202" s="130">
        <v>165</v>
      </c>
      <c r="I202" s="110">
        <f t="shared" si="5"/>
        <v>3300</v>
      </c>
      <c r="J202" s="110">
        <f t="shared" si="6"/>
        <v>6143.6170212765956</v>
      </c>
      <c r="K202" s="110">
        <f t="shared" si="7"/>
        <v>6095.0999999999995</v>
      </c>
      <c r="L202" s="110">
        <v>265</v>
      </c>
      <c r="M202" s="271">
        <f t="shared" si="8"/>
        <v>1628058.5106382978</v>
      </c>
    </row>
    <row r="203" spans="2:14">
      <c r="B203" s="1004">
        <v>9239263</v>
      </c>
      <c r="C203" s="130" t="s">
        <v>1589</v>
      </c>
      <c r="D203" s="130">
        <v>44</v>
      </c>
      <c r="E203" s="130">
        <v>50</v>
      </c>
      <c r="F203" s="110">
        <f t="shared" si="9"/>
        <v>20</v>
      </c>
      <c r="G203" s="110">
        <f>J156</f>
        <v>37.234042553191486</v>
      </c>
      <c r="H203" s="130">
        <v>1</v>
      </c>
      <c r="I203" s="110">
        <f t="shared" si="5"/>
        <v>20</v>
      </c>
      <c r="J203" s="110">
        <f t="shared" si="6"/>
        <v>37.234042553191486</v>
      </c>
      <c r="K203" s="110">
        <f t="shared" si="7"/>
        <v>36.94</v>
      </c>
      <c r="L203" s="110">
        <v>265</v>
      </c>
      <c r="M203" s="271">
        <f t="shared" si="8"/>
        <v>9867.021276595744</v>
      </c>
    </row>
    <row r="204" spans="2:14">
      <c r="B204" s="1004">
        <v>9239257</v>
      </c>
      <c r="C204" s="130" t="s">
        <v>1590</v>
      </c>
      <c r="D204" s="130">
        <v>44</v>
      </c>
      <c r="E204" s="130">
        <v>5</v>
      </c>
      <c r="F204" s="110">
        <f>$F$153</f>
        <v>2</v>
      </c>
      <c r="G204" s="110">
        <f>J153</f>
        <v>3.75</v>
      </c>
      <c r="H204" s="130">
        <v>5</v>
      </c>
      <c r="I204" s="110">
        <f t="shared" si="5"/>
        <v>10</v>
      </c>
      <c r="J204" s="110">
        <f t="shared" si="6"/>
        <v>18.75</v>
      </c>
      <c r="K204" s="110">
        <f t="shared" si="7"/>
        <v>18.47</v>
      </c>
      <c r="L204" s="110">
        <v>265</v>
      </c>
      <c r="M204" s="271">
        <f t="shared" si="8"/>
        <v>4968.75</v>
      </c>
    </row>
    <row r="205" spans="2:14">
      <c r="B205" s="1004">
        <v>9237637</v>
      </c>
      <c r="C205" s="130" t="s">
        <v>1591</v>
      </c>
      <c r="D205" s="130">
        <v>44</v>
      </c>
      <c r="E205" s="130">
        <v>47</v>
      </c>
      <c r="F205" s="110">
        <f t="shared" ref="F205:F206" si="10">$F$155</f>
        <v>18.8</v>
      </c>
      <c r="G205" s="110">
        <f>J155</f>
        <v>35</v>
      </c>
      <c r="H205" s="130">
        <v>101</v>
      </c>
      <c r="I205" s="110">
        <f t="shared" si="5"/>
        <v>1898.8000000000002</v>
      </c>
      <c r="J205" s="110">
        <f t="shared" si="6"/>
        <v>3535</v>
      </c>
      <c r="K205" s="110">
        <f t="shared" si="7"/>
        <v>3507.0835999999999</v>
      </c>
      <c r="L205" s="110">
        <v>265</v>
      </c>
      <c r="M205" s="271">
        <f t="shared" si="8"/>
        <v>936775</v>
      </c>
    </row>
    <row r="206" spans="2:14">
      <c r="B206" s="1004">
        <v>9356141</v>
      </c>
      <c r="C206" s="130" t="s">
        <v>1592</v>
      </c>
      <c r="D206" s="130">
        <v>44</v>
      </c>
      <c r="E206" s="130">
        <v>47</v>
      </c>
      <c r="F206" s="110">
        <f t="shared" si="10"/>
        <v>18.8</v>
      </c>
      <c r="G206" s="110">
        <f t="shared" ref="G206:G207" si="11">J155</f>
        <v>35</v>
      </c>
      <c r="H206" s="130">
        <v>22</v>
      </c>
      <c r="I206" s="110">
        <f t="shared" si="5"/>
        <v>413.6</v>
      </c>
      <c r="J206" s="110">
        <f t="shared" si="6"/>
        <v>770</v>
      </c>
      <c r="K206" s="110">
        <f t="shared" si="7"/>
        <v>763.91919999999993</v>
      </c>
      <c r="L206" s="110">
        <v>265</v>
      </c>
      <c r="M206" s="271">
        <f t="shared" si="8"/>
        <v>204050</v>
      </c>
    </row>
    <row r="207" spans="2:14">
      <c r="B207" s="1004">
        <v>9278990</v>
      </c>
      <c r="C207" s="130" t="s">
        <v>1593</v>
      </c>
      <c r="D207" s="130">
        <v>44</v>
      </c>
      <c r="E207" s="130">
        <v>50</v>
      </c>
      <c r="F207" s="110">
        <f>$F$156</f>
        <v>20</v>
      </c>
      <c r="G207" s="110">
        <f t="shared" si="11"/>
        <v>37.234042553191486</v>
      </c>
      <c r="H207" s="130">
        <v>135</v>
      </c>
      <c r="I207" s="110">
        <f t="shared" si="5"/>
        <v>2700</v>
      </c>
      <c r="J207" s="110">
        <f t="shared" si="6"/>
        <v>5026.5957446808507</v>
      </c>
      <c r="K207" s="110">
        <f t="shared" si="7"/>
        <v>4986.8999999999996</v>
      </c>
      <c r="L207" s="110">
        <v>265</v>
      </c>
      <c r="M207" s="271">
        <f t="shared" si="8"/>
        <v>1332047.8723404254</v>
      </c>
    </row>
    <row r="208" spans="2:14">
      <c r="B208" s="1004">
        <v>9237643</v>
      </c>
      <c r="C208" s="130" t="s">
        <v>1594</v>
      </c>
      <c r="D208" s="130">
        <v>44</v>
      </c>
      <c r="E208" s="130">
        <v>5</v>
      </c>
      <c r="F208" s="110">
        <f>$F$153</f>
        <v>2</v>
      </c>
      <c r="G208" s="110">
        <f t="shared" ref="G208:G209" si="12">J153</f>
        <v>3.75</v>
      </c>
      <c r="H208" s="130">
        <v>4</v>
      </c>
      <c r="I208" s="110">
        <f t="shared" si="5"/>
        <v>8</v>
      </c>
      <c r="J208" s="110">
        <f t="shared" si="6"/>
        <v>15</v>
      </c>
      <c r="K208" s="110">
        <f t="shared" si="7"/>
        <v>14.776</v>
      </c>
      <c r="L208" s="110">
        <v>265</v>
      </c>
      <c r="M208" s="271">
        <f t="shared" si="8"/>
        <v>3975</v>
      </c>
    </row>
    <row r="209" spans="2:13">
      <c r="B209" s="1004">
        <v>9239292</v>
      </c>
      <c r="C209" s="130" t="s">
        <v>1595</v>
      </c>
      <c r="D209" s="130">
        <v>44</v>
      </c>
      <c r="E209" s="130">
        <v>15</v>
      </c>
      <c r="F209" s="110">
        <f>$F$154</f>
        <v>5.4</v>
      </c>
      <c r="G209" s="110">
        <f t="shared" si="12"/>
        <v>10</v>
      </c>
      <c r="H209" s="130">
        <v>26</v>
      </c>
      <c r="I209" s="110">
        <f t="shared" si="5"/>
        <v>140.4</v>
      </c>
      <c r="J209" s="110">
        <f t="shared" si="6"/>
        <v>260</v>
      </c>
      <c r="K209" s="110">
        <f t="shared" si="7"/>
        <v>259.31880000000001</v>
      </c>
      <c r="L209" s="110">
        <v>265</v>
      </c>
      <c r="M209" s="271">
        <f t="shared" si="8"/>
        <v>68900</v>
      </c>
    </row>
    <row r="210" spans="2:13">
      <c r="B210" s="1004">
        <v>9239323</v>
      </c>
      <c r="C210" s="130" t="s">
        <v>1596</v>
      </c>
      <c r="D210" s="130">
        <v>44</v>
      </c>
      <c r="E210" s="130">
        <v>50</v>
      </c>
      <c r="F210" s="110">
        <f>$F$156</f>
        <v>20</v>
      </c>
      <c r="G210" s="110">
        <f>J156</f>
        <v>37.234042553191486</v>
      </c>
      <c r="H210" s="130">
        <v>471</v>
      </c>
      <c r="I210" s="110">
        <f t="shared" si="5"/>
        <v>9420</v>
      </c>
      <c r="J210" s="110">
        <f t="shared" si="6"/>
        <v>17537.234042553191</v>
      </c>
      <c r="K210" s="110">
        <f t="shared" si="7"/>
        <v>17398.739999999998</v>
      </c>
      <c r="L210" s="110">
        <v>265</v>
      </c>
      <c r="M210" s="271">
        <f t="shared" si="8"/>
        <v>4647367.021276596</v>
      </c>
    </row>
    <row r="211" spans="2:13">
      <c r="B211" s="1004">
        <v>9239317</v>
      </c>
      <c r="C211" s="130" t="s">
        <v>1597</v>
      </c>
      <c r="D211" s="130">
        <v>44</v>
      </c>
      <c r="E211" s="130">
        <v>5</v>
      </c>
      <c r="F211" s="110">
        <f>$F$153</f>
        <v>2</v>
      </c>
      <c r="G211" s="110">
        <f>J153</f>
        <v>3.75</v>
      </c>
      <c r="H211" s="130">
        <v>66</v>
      </c>
      <c r="I211" s="110">
        <f t="shared" si="5"/>
        <v>132</v>
      </c>
      <c r="J211" s="110">
        <f t="shared" si="6"/>
        <v>247.5</v>
      </c>
      <c r="K211" s="110">
        <f t="shared" si="7"/>
        <v>243.804</v>
      </c>
      <c r="L211" s="110">
        <v>265</v>
      </c>
      <c r="M211" s="271">
        <f t="shared" si="8"/>
        <v>65587.5</v>
      </c>
    </row>
    <row r="212" spans="2:13">
      <c r="B212" s="1004">
        <v>9249913</v>
      </c>
      <c r="C212" s="130" t="s">
        <v>1598</v>
      </c>
      <c r="D212" s="130">
        <v>135</v>
      </c>
      <c r="E212" s="130">
        <v>15</v>
      </c>
      <c r="F212" s="110">
        <f>F169</f>
        <v>3.2</v>
      </c>
      <c r="G212" s="110">
        <f t="shared" ref="G212:G223" si="13">F212*$C$146/2</f>
        <v>2.9552</v>
      </c>
      <c r="H212" s="130">
        <v>47</v>
      </c>
      <c r="I212" s="110">
        <f t="shared" si="5"/>
        <v>150.4</v>
      </c>
      <c r="J212" s="110">
        <f t="shared" si="6"/>
        <v>138.89439999999999</v>
      </c>
      <c r="K212" s="110"/>
      <c r="L212" s="110">
        <v>265</v>
      </c>
      <c r="M212" s="271">
        <f t="shared" si="8"/>
        <v>36807.015999999996</v>
      </c>
    </row>
    <row r="213" spans="2:13">
      <c r="B213" s="1004">
        <v>9285665</v>
      </c>
      <c r="C213" s="130" t="s">
        <v>1600</v>
      </c>
      <c r="D213" s="130">
        <v>135</v>
      </c>
      <c r="E213" s="130">
        <v>15</v>
      </c>
      <c r="F213" s="110">
        <f>$F$169</f>
        <v>3.2</v>
      </c>
      <c r="G213" s="110">
        <f t="shared" si="13"/>
        <v>2.9552</v>
      </c>
      <c r="H213" s="130">
        <v>100</v>
      </c>
      <c r="I213" s="110">
        <f t="shared" si="5"/>
        <v>320</v>
      </c>
      <c r="J213" s="110">
        <f t="shared" si="6"/>
        <v>295.52</v>
      </c>
      <c r="K213" s="110"/>
      <c r="L213" s="110">
        <v>265</v>
      </c>
      <c r="M213" s="271">
        <f t="shared" si="8"/>
        <v>78312.799999999988</v>
      </c>
    </row>
    <row r="214" spans="2:13">
      <c r="B214" s="1004">
        <v>9239369</v>
      </c>
      <c r="C214" s="130" t="s">
        <v>1601</v>
      </c>
      <c r="D214" s="130">
        <v>135</v>
      </c>
      <c r="E214" s="130">
        <v>5</v>
      </c>
      <c r="F214" s="110">
        <f t="shared" ref="F214:F216" si="14">$F$168</f>
        <v>1.1000000000000001</v>
      </c>
      <c r="G214" s="110">
        <f t="shared" si="13"/>
        <v>1.0158500000000001</v>
      </c>
      <c r="H214" s="130">
        <v>21</v>
      </c>
      <c r="I214" s="110">
        <f t="shared" si="5"/>
        <v>23.1</v>
      </c>
      <c r="J214" s="110">
        <f t="shared" si="6"/>
        <v>21.332850000000004</v>
      </c>
      <c r="K214" s="110"/>
      <c r="L214" s="110">
        <v>265</v>
      </c>
      <c r="M214" s="271">
        <f t="shared" si="8"/>
        <v>5653.2052500000009</v>
      </c>
    </row>
    <row r="215" spans="2:13">
      <c r="B215" s="1004">
        <v>9249936</v>
      </c>
      <c r="C215" s="130" t="s">
        <v>1602</v>
      </c>
      <c r="D215" s="130">
        <v>135</v>
      </c>
      <c r="E215" s="130">
        <v>5</v>
      </c>
      <c r="F215" s="110">
        <f t="shared" si="14"/>
        <v>1.1000000000000001</v>
      </c>
      <c r="G215" s="110">
        <f t="shared" si="13"/>
        <v>1.0158500000000001</v>
      </c>
      <c r="H215" s="130">
        <v>159</v>
      </c>
      <c r="I215" s="110">
        <f t="shared" si="5"/>
        <v>174.9</v>
      </c>
      <c r="J215" s="110">
        <f t="shared" si="6"/>
        <v>161.52015000000003</v>
      </c>
      <c r="K215" s="110"/>
      <c r="L215" s="110">
        <v>265</v>
      </c>
      <c r="M215" s="271">
        <f t="shared" si="8"/>
        <v>42802.839750000006</v>
      </c>
    </row>
    <row r="216" spans="2:13">
      <c r="B216" s="1004">
        <v>9285671</v>
      </c>
      <c r="C216" s="130" t="s">
        <v>1603</v>
      </c>
      <c r="D216" s="130">
        <v>135</v>
      </c>
      <c r="E216" s="130">
        <v>5</v>
      </c>
      <c r="F216" s="110">
        <f t="shared" si="14"/>
        <v>1.1000000000000001</v>
      </c>
      <c r="G216" s="110">
        <f t="shared" si="13"/>
        <v>1.0158500000000001</v>
      </c>
      <c r="H216" s="130">
        <v>469</v>
      </c>
      <c r="I216" s="110">
        <f t="shared" si="5"/>
        <v>515.90000000000009</v>
      </c>
      <c r="J216" s="110">
        <f t="shared" si="6"/>
        <v>476.43365000000006</v>
      </c>
      <c r="K216" s="110"/>
      <c r="L216" s="110">
        <v>265</v>
      </c>
      <c r="M216" s="271">
        <f t="shared" si="8"/>
        <v>126254.91725000001</v>
      </c>
    </row>
    <row r="217" spans="2:13">
      <c r="B217" s="1004">
        <v>9237672</v>
      </c>
      <c r="C217" s="130" t="s">
        <v>1604</v>
      </c>
      <c r="D217" s="130">
        <v>135</v>
      </c>
      <c r="E217" s="130">
        <v>15</v>
      </c>
      <c r="F217" s="110">
        <f t="shared" ref="F217:F218" si="15">$F$169</f>
        <v>3.2</v>
      </c>
      <c r="G217" s="110">
        <f t="shared" si="13"/>
        <v>2.9552</v>
      </c>
      <c r="H217" s="130">
        <v>31</v>
      </c>
      <c r="I217" s="110">
        <f t="shared" si="5"/>
        <v>99.2</v>
      </c>
      <c r="J217" s="110">
        <f t="shared" si="6"/>
        <v>91.611199999999997</v>
      </c>
      <c r="K217" s="110"/>
      <c r="L217" s="110">
        <v>265</v>
      </c>
      <c r="M217" s="271">
        <f t="shared" si="8"/>
        <v>24276.968000000001</v>
      </c>
    </row>
    <row r="218" spans="2:13">
      <c r="B218" s="1004">
        <v>9264918</v>
      </c>
      <c r="C218" s="130" t="s">
        <v>1605</v>
      </c>
      <c r="D218" s="130">
        <v>135</v>
      </c>
      <c r="E218" s="130">
        <v>15</v>
      </c>
      <c r="F218" s="110">
        <f t="shared" si="15"/>
        <v>3.2</v>
      </c>
      <c r="G218" s="110">
        <f t="shared" si="13"/>
        <v>2.9552</v>
      </c>
      <c r="H218" s="130">
        <v>141</v>
      </c>
      <c r="I218" s="110">
        <f t="shared" si="5"/>
        <v>451.20000000000005</v>
      </c>
      <c r="J218" s="110">
        <f t="shared" si="6"/>
        <v>416.6832</v>
      </c>
      <c r="K218" s="110"/>
      <c r="L218" s="110">
        <v>265</v>
      </c>
      <c r="M218" s="271">
        <f t="shared" si="8"/>
        <v>110421.048</v>
      </c>
    </row>
    <row r="219" spans="2:13">
      <c r="B219" s="1004">
        <v>9237689</v>
      </c>
      <c r="C219" s="130" t="s">
        <v>1606</v>
      </c>
      <c r="D219" s="130">
        <v>135</v>
      </c>
      <c r="E219" s="130">
        <v>5</v>
      </c>
      <c r="F219" s="110">
        <f t="shared" ref="F219:F220" si="16">$F$168</f>
        <v>1.1000000000000001</v>
      </c>
      <c r="G219" s="110">
        <f t="shared" si="13"/>
        <v>1.0158500000000001</v>
      </c>
      <c r="H219" s="130">
        <v>501</v>
      </c>
      <c r="I219" s="110">
        <f t="shared" si="5"/>
        <v>551.1</v>
      </c>
      <c r="J219" s="110">
        <f t="shared" si="6"/>
        <v>508.94085000000007</v>
      </c>
      <c r="K219" s="110"/>
      <c r="L219" s="110">
        <v>265</v>
      </c>
      <c r="M219" s="271">
        <f t="shared" si="8"/>
        <v>134869.32525000002</v>
      </c>
    </row>
    <row r="220" spans="2:13">
      <c r="B220" s="1004">
        <v>9264924</v>
      </c>
      <c r="C220" s="130" t="s">
        <v>1607</v>
      </c>
      <c r="D220" s="130">
        <v>135</v>
      </c>
      <c r="E220" s="130">
        <v>5</v>
      </c>
      <c r="F220" s="110">
        <f t="shared" si="16"/>
        <v>1.1000000000000001</v>
      </c>
      <c r="G220" s="110">
        <f t="shared" si="13"/>
        <v>1.0158500000000001</v>
      </c>
      <c r="H220" s="130">
        <v>364</v>
      </c>
      <c r="I220" s="110">
        <f t="shared" si="5"/>
        <v>400.40000000000003</v>
      </c>
      <c r="J220" s="110">
        <f t="shared" si="6"/>
        <v>369.76940000000008</v>
      </c>
      <c r="K220" s="110"/>
      <c r="L220" s="110">
        <v>265</v>
      </c>
      <c r="M220" s="271">
        <f t="shared" si="8"/>
        <v>97988.891000000018</v>
      </c>
    </row>
    <row r="221" spans="2:13">
      <c r="B221" s="1004">
        <v>9280136</v>
      </c>
      <c r="C221" s="130" t="s">
        <v>1608</v>
      </c>
      <c r="D221" s="130">
        <v>135</v>
      </c>
      <c r="E221" s="130">
        <v>15</v>
      </c>
      <c r="F221" s="110">
        <f>$F$169</f>
        <v>3.2</v>
      </c>
      <c r="G221" s="110">
        <f t="shared" si="13"/>
        <v>2.9552</v>
      </c>
      <c r="H221" s="130">
        <v>1313</v>
      </c>
      <c r="I221" s="110">
        <f t="shared" si="5"/>
        <v>4201.6000000000004</v>
      </c>
      <c r="J221" s="110">
        <f t="shared" si="6"/>
        <v>3880.1776</v>
      </c>
      <c r="K221" s="110"/>
      <c r="L221" s="110">
        <v>265</v>
      </c>
      <c r="M221" s="271">
        <f t="shared" si="8"/>
        <v>1028247.064</v>
      </c>
    </row>
    <row r="222" spans="2:13">
      <c r="B222" s="1004">
        <v>9280165</v>
      </c>
      <c r="C222" s="130" t="s">
        <v>1609</v>
      </c>
      <c r="D222" s="130">
        <v>135</v>
      </c>
      <c r="E222" s="130">
        <v>5</v>
      </c>
      <c r="F222" s="110">
        <f t="shared" ref="F222:F223" si="17">$F$168</f>
        <v>1.1000000000000001</v>
      </c>
      <c r="G222" s="110">
        <f t="shared" si="13"/>
        <v>1.0158500000000001</v>
      </c>
      <c r="H222" s="130">
        <v>104</v>
      </c>
      <c r="I222" s="110">
        <f t="shared" si="5"/>
        <v>114.4</v>
      </c>
      <c r="J222" s="110">
        <f t="shared" si="6"/>
        <v>105.64840000000001</v>
      </c>
      <c r="K222" s="110"/>
      <c r="L222" s="110">
        <v>265</v>
      </c>
      <c r="M222" s="271">
        <f t="shared" si="8"/>
        <v>27996.826000000001</v>
      </c>
    </row>
    <row r="223" spans="2:13">
      <c r="B223" s="1004">
        <v>9280142</v>
      </c>
      <c r="C223" s="130" t="s">
        <v>1610</v>
      </c>
      <c r="D223" s="130">
        <v>135</v>
      </c>
      <c r="E223" s="130">
        <v>5</v>
      </c>
      <c r="F223" s="110">
        <f t="shared" si="17"/>
        <v>1.1000000000000001</v>
      </c>
      <c r="G223" s="110">
        <f t="shared" si="13"/>
        <v>1.0158500000000001</v>
      </c>
      <c r="H223" s="130">
        <v>1460</v>
      </c>
      <c r="I223" s="110">
        <f t="shared" si="5"/>
        <v>1606.0000000000002</v>
      </c>
      <c r="J223" s="110">
        <f t="shared" si="6"/>
        <v>1483.1410000000003</v>
      </c>
      <c r="K223" s="110"/>
      <c r="L223" s="110">
        <v>265</v>
      </c>
      <c r="M223" s="271">
        <f t="shared" si="8"/>
        <v>393032.36500000011</v>
      </c>
    </row>
    <row r="224" spans="2:13">
      <c r="B224" s="1004">
        <v>9389229</v>
      </c>
      <c r="C224" s="130" t="s">
        <v>1611</v>
      </c>
      <c r="D224" s="130">
        <v>170</v>
      </c>
      <c r="E224" s="130">
        <v>15</v>
      </c>
      <c r="F224" s="110">
        <f>$F$165</f>
        <v>4.4000000000000004</v>
      </c>
      <c r="G224" s="110">
        <f>$J$165/2</f>
        <v>3.5365000000000002</v>
      </c>
      <c r="H224" s="130">
        <v>1697</v>
      </c>
      <c r="I224" s="110">
        <f t="shared" si="5"/>
        <v>7466.8</v>
      </c>
      <c r="J224" s="110">
        <f t="shared" si="6"/>
        <v>6001.4405000000006</v>
      </c>
      <c r="K224" s="110"/>
      <c r="L224" s="110">
        <v>265</v>
      </c>
      <c r="M224" s="271">
        <f t="shared" si="8"/>
        <v>1590381.7325000002</v>
      </c>
    </row>
    <row r="225" spans="2:13">
      <c r="B225" s="1004">
        <v>9389235</v>
      </c>
      <c r="C225" s="130" t="s">
        <v>1612</v>
      </c>
      <c r="D225" s="130">
        <v>170</v>
      </c>
      <c r="E225" s="130">
        <v>2</v>
      </c>
      <c r="F225" s="110">
        <f>$F$162</f>
        <v>0.59</v>
      </c>
      <c r="G225" s="110">
        <f>$J$162/2</f>
        <v>0.47149999999999997</v>
      </c>
      <c r="H225" s="130">
        <v>191</v>
      </c>
      <c r="I225" s="110">
        <f t="shared" si="5"/>
        <v>112.69</v>
      </c>
      <c r="J225" s="110">
        <f t="shared" si="6"/>
        <v>90.0565</v>
      </c>
      <c r="K225" s="110"/>
      <c r="L225" s="110">
        <v>265</v>
      </c>
      <c r="M225" s="271">
        <f t="shared" si="8"/>
        <v>23864.9725</v>
      </c>
    </row>
    <row r="226" spans="2:13">
      <c r="B226" s="1004">
        <v>9389241</v>
      </c>
      <c r="C226" s="130" t="s">
        <v>1613</v>
      </c>
      <c r="D226" s="130">
        <v>170</v>
      </c>
      <c r="E226" s="130">
        <v>5</v>
      </c>
      <c r="F226" s="110">
        <f>$F$163</f>
        <v>1.47</v>
      </c>
      <c r="G226" s="110">
        <f>$J$163/2</f>
        <v>1.179</v>
      </c>
      <c r="H226" s="130">
        <v>17168</v>
      </c>
      <c r="I226" s="110">
        <f t="shared" si="5"/>
        <v>25236.959999999999</v>
      </c>
      <c r="J226" s="110">
        <f t="shared" si="6"/>
        <v>20241.072</v>
      </c>
      <c r="K226" s="110"/>
      <c r="L226" s="110">
        <v>265</v>
      </c>
      <c r="M226" s="271">
        <f t="shared" si="8"/>
        <v>5363884.08</v>
      </c>
    </row>
    <row r="227" spans="2:13">
      <c r="B227" s="1004">
        <v>5645256</v>
      </c>
      <c r="C227" s="130" t="s">
        <v>1614</v>
      </c>
      <c r="D227" s="130">
        <v>170</v>
      </c>
      <c r="E227" s="130">
        <v>15</v>
      </c>
      <c r="F227" s="110">
        <f t="shared" ref="F227:F228" si="18">$F$165</f>
        <v>4.4000000000000004</v>
      </c>
      <c r="G227" s="110">
        <f t="shared" ref="G227:G228" si="19">$J$165/2</f>
        <v>3.5365000000000002</v>
      </c>
      <c r="H227" s="130">
        <v>268</v>
      </c>
      <c r="I227" s="110">
        <f t="shared" si="5"/>
        <v>1179.2</v>
      </c>
      <c r="J227" s="110">
        <f t="shared" si="6"/>
        <v>947.78200000000004</v>
      </c>
      <c r="K227" s="110"/>
      <c r="L227" s="110">
        <v>265</v>
      </c>
      <c r="M227" s="271">
        <f t="shared" si="8"/>
        <v>251162.23</v>
      </c>
    </row>
    <row r="228" spans="2:13">
      <c r="B228" s="1004">
        <v>9256474</v>
      </c>
      <c r="C228" s="130" t="s">
        <v>1614</v>
      </c>
      <c r="D228" s="130">
        <v>170</v>
      </c>
      <c r="E228" s="130">
        <v>15</v>
      </c>
      <c r="F228" s="110">
        <f t="shared" si="18"/>
        <v>4.4000000000000004</v>
      </c>
      <c r="G228" s="110">
        <f t="shared" si="19"/>
        <v>3.5365000000000002</v>
      </c>
      <c r="H228" s="130">
        <v>3935</v>
      </c>
      <c r="I228" s="110">
        <f t="shared" si="5"/>
        <v>17314</v>
      </c>
      <c r="J228" s="110">
        <f t="shared" si="6"/>
        <v>13916.127500000001</v>
      </c>
      <c r="K228" s="110"/>
      <c r="L228" s="110">
        <v>265</v>
      </c>
      <c r="M228" s="271">
        <f t="shared" si="8"/>
        <v>3687773.7875000001</v>
      </c>
    </row>
    <row r="229" spans="2:13">
      <c r="B229" s="1004">
        <v>9236626</v>
      </c>
      <c r="C229" s="130" t="s">
        <v>1615</v>
      </c>
      <c r="D229" s="130">
        <v>170</v>
      </c>
      <c r="E229" s="130">
        <v>20</v>
      </c>
      <c r="F229" s="110">
        <f>F166</f>
        <v>5.9</v>
      </c>
      <c r="G229" s="110">
        <f>J166/2</f>
        <v>4.7154999999999996</v>
      </c>
      <c r="H229" s="130">
        <v>1049</v>
      </c>
      <c r="I229" s="110">
        <f t="shared" si="5"/>
        <v>6189.1</v>
      </c>
      <c r="J229" s="110">
        <f t="shared" si="6"/>
        <v>4946.5594999999994</v>
      </c>
      <c r="K229" s="110"/>
      <c r="L229" s="110">
        <v>265</v>
      </c>
      <c r="M229" s="271">
        <f t="shared" si="8"/>
        <v>1310838.2674999998</v>
      </c>
    </row>
    <row r="230" spans="2:13">
      <c r="B230" s="1004">
        <v>9265763</v>
      </c>
      <c r="C230" s="130" t="s">
        <v>1616</v>
      </c>
      <c r="D230" s="130">
        <v>170</v>
      </c>
      <c r="E230" s="130">
        <v>2</v>
      </c>
      <c r="F230" s="110">
        <f>$F$162</f>
        <v>0.59</v>
      </c>
      <c r="G230" s="110">
        <f>$J$162/2</f>
        <v>0.47149999999999997</v>
      </c>
      <c r="H230" s="130">
        <v>122</v>
      </c>
      <c r="I230" s="110">
        <f t="shared" si="5"/>
        <v>71.97999999999999</v>
      </c>
      <c r="J230" s="110">
        <f t="shared" si="6"/>
        <v>57.522999999999996</v>
      </c>
      <c r="K230" s="110"/>
      <c r="L230" s="110">
        <v>265</v>
      </c>
      <c r="M230" s="271">
        <f t="shared" si="8"/>
        <v>15243.594999999999</v>
      </c>
    </row>
    <row r="231" spans="2:13">
      <c r="B231" s="1004">
        <v>5621623</v>
      </c>
      <c r="C231" s="130" t="s">
        <v>1617</v>
      </c>
      <c r="D231" s="130">
        <v>170</v>
      </c>
      <c r="E231" s="130">
        <v>5</v>
      </c>
      <c r="F231" s="110">
        <f t="shared" ref="F231:F235" si="20">$F$163</f>
        <v>1.47</v>
      </c>
      <c r="G231" s="110">
        <f t="shared" ref="G231:G235" si="21">$J$163/2</f>
        <v>1.179</v>
      </c>
      <c r="H231" s="130">
        <v>29</v>
      </c>
      <c r="I231" s="110">
        <f t="shared" si="5"/>
        <v>42.63</v>
      </c>
      <c r="J231" s="110">
        <f t="shared" si="6"/>
        <v>34.191000000000003</v>
      </c>
      <c r="K231" s="110"/>
      <c r="L231" s="110">
        <v>265</v>
      </c>
      <c r="M231" s="271">
        <f t="shared" si="8"/>
        <v>9060.6149999999998</v>
      </c>
    </row>
    <row r="232" spans="2:13">
      <c r="B232" s="1004">
        <v>9236632</v>
      </c>
      <c r="C232" s="130" t="s">
        <v>1617</v>
      </c>
      <c r="D232" s="130">
        <v>170</v>
      </c>
      <c r="E232" s="130">
        <v>5</v>
      </c>
      <c r="F232" s="110">
        <f t="shared" si="20"/>
        <v>1.47</v>
      </c>
      <c r="G232" s="110">
        <f t="shared" si="21"/>
        <v>1.179</v>
      </c>
      <c r="H232" s="130">
        <v>4424</v>
      </c>
      <c r="I232" s="110">
        <f t="shared" si="5"/>
        <v>6503.28</v>
      </c>
      <c r="J232" s="110">
        <f t="shared" si="6"/>
        <v>5215.8960000000006</v>
      </c>
      <c r="K232" s="110"/>
      <c r="L232" s="110">
        <v>265</v>
      </c>
      <c r="M232" s="271">
        <f t="shared" si="8"/>
        <v>1382212.4400000002</v>
      </c>
    </row>
    <row r="233" spans="2:13">
      <c r="B233" s="1004">
        <v>3964230</v>
      </c>
      <c r="C233" s="130" t="s">
        <v>1618</v>
      </c>
      <c r="D233" s="130">
        <v>170</v>
      </c>
      <c r="E233" s="130">
        <v>5</v>
      </c>
      <c r="F233" s="110">
        <f t="shared" si="20"/>
        <v>1.47</v>
      </c>
      <c r="G233" s="110">
        <f t="shared" si="21"/>
        <v>1.179</v>
      </c>
      <c r="H233" s="130">
        <v>3</v>
      </c>
      <c r="I233" s="110">
        <f t="shared" si="5"/>
        <v>4.41</v>
      </c>
      <c r="J233" s="110">
        <f t="shared" si="6"/>
        <v>3.5369999999999999</v>
      </c>
      <c r="K233" s="110"/>
      <c r="L233" s="110">
        <v>265</v>
      </c>
      <c r="M233" s="271">
        <f t="shared" si="8"/>
        <v>937.30499999999995</v>
      </c>
    </row>
    <row r="234" spans="2:13">
      <c r="B234" s="1004">
        <v>9396413</v>
      </c>
      <c r="C234" s="130" t="s">
        <v>1618</v>
      </c>
      <c r="D234" s="130">
        <v>170</v>
      </c>
      <c r="E234" s="130">
        <v>5</v>
      </c>
      <c r="F234" s="110">
        <f t="shared" si="20"/>
        <v>1.47</v>
      </c>
      <c r="G234" s="110">
        <f t="shared" si="21"/>
        <v>1.179</v>
      </c>
      <c r="H234" s="130">
        <v>14445</v>
      </c>
      <c r="I234" s="110">
        <f t="shared" si="5"/>
        <v>21234.149999999998</v>
      </c>
      <c r="J234" s="110">
        <f t="shared" si="6"/>
        <v>17030.655000000002</v>
      </c>
      <c r="K234" s="110"/>
      <c r="L234" s="110">
        <v>265</v>
      </c>
      <c r="M234" s="271">
        <f t="shared" si="8"/>
        <v>4513123.5750000011</v>
      </c>
    </row>
    <row r="235" spans="2:13">
      <c r="B235" s="1004">
        <v>9256480</v>
      </c>
      <c r="C235" s="130" t="s">
        <v>1619</v>
      </c>
      <c r="D235" s="130">
        <v>170</v>
      </c>
      <c r="E235" s="130">
        <v>5</v>
      </c>
      <c r="F235" s="110">
        <f t="shared" si="20"/>
        <v>1.47</v>
      </c>
      <c r="G235" s="110">
        <f t="shared" si="21"/>
        <v>1.179</v>
      </c>
      <c r="H235" s="130">
        <v>6392</v>
      </c>
      <c r="I235" s="110">
        <f t="shared" si="5"/>
        <v>9396.24</v>
      </c>
      <c r="J235" s="110">
        <f t="shared" si="6"/>
        <v>7536.1680000000006</v>
      </c>
      <c r="K235" s="110"/>
      <c r="L235" s="110">
        <v>265</v>
      </c>
      <c r="M235" s="271">
        <f t="shared" si="8"/>
        <v>1997084.5200000003</v>
      </c>
    </row>
    <row r="236" spans="2:13">
      <c r="B236" s="1004">
        <v>9377692</v>
      </c>
      <c r="C236" s="130" t="s">
        <v>1620</v>
      </c>
      <c r="D236" s="130">
        <v>180</v>
      </c>
      <c r="E236" s="130">
        <v>5</v>
      </c>
      <c r="F236" s="110">
        <f>F172</f>
        <v>1.5</v>
      </c>
      <c r="G236" s="110">
        <f t="shared" ref="G236:G238" si="22">F236*$C$146/2</f>
        <v>1.3852500000000001</v>
      </c>
      <c r="H236" s="130">
        <v>1374</v>
      </c>
      <c r="I236" s="110">
        <f t="shared" si="5"/>
        <v>2061</v>
      </c>
      <c r="J236" s="110">
        <f t="shared" si="6"/>
        <v>1903.3335000000002</v>
      </c>
      <c r="K236" s="110"/>
      <c r="L236" s="110">
        <v>265</v>
      </c>
      <c r="M236" s="271">
        <f t="shared" si="8"/>
        <v>504383.37750000006</v>
      </c>
    </row>
    <row r="237" spans="2:13">
      <c r="B237" s="1004">
        <v>9432008</v>
      </c>
      <c r="C237" s="130" t="s">
        <v>1621</v>
      </c>
      <c r="D237" s="130">
        <v>185</v>
      </c>
      <c r="E237" s="130">
        <v>15</v>
      </c>
      <c r="F237" s="110">
        <f>F178</f>
        <v>4.5</v>
      </c>
      <c r="G237" s="110">
        <f t="shared" si="22"/>
        <v>4.1557500000000003</v>
      </c>
      <c r="H237" s="130">
        <v>65</v>
      </c>
      <c r="I237" s="110">
        <f t="shared" si="5"/>
        <v>292.5</v>
      </c>
      <c r="J237" s="110">
        <f t="shared" si="6"/>
        <v>270.12375000000003</v>
      </c>
      <c r="K237" s="110"/>
      <c r="L237" s="110">
        <v>265</v>
      </c>
      <c r="M237" s="271">
        <f t="shared" si="8"/>
        <v>71582.793750000012</v>
      </c>
    </row>
    <row r="238" spans="2:13">
      <c r="B238" s="1005">
        <v>9432014</v>
      </c>
      <c r="C238" s="353" t="s">
        <v>1622</v>
      </c>
      <c r="D238" s="353">
        <v>185</v>
      </c>
      <c r="E238" s="353">
        <v>5</v>
      </c>
      <c r="F238" s="120">
        <f>F176</f>
        <v>1.5</v>
      </c>
      <c r="G238" s="120">
        <f t="shared" si="22"/>
        <v>1.3852500000000001</v>
      </c>
      <c r="H238" s="353">
        <v>362</v>
      </c>
      <c r="I238" s="120">
        <f t="shared" si="5"/>
        <v>543</v>
      </c>
      <c r="J238" s="120">
        <f t="shared" si="6"/>
        <v>501.46050000000002</v>
      </c>
      <c r="K238" s="120"/>
      <c r="L238" s="120">
        <v>265</v>
      </c>
      <c r="M238" s="121">
        <f t="shared" si="8"/>
        <v>132887.0325</v>
      </c>
    </row>
    <row r="241" spans="2:8">
      <c r="B241" s="100" t="s">
        <v>1657</v>
      </c>
    </row>
    <row r="242" spans="2:8">
      <c r="B242" t="s">
        <v>1658</v>
      </c>
    </row>
    <row r="245" spans="2:8">
      <c r="B245" s="351" t="s">
        <v>1646</v>
      </c>
      <c r="C245" s="1026" t="s">
        <v>1647</v>
      </c>
      <c r="D245" s="1026" t="s">
        <v>1551</v>
      </c>
      <c r="E245" s="1026" t="s">
        <v>1552</v>
      </c>
      <c r="F245" s="1026"/>
      <c r="G245" s="1026" t="s">
        <v>1659</v>
      </c>
      <c r="H245" s="1027" t="s">
        <v>27</v>
      </c>
    </row>
    <row r="246" spans="2:8">
      <c r="B246" s="1028" t="s">
        <v>1553</v>
      </c>
      <c r="C246" s="130">
        <f t="shared" ref="C246:G247" si="23">C187</f>
        <v>24423.359999999997</v>
      </c>
      <c r="D246" s="130">
        <f t="shared" si="23"/>
        <v>36635.039999999994</v>
      </c>
      <c r="E246" s="130">
        <f t="shared" si="23"/>
        <v>2540</v>
      </c>
      <c r="F246" s="130">
        <f t="shared" si="23"/>
        <v>0</v>
      </c>
      <c r="G246" s="130">
        <f t="shared" si="23"/>
        <v>93053001.599999979</v>
      </c>
      <c r="H246" s="116">
        <f t="shared" ref="H246:H250" si="24">G246/$G$251</f>
        <v>0.55978107839906999</v>
      </c>
    </row>
    <row r="247" spans="2:8">
      <c r="B247" s="1028" t="s">
        <v>1554</v>
      </c>
      <c r="C247" s="130">
        <f t="shared" si="23"/>
        <v>297.5</v>
      </c>
      <c r="D247" s="130">
        <f t="shared" si="23"/>
        <v>446.25</v>
      </c>
      <c r="E247" s="130">
        <f t="shared" si="23"/>
        <v>510</v>
      </c>
      <c r="F247" s="130">
        <f t="shared" si="23"/>
        <v>0</v>
      </c>
      <c r="G247" s="130">
        <f t="shared" si="23"/>
        <v>227587.5</v>
      </c>
      <c r="H247" s="116">
        <f t="shared" si="24"/>
        <v>1.3691033495919856E-3</v>
      </c>
    </row>
    <row r="248" spans="2:8">
      <c r="B248" s="1028" t="s">
        <v>1555</v>
      </c>
      <c r="C248" s="130"/>
      <c r="D248" s="110">
        <f>SUM(J198:J211)</f>
        <v>85667.597517730494</v>
      </c>
      <c r="E248" s="110">
        <v>265</v>
      </c>
      <c r="F248" s="110"/>
      <c r="G248" s="110">
        <f>SUM(M198:M211)</f>
        <v>22701913.342198581</v>
      </c>
      <c r="H248" s="116">
        <f t="shared" si="24"/>
        <v>0.13656842137178474</v>
      </c>
    </row>
    <row r="249" spans="2:8">
      <c r="B249" s="1028" t="s">
        <v>1556</v>
      </c>
      <c r="C249" s="130"/>
      <c r="D249" s="110">
        <f>SUM(J212:J238)</f>
        <v>86645.59844999999</v>
      </c>
      <c r="E249" s="110">
        <v>265</v>
      </c>
      <c r="F249" s="110"/>
      <c r="G249" s="110">
        <f>SUM(M212:M238)</f>
        <v>22961083.589250002</v>
      </c>
      <c r="H249" s="116">
        <f t="shared" si="24"/>
        <v>0.13812751777801394</v>
      </c>
    </row>
    <row r="250" spans="2:8">
      <c r="B250" s="1007" t="s">
        <v>1557</v>
      </c>
      <c r="C250" s="353">
        <f>C189</f>
        <v>138094.5</v>
      </c>
      <c r="D250" s="353">
        <f>D189</f>
        <v>209903.64</v>
      </c>
      <c r="E250" s="353">
        <f>E189</f>
        <v>130</v>
      </c>
      <c r="F250" s="353">
        <f>F189</f>
        <v>0</v>
      </c>
      <c r="G250" s="353">
        <f>G189</f>
        <v>27287473.200000003</v>
      </c>
      <c r="H250" s="171">
        <f t="shared" si="24"/>
        <v>0.16415387910153914</v>
      </c>
    </row>
    <row r="251" spans="2:8">
      <c r="B251" s="859"/>
      <c r="C251" s="859"/>
      <c r="D251" s="859"/>
      <c r="E251" s="859"/>
      <c r="F251" s="1019" t="s">
        <v>119</v>
      </c>
      <c r="G251" s="1020">
        <f>SUM(G246:G250)</f>
        <v>166231059.23144859</v>
      </c>
    </row>
    <row r="252" spans="2:8">
      <c r="B252" s="100" t="s">
        <v>1660</v>
      </c>
    </row>
    <row r="254" spans="2:8">
      <c r="B254" t="s">
        <v>1661</v>
      </c>
    </row>
    <row r="255" spans="2:8">
      <c r="B255" t="s">
        <v>1662</v>
      </c>
    </row>
    <row r="256" spans="2:8">
      <c r="B256" t="s">
        <v>1663</v>
      </c>
    </row>
    <row r="258" spans="2:4" ht="28.8">
      <c r="B258" s="1029" t="s">
        <v>1664</v>
      </c>
      <c r="C258" s="263">
        <f>G251*10^-9*2931/1791</f>
        <v>0.2720397736501261</v>
      </c>
      <c r="D258" s="264" t="s">
        <v>96</v>
      </c>
    </row>
    <row r="261" spans="2:4">
      <c r="B261" s="98" t="s">
        <v>1665</v>
      </c>
    </row>
    <row r="263" spans="2:4">
      <c r="B263" t="s">
        <v>1666</v>
      </c>
    </row>
    <row r="264" spans="2:4">
      <c r="B264" s="1029" t="s">
        <v>1667</v>
      </c>
      <c r="C264" s="263">
        <f>310*10^-3</f>
        <v>0.31</v>
      </c>
      <c r="D264" s="264" t="s">
        <v>96</v>
      </c>
    </row>
    <row r="266" spans="2:4">
      <c r="B266" s="98" t="s">
        <v>1668</v>
      </c>
    </row>
    <row r="268" spans="2:4">
      <c r="B268" s="191" t="s">
        <v>1669</v>
      </c>
    </row>
    <row r="269" spans="2:4">
      <c r="B269" t="s">
        <v>1670</v>
      </c>
    </row>
    <row r="270" spans="2:4">
      <c r="B270" s="191" t="s">
        <v>1671</v>
      </c>
    </row>
    <row r="271" spans="2:4">
      <c r="B271" s="191" t="s">
        <v>1672</v>
      </c>
    </row>
    <row r="273" spans="2:10">
      <c r="B273" t="s">
        <v>1673</v>
      </c>
      <c r="J273" s="1030"/>
    </row>
    <row r="275" spans="2:10" ht="36" customHeight="1">
      <c r="B275" s="1031" t="s">
        <v>1674</v>
      </c>
      <c r="C275" s="1032" t="s">
        <v>1675</v>
      </c>
      <c r="D275" s="1031" t="s">
        <v>130</v>
      </c>
      <c r="E275" s="1033" t="s">
        <v>1676</v>
      </c>
      <c r="F275" s="1031" t="s">
        <v>129</v>
      </c>
      <c r="G275" s="1032" t="s">
        <v>130</v>
      </c>
      <c r="H275" s="1034"/>
      <c r="I275" s="1034"/>
    </row>
    <row r="276" spans="2:10">
      <c r="B276" s="1035" t="s">
        <v>1677</v>
      </c>
      <c r="C276" s="1036">
        <v>973000000</v>
      </c>
      <c r="D276" s="1037" t="s">
        <v>523</v>
      </c>
      <c r="E276" s="110">
        <f>5319/1000</f>
        <v>5.319</v>
      </c>
      <c r="F276" s="1036" t="s">
        <v>96</v>
      </c>
      <c r="G276" s="1037" t="s">
        <v>509</v>
      </c>
      <c r="H276" s="1038"/>
      <c r="I276" s="1039"/>
    </row>
    <row r="277" spans="2:10">
      <c r="B277" s="1035" t="s">
        <v>1678</v>
      </c>
      <c r="C277" s="1036">
        <f>'10.bâtiments'!C252*0.7</f>
        <v>84143788.721795261</v>
      </c>
      <c r="D277" s="1037" t="s">
        <v>521</v>
      </c>
      <c r="E277" s="323">
        <f>E276*C277/C276</f>
        <v>0.45998027976488076</v>
      </c>
      <c r="F277" s="1036" t="s">
        <v>96</v>
      </c>
      <c r="G277" s="1037" t="s">
        <v>509</v>
      </c>
      <c r="H277" s="1038"/>
      <c r="I277" s="1039"/>
    </row>
    <row r="278" spans="2:10">
      <c r="C278" s="346"/>
      <c r="E278" s="1040"/>
      <c r="F278" s="1038"/>
      <c r="G278" s="1038"/>
      <c r="H278" s="1038"/>
      <c r="I278" s="1039"/>
    </row>
  </sheetData>
  <mergeCells count="19">
    <mergeCell ref="B5:D5"/>
    <mergeCell ref="F5:Q5"/>
    <mergeCell ref="F6:G6"/>
    <mergeCell ref="H6:Q6"/>
    <mergeCell ref="C7:D7"/>
    <mergeCell ref="F7:G8"/>
    <mergeCell ref="H7:Q8"/>
    <mergeCell ref="C8:D8"/>
    <mergeCell ref="C12:D12"/>
    <mergeCell ref="C14:D14"/>
    <mergeCell ref="B16:Q16"/>
    <mergeCell ref="C17:Q17"/>
    <mergeCell ref="C18:Q18"/>
    <mergeCell ref="C23:Q23"/>
    <mergeCell ref="C24:Q24"/>
    <mergeCell ref="C19:Q19"/>
    <mergeCell ref="C20:Q20"/>
    <mergeCell ref="C21:Q21"/>
    <mergeCell ref="C22:Q22"/>
  </mergeCells>
  <conditionalFormatting sqref="C8">
    <cfRule type="containsText" dxfId="341" priority="20" operator="containsText" text="Calcul validé">
      <formula>NOT(ISERROR(SEARCH("Calcul validé",C8)))</formula>
    </cfRule>
  </conditionalFormatting>
  <conditionalFormatting sqref="C8">
    <cfRule type="containsText" dxfId="340" priority="19" operator="containsText" text="Bon ordre de grandeur">
      <formula>NOT(ISERROR(SEARCH("Bon ordre de grandeur",C8)))</formula>
    </cfRule>
  </conditionalFormatting>
  <conditionalFormatting sqref="C8">
    <cfRule type="containsText" dxfId="339" priority="18" operator="containsText" text="Calcul brouillon, ordre de grandeur">
      <formula>NOT(ISERROR(SEARCH("Calcul brouillon, ordre de grandeur",C8)))</formula>
    </cfRule>
  </conditionalFormatting>
  <conditionalFormatting sqref="C8">
    <cfRule type="containsText" dxfId="338" priority="17" operator="containsText" text="Pas ok">
      <formula>NOT(ISERROR(SEARCH("Pas ok",C8)))</formula>
    </cfRule>
  </conditionalFormatting>
  <conditionalFormatting sqref="C8">
    <cfRule type="containsText" dxfId="337" priority="16" operator="containsText" text="Calcul validé">
      <formula>NOT(ISERROR(SEARCH("Calcul validé",C8)))</formula>
    </cfRule>
  </conditionalFormatting>
  <conditionalFormatting sqref="C8">
    <cfRule type="containsText" dxfId="336" priority="15" operator="containsText" text="Calcul validé">
      <formula>NOT(ISERROR(SEARCH("Calcul validé",C8)))</formula>
    </cfRule>
  </conditionalFormatting>
  <conditionalFormatting sqref="C8">
    <cfRule type="containsText" dxfId="335" priority="14" operator="containsText" text="Bon ordre de grandeur">
      <formula>NOT(ISERROR(SEARCH("Bon ordre de grandeur",C8)))</formula>
    </cfRule>
  </conditionalFormatting>
  <conditionalFormatting sqref="C8">
    <cfRule type="containsText" dxfId="334" priority="13" operator="containsText" text="Calcul brouillon, ordre de grandeur">
      <formula>NOT(ISERROR(SEARCH("Calcul brouillon, ordre de grandeur",C8)))</formula>
    </cfRule>
  </conditionalFormatting>
  <conditionalFormatting sqref="C8">
    <cfRule type="containsText" dxfId="333" priority="12" operator="containsText" text="Pas ok">
      <formula>NOT(ISERROR(SEARCH("Pas ok",C8)))</formula>
    </cfRule>
  </conditionalFormatting>
  <conditionalFormatting sqref="C8:D8">
    <cfRule type="containsText" dxfId="332" priority="11" operator="containsText" text="Calcul brouillon, odg">
      <formula>NOT(ISERROR(SEARCH("Calcul brouillon, odg",C8)))</formula>
    </cfRule>
  </conditionalFormatting>
  <conditionalFormatting sqref="C14">
    <cfRule type="containsText" dxfId="331" priority="10" operator="containsText" text="Calcul validé">
      <formula>NOT(ISERROR(SEARCH("Calcul validé",C14)))</formula>
    </cfRule>
  </conditionalFormatting>
  <conditionalFormatting sqref="C14">
    <cfRule type="containsText" dxfId="330" priority="9" operator="containsText" text="Bon ordre de grandeur">
      <formula>NOT(ISERROR(SEARCH("Bon ordre de grandeur",C14)))</formula>
    </cfRule>
  </conditionalFormatting>
  <conditionalFormatting sqref="C14">
    <cfRule type="containsText" dxfId="329" priority="8" operator="containsText" text="Calcul brouillon, ordre de grandeur">
      <formula>NOT(ISERROR(SEARCH("Calcul brouillon, ordre de grandeur",C14)))</formula>
    </cfRule>
  </conditionalFormatting>
  <conditionalFormatting sqref="C14">
    <cfRule type="containsText" dxfId="328" priority="7" operator="containsText" text="Pas ok">
      <formula>NOT(ISERROR(SEARCH("Pas ok",C14)))</formula>
    </cfRule>
  </conditionalFormatting>
  <conditionalFormatting sqref="C14">
    <cfRule type="containsText" dxfId="327" priority="6" operator="containsText" text="Calcul validé">
      <formula>NOT(ISERROR(SEARCH("Calcul validé",C14)))</formula>
    </cfRule>
  </conditionalFormatting>
  <conditionalFormatting sqref="C14">
    <cfRule type="containsText" dxfId="326" priority="5" operator="containsText" text="Calcul validé">
      <formula>NOT(ISERROR(SEARCH("Calcul validé",C14)))</formula>
    </cfRule>
  </conditionalFormatting>
  <conditionalFormatting sqref="C14">
    <cfRule type="containsText" dxfId="325" priority="4" operator="containsText" text="Bon ordre de grandeur">
      <formula>NOT(ISERROR(SEARCH("Bon ordre de grandeur",C14)))</formula>
    </cfRule>
  </conditionalFormatting>
  <conditionalFormatting sqref="C14">
    <cfRule type="containsText" dxfId="324" priority="3" operator="containsText" text="Calcul brouillon, ordre de grandeur">
      <formula>NOT(ISERROR(SEARCH("Calcul brouillon, ordre de grandeur",C14)))</formula>
    </cfRule>
  </conditionalFormatting>
  <conditionalFormatting sqref="C14">
    <cfRule type="containsText" dxfId="323" priority="2" operator="containsText" text="Pas ok">
      <formula>NOT(ISERROR(SEARCH("Pas ok",C14)))</formula>
    </cfRule>
  </conditionalFormatting>
  <conditionalFormatting sqref="C14:D14">
    <cfRule type="containsText" dxfId="322" priority="1" operator="containsText" text="Calcul brouillon, odg">
      <formula>NOT(ISERROR(SEARCH("Calcul brouillon, odg",C14)))</formula>
    </cfRule>
  </conditionalFormatting>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1700-000000000000}">
          <x14:formula1>
            <xm:f>'Annexe 1'!$B$5:$B$8</xm:f>
          </x14:formula1>
          <xm:sqref>C8 C14</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47">
    <tabColor rgb="FF00B050"/>
  </sheetPr>
  <dimension ref="A2:Q134"/>
  <sheetViews>
    <sheetView zoomScale="75" workbookViewId="0">
      <pane ySplit="2" topLeftCell="A3" activePane="bottomLeft" state="frozen"/>
      <selection activeCell="C19" sqref="C19:Q19"/>
      <selection pane="bottomLeft"/>
    </sheetView>
  </sheetViews>
  <sheetFormatPr baseColWidth="10" defaultRowHeight="14.4"/>
  <cols>
    <col min="2" max="2" width="43.109375" customWidth="1"/>
    <col min="3" max="3" width="33.44140625" customWidth="1"/>
    <col min="4" max="4" width="43.109375" customWidth="1"/>
    <col min="5" max="5" width="33.44140625" customWidth="1"/>
    <col min="6" max="6" width="17.77734375" customWidth="1"/>
    <col min="7" max="7" width="23.109375" customWidth="1"/>
    <col min="8" max="8" width="18.109375" customWidth="1"/>
    <col min="10" max="10" width="11.44140625" bestFit="1" customWidth="1"/>
  </cols>
  <sheetData>
    <row r="2" spans="1:17" ht="18">
      <c r="B2" s="57" t="s">
        <v>1679</v>
      </c>
    </row>
    <row r="3" spans="1:17">
      <c r="A3" t="s">
        <v>1680</v>
      </c>
    </row>
    <row r="5" spans="1:17">
      <c r="B5" s="1297" t="s">
        <v>90</v>
      </c>
      <c r="C5" s="1298"/>
      <c r="D5" s="1299"/>
      <c r="F5" s="1300" t="s">
        <v>63</v>
      </c>
      <c r="G5" s="1301"/>
      <c r="H5" s="1301"/>
      <c r="I5" s="1301"/>
      <c r="J5" s="1301"/>
      <c r="K5" s="1301"/>
      <c r="L5" s="1301"/>
      <c r="M5" s="1301"/>
      <c r="N5" s="1301"/>
      <c r="O5" s="1301"/>
      <c r="P5" s="1301"/>
      <c r="Q5" s="1302"/>
    </row>
    <row r="6" spans="1:17">
      <c r="B6" s="58" t="s">
        <v>64</v>
      </c>
      <c r="C6" s="265">
        <f>C13</f>
        <v>0.422123648144</v>
      </c>
      <c r="D6" s="266" t="s">
        <v>65</v>
      </c>
      <c r="F6" s="1303" t="s">
        <v>66</v>
      </c>
      <c r="G6" s="1304"/>
      <c r="H6" s="1305" t="s">
        <v>1679</v>
      </c>
      <c r="I6" s="1306"/>
      <c r="J6" s="1306"/>
      <c r="K6" s="1306"/>
      <c r="L6" s="1306"/>
      <c r="M6" s="1306"/>
      <c r="N6" s="1306"/>
      <c r="O6" s="1306"/>
      <c r="P6" s="1306"/>
      <c r="Q6" s="1307"/>
    </row>
    <row r="7" spans="1:17">
      <c r="B7" s="61" t="s">
        <v>68</v>
      </c>
      <c r="C7" s="1287" t="s">
        <v>70</v>
      </c>
      <c r="D7" s="1288"/>
      <c r="F7" s="1308" t="s">
        <v>69</v>
      </c>
      <c r="G7" s="1309"/>
      <c r="H7" s="1312" t="s">
        <v>1681</v>
      </c>
      <c r="I7" s="1313"/>
      <c r="J7" s="1313"/>
      <c r="K7" s="1313"/>
      <c r="L7" s="1313"/>
      <c r="M7" s="1313"/>
      <c r="N7" s="1313"/>
      <c r="O7" s="1313"/>
      <c r="P7" s="1313"/>
      <c r="Q7" s="1314"/>
    </row>
    <row r="8" spans="1:17">
      <c r="B8" s="63" t="s">
        <v>28</v>
      </c>
      <c r="C8" s="1289" t="s">
        <v>98</v>
      </c>
      <c r="D8" s="1290"/>
      <c r="F8" s="1310"/>
      <c r="G8" s="1311"/>
      <c r="H8" s="1315"/>
      <c r="I8" s="1316"/>
      <c r="J8" s="1316"/>
      <c r="K8" s="1316"/>
      <c r="L8" s="1316"/>
      <c r="M8" s="1316"/>
      <c r="N8" s="1316"/>
      <c r="O8" s="1316"/>
      <c r="P8" s="1316"/>
      <c r="Q8" s="1317"/>
    </row>
    <row r="12" spans="1:17">
      <c r="B12" s="64" t="s">
        <v>93</v>
      </c>
      <c r="C12" s="1287" t="s">
        <v>70</v>
      </c>
      <c r="D12" s="1288"/>
      <c r="E12" s="65"/>
      <c r="F12" s="65"/>
      <c r="G12" s="65"/>
      <c r="H12" s="65"/>
      <c r="I12" s="65"/>
      <c r="J12" s="65"/>
      <c r="K12" s="65"/>
      <c r="L12" s="65"/>
      <c r="M12" s="65"/>
      <c r="N12" s="65"/>
      <c r="O12" s="65"/>
      <c r="P12" s="65"/>
      <c r="Q12" s="66"/>
    </row>
    <row r="13" spans="1:17">
      <c r="B13" s="67" t="s">
        <v>95</v>
      </c>
      <c r="C13" s="666">
        <f>C134</f>
        <v>0.422123648144</v>
      </c>
      <c r="D13" s="69" t="s">
        <v>96</v>
      </c>
      <c r="E13" s="70"/>
      <c r="F13" s="70"/>
      <c r="G13" s="70"/>
      <c r="H13" s="70"/>
      <c r="I13" s="70"/>
      <c r="J13" s="70"/>
      <c r="K13" s="70"/>
      <c r="L13" s="70"/>
      <c r="M13" s="70"/>
      <c r="N13" s="70"/>
      <c r="O13" s="70"/>
      <c r="P13" s="70"/>
      <c r="Q13" s="71"/>
    </row>
    <row r="14" spans="1:17">
      <c r="B14" s="72" t="s">
        <v>97</v>
      </c>
      <c r="C14" s="1289" t="s">
        <v>98</v>
      </c>
      <c r="D14" s="1290"/>
      <c r="E14" s="70"/>
      <c r="F14" s="70"/>
      <c r="G14" s="70"/>
      <c r="H14" s="70"/>
      <c r="I14" s="70"/>
      <c r="J14" s="70"/>
      <c r="K14" s="70"/>
      <c r="L14" s="70"/>
      <c r="M14" s="70"/>
      <c r="N14" s="70"/>
      <c r="O14" s="70"/>
      <c r="P14" s="70"/>
      <c r="Q14" s="71"/>
    </row>
    <row r="15" spans="1:17">
      <c r="B15" s="73"/>
      <c r="C15" s="74"/>
      <c r="D15" s="74"/>
      <c r="E15" s="74"/>
      <c r="F15" s="74"/>
      <c r="G15" s="74"/>
      <c r="H15" s="74"/>
      <c r="I15" s="74"/>
      <c r="J15" s="74"/>
      <c r="K15" s="74"/>
      <c r="L15" s="74"/>
      <c r="M15" s="74"/>
      <c r="N15" s="74"/>
      <c r="O15" s="74"/>
      <c r="P15" s="74"/>
      <c r="Q15" s="75"/>
    </row>
    <row r="16" spans="1:17">
      <c r="B16" s="1291" t="s">
        <v>71</v>
      </c>
      <c r="C16" s="1292"/>
      <c r="D16" s="1292"/>
      <c r="E16" s="1292"/>
      <c r="F16" s="1292"/>
      <c r="G16" s="1292"/>
      <c r="H16" s="1292"/>
      <c r="I16" s="1292"/>
      <c r="J16" s="1292"/>
      <c r="K16" s="1292"/>
      <c r="L16" s="1292"/>
      <c r="M16" s="1292"/>
      <c r="N16" s="1292"/>
      <c r="O16" s="1292"/>
      <c r="P16" s="1292"/>
      <c r="Q16" s="1293"/>
    </row>
    <row r="17" spans="2:17" ht="81.75" customHeight="1">
      <c r="B17" s="76" t="s">
        <v>72</v>
      </c>
      <c r="C17" s="1294" t="s">
        <v>1682</v>
      </c>
      <c r="D17" s="1295" t="s">
        <v>1683</v>
      </c>
      <c r="E17" s="1295" t="s">
        <v>1683</v>
      </c>
      <c r="F17" s="1295" t="s">
        <v>1683</v>
      </c>
      <c r="G17" s="1295" t="s">
        <v>1683</v>
      </c>
      <c r="H17" s="1295" t="s">
        <v>1683</v>
      </c>
      <c r="I17" s="1295" t="s">
        <v>1683</v>
      </c>
      <c r="J17" s="1295" t="s">
        <v>1683</v>
      </c>
      <c r="K17" s="1295" t="s">
        <v>1683</v>
      </c>
      <c r="L17" s="1295" t="s">
        <v>1683</v>
      </c>
      <c r="M17" s="1295" t="s">
        <v>1683</v>
      </c>
      <c r="N17" s="1295" t="s">
        <v>1683</v>
      </c>
      <c r="O17" s="1295" t="s">
        <v>1683</v>
      </c>
      <c r="P17" s="1295" t="s">
        <v>1683</v>
      </c>
      <c r="Q17" s="1296" t="s">
        <v>1683</v>
      </c>
    </row>
    <row r="18" spans="2:17" ht="93" customHeight="1">
      <c r="B18" s="77" t="s">
        <v>74</v>
      </c>
      <c r="C18" s="1275" t="s">
        <v>1684</v>
      </c>
      <c r="D18" s="1276"/>
      <c r="E18" s="1276"/>
      <c r="F18" s="1276"/>
      <c r="G18" s="1276"/>
      <c r="H18" s="1276"/>
      <c r="I18" s="1276"/>
      <c r="J18" s="1276"/>
      <c r="K18" s="1276"/>
      <c r="L18" s="1276"/>
      <c r="M18" s="1276"/>
      <c r="N18" s="1276"/>
      <c r="O18" s="1276"/>
      <c r="P18" s="1276"/>
      <c r="Q18" s="1277"/>
    </row>
    <row r="19" spans="2:17">
      <c r="B19" s="77" t="s">
        <v>76</v>
      </c>
      <c r="C19" s="1439" t="s">
        <v>1685</v>
      </c>
      <c r="D19" s="1440"/>
      <c r="E19" s="1440"/>
      <c r="F19" s="1440"/>
      <c r="G19" s="1440"/>
      <c r="H19" s="1440"/>
      <c r="I19" s="1440"/>
      <c r="J19" s="1440"/>
      <c r="K19" s="1440"/>
      <c r="L19" s="1440"/>
      <c r="M19" s="1440"/>
      <c r="N19" s="1440"/>
      <c r="O19" s="1440"/>
      <c r="P19" s="1440"/>
      <c r="Q19" s="1441"/>
    </row>
    <row r="20" spans="2:17">
      <c r="B20" s="77" t="s">
        <v>78</v>
      </c>
      <c r="C20" s="1275" t="s">
        <v>1686</v>
      </c>
      <c r="D20" s="1276"/>
      <c r="E20" s="1276"/>
      <c r="F20" s="1276"/>
      <c r="G20" s="1276"/>
      <c r="H20" s="1276"/>
      <c r="I20" s="1276"/>
      <c r="J20" s="1276"/>
      <c r="K20" s="1276"/>
      <c r="L20" s="1276"/>
      <c r="M20" s="1276"/>
      <c r="N20" s="1276"/>
      <c r="O20" s="1276"/>
      <c r="P20" s="1276"/>
      <c r="Q20" s="1277"/>
    </row>
    <row r="21" spans="2:17">
      <c r="B21" s="77" t="s">
        <v>82</v>
      </c>
      <c r="C21" s="1275" t="s">
        <v>1687</v>
      </c>
      <c r="D21" s="1276"/>
      <c r="E21" s="1276"/>
      <c r="F21" s="1276"/>
      <c r="G21" s="1276"/>
      <c r="H21" s="1276"/>
      <c r="I21" s="1276"/>
      <c r="J21" s="1276"/>
      <c r="K21" s="1276"/>
      <c r="L21" s="1276"/>
      <c r="M21" s="1276"/>
      <c r="N21" s="1276"/>
      <c r="O21" s="1276"/>
      <c r="P21" s="1276"/>
      <c r="Q21" s="1277"/>
    </row>
    <row r="22" spans="2:17">
      <c r="B22" s="77" t="s">
        <v>84</v>
      </c>
      <c r="C22" s="1275" t="s">
        <v>1688</v>
      </c>
      <c r="D22" s="1276"/>
      <c r="E22" s="1276"/>
      <c r="F22" s="1276"/>
      <c r="G22" s="1276"/>
      <c r="H22" s="1276"/>
      <c r="I22" s="1276"/>
      <c r="J22" s="1276"/>
      <c r="K22" s="1276"/>
      <c r="L22" s="1276"/>
      <c r="M22" s="1276"/>
      <c r="N22" s="1276"/>
      <c r="O22" s="1276"/>
      <c r="P22" s="1276"/>
      <c r="Q22" s="1277"/>
    </row>
    <row r="23" spans="2:17">
      <c r="B23" s="77" t="s">
        <v>86</v>
      </c>
      <c r="C23" s="1275"/>
      <c r="D23" s="1276"/>
      <c r="E23" s="1276"/>
      <c r="F23" s="1276"/>
      <c r="G23" s="1276"/>
      <c r="H23" s="1276"/>
      <c r="I23" s="1276"/>
      <c r="J23" s="1276"/>
      <c r="K23" s="1276"/>
      <c r="L23" s="1276"/>
      <c r="M23" s="1276"/>
      <c r="N23" s="1276"/>
      <c r="O23" s="1276"/>
      <c r="P23" s="1276"/>
      <c r="Q23" s="1277"/>
    </row>
    <row r="24" spans="2:17">
      <c r="B24" s="79" t="s">
        <v>88</v>
      </c>
      <c r="C24" s="1279">
        <v>44532</v>
      </c>
      <c r="D24" s="1280"/>
      <c r="E24" s="1280"/>
      <c r="F24" s="1280"/>
      <c r="G24" s="1280"/>
      <c r="H24" s="1280"/>
      <c r="I24" s="1280"/>
      <c r="J24" s="1280"/>
      <c r="K24" s="1280"/>
      <c r="L24" s="1280"/>
      <c r="M24" s="1280"/>
      <c r="N24" s="1280"/>
      <c r="O24" s="1280"/>
      <c r="P24" s="1280"/>
      <c r="Q24" s="1281"/>
    </row>
    <row r="26" spans="2:17">
      <c r="B26" s="98" t="s">
        <v>1689</v>
      </c>
    </row>
    <row r="28" spans="2:17">
      <c r="B28" s="997"/>
      <c r="C28" s="436" t="s">
        <v>1690</v>
      </c>
      <c r="D28" s="436" t="s">
        <v>132</v>
      </c>
      <c r="E28" s="436" t="s">
        <v>650</v>
      </c>
      <c r="F28" s="446" t="s">
        <v>132</v>
      </c>
    </row>
    <row r="29" spans="2:17">
      <c r="B29" s="1041" t="s">
        <v>1691</v>
      </c>
      <c r="C29" s="108">
        <f>C62+(SUM(G111:G115)/10^3)</f>
        <v>575904.43700000003</v>
      </c>
      <c r="D29" s="110" t="s">
        <v>1692</v>
      </c>
      <c r="E29" s="110">
        <f t="shared" ref="E29:E30" si="0">E62*C29/10^9</f>
        <v>0.21538825943800002</v>
      </c>
      <c r="F29" s="271" t="s">
        <v>243</v>
      </c>
    </row>
    <row r="30" spans="2:17">
      <c r="B30" s="1042" t="s">
        <v>1693</v>
      </c>
      <c r="C30" s="280">
        <f>C63+(SUM(F111:F115)/10^3)</f>
        <v>172717.85800000001</v>
      </c>
      <c r="D30" s="120" t="s">
        <v>1692</v>
      </c>
      <c r="E30" s="120">
        <f t="shared" si="0"/>
        <v>0.16287294009400002</v>
      </c>
      <c r="F30" s="121" t="s">
        <v>243</v>
      </c>
    </row>
    <row r="50" spans="2:8">
      <c r="B50" s="98" t="s">
        <v>1694</v>
      </c>
    </row>
    <row r="51" spans="2:8">
      <c r="B51" s="152" t="s">
        <v>192</v>
      </c>
    </row>
    <row r="52" spans="2:8">
      <c r="B52" t="s">
        <v>1695</v>
      </c>
    </row>
    <row r="54" spans="2:8">
      <c r="B54" t="s">
        <v>1696</v>
      </c>
    </row>
    <row r="55" spans="2:8">
      <c r="B55" t="s">
        <v>1697</v>
      </c>
    </row>
    <row r="56" spans="2:8">
      <c r="B56" t="s">
        <v>1698</v>
      </c>
    </row>
    <row r="57" spans="2:8">
      <c r="B57" t="s">
        <v>1699</v>
      </c>
    </row>
    <row r="58" spans="2:8">
      <c r="B58" s="364"/>
    </row>
    <row r="60" spans="2:8">
      <c r="B60" s="100" t="s">
        <v>123</v>
      </c>
    </row>
    <row r="61" spans="2:8">
      <c r="B61" s="997"/>
      <c r="C61" s="436" t="s">
        <v>1700</v>
      </c>
      <c r="D61" s="436" t="s">
        <v>132</v>
      </c>
      <c r="E61" s="436" t="s">
        <v>144</v>
      </c>
      <c r="F61" s="446" t="s">
        <v>129</v>
      </c>
    </row>
    <row r="62" spans="2:8">
      <c r="B62" s="1041" t="s">
        <v>1691</v>
      </c>
      <c r="C62" s="110">
        <v>538500</v>
      </c>
      <c r="D62" s="110" t="s">
        <v>1692</v>
      </c>
      <c r="E62" s="110">
        <v>374</v>
      </c>
      <c r="F62" s="271" t="s">
        <v>1701</v>
      </c>
      <c r="G62" s="97" t="s">
        <v>133</v>
      </c>
      <c r="H62" s="97" t="s">
        <v>431</v>
      </c>
    </row>
    <row r="63" spans="2:8">
      <c r="B63" s="1042" t="s">
        <v>1693</v>
      </c>
      <c r="C63" s="120">
        <v>161500</v>
      </c>
      <c r="D63" s="120" t="s">
        <v>1692</v>
      </c>
      <c r="E63" s="120">
        <v>943</v>
      </c>
      <c r="F63" s="121" t="s">
        <v>1701</v>
      </c>
      <c r="G63" s="97" t="s">
        <v>133</v>
      </c>
      <c r="H63" s="97" t="s">
        <v>431</v>
      </c>
    </row>
    <row r="66" spans="2:5">
      <c r="B66" s="100" t="s">
        <v>123</v>
      </c>
      <c r="E66" t="s">
        <v>188</v>
      </c>
    </row>
    <row r="68" spans="2:5">
      <c r="B68" s="997"/>
      <c r="C68" s="436" t="s">
        <v>1702</v>
      </c>
      <c r="D68" s="446" t="s">
        <v>129</v>
      </c>
    </row>
    <row r="69" spans="2:5">
      <c r="B69" s="1041" t="s">
        <v>1691</v>
      </c>
      <c r="C69" s="110">
        <f t="shared" ref="C69:C70" si="1">C62*E62</f>
        <v>201399000</v>
      </c>
      <c r="D69" s="271" t="s">
        <v>141</v>
      </c>
    </row>
    <row r="70" spans="2:5">
      <c r="B70" s="1042" t="s">
        <v>1693</v>
      </c>
      <c r="C70" s="120">
        <f t="shared" si="1"/>
        <v>152294500</v>
      </c>
      <c r="D70" s="121" t="s">
        <v>141</v>
      </c>
    </row>
    <row r="73" spans="2:5">
      <c r="B73" s="98" t="s">
        <v>1703</v>
      </c>
    </row>
    <row r="75" spans="2:5">
      <c r="B75" s="152" t="s">
        <v>192</v>
      </c>
    </row>
    <row r="76" spans="2:5">
      <c r="B76" t="s">
        <v>1704</v>
      </c>
    </row>
    <row r="77" spans="2:5">
      <c r="B77" t="s">
        <v>1705</v>
      </c>
    </row>
    <row r="78" spans="2:5">
      <c r="B78" t="s">
        <v>1706</v>
      </c>
    </row>
    <row r="79" spans="2:5">
      <c r="B79" t="s">
        <v>1707</v>
      </c>
    </row>
    <row r="80" spans="2:5">
      <c r="B80" t="s">
        <v>1708</v>
      </c>
    </row>
    <row r="81" spans="2:10">
      <c r="B81" s="191" t="s">
        <v>1709</v>
      </c>
    </row>
    <row r="83" spans="2:10">
      <c r="B83" s="100" t="s">
        <v>123</v>
      </c>
    </row>
    <row r="84" spans="2:10">
      <c r="B84" t="s">
        <v>1710</v>
      </c>
    </row>
    <row r="86" spans="2:10" ht="28.8">
      <c r="B86" s="836" t="s">
        <v>1119</v>
      </c>
      <c r="C86" s="1043" t="s">
        <v>119</v>
      </c>
      <c r="D86" s="837" t="s">
        <v>1120</v>
      </c>
      <c r="E86" s="837" t="s">
        <v>1121</v>
      </c>
      <c r="F86" s="837" t="s">
        <v>1122</v>
      </c>
      <c r="G86" s="837" t="s">
        <v>1123</v>
      </c>
      <c r="H86" s="837" t="s">
        <v>1124</v>
      </c>
      <c r="I86" s="837" t="s">
        <v>427</v>
      </c>
      <c r="J86" s="838" t="s">
        <v>428</v>
      </c>
    </row>
    <row r="87" spans="2:10">
      <c r="B87" s="1041" t="s">
        <v>1476</v>
      </c>
      <c r="C87" s="110">
        <f t="shared" ref="C87:C88" si="2">SUM(D87:H87)</f>
        <v>123753</v>
      </c>
      <c r="D87" s="110">
        <v>43121</v>
      </c>
      <c r="E87" s="110">
        <v>18567</v>
      </c>
      <c r="F87" s="110"/>
      <c r="G87" s="110">
        <v>50345</v>
      </c>
      <c r="H87" s="110">
        <v>11720</v>
      </c>
      <c r="I87" s="110">
        <v>2018</v>
      </c>
      <c r="J87" s="464" t="s">
        <v>247</v>
      </c>
    </row>
    <row r="88" spans="2:10">
      <c r="B88" s="1041" t="s">
        <v>1477</v>
      </c>
      <c r="C88" s="110">
        <f t="shared" si="2"/>
        <v>102466</v>
      </c>
      <c r="D88" s="110">
        <v>60214</v>
      </c>
      <c r="E88" s="110">
        <v>7856</v>
      </c>
      <c r="F88" s="110"/>
      <c r="G88" s="110">
        <v>18961</v>
      </c>
      <c r="H88" s="110">
        <v>15435</v>
      </c>
      <c r="I88" s="110">
        <v>2018</v>
      </c>
      <c r="J88" s="464" t="s">
        <v>247</v>
      </c>
    </row>
    <row r="89" spans="2:10">
      <c r="B89" s="1041" t="s">
        <v>1711</v>
      </c>
      <c r="C89" s="110">
        <v>41376</v>
      </c>
      <c r="D89" s="110">
        <v>33831</v>
      </c>
      <c r="E89" s="110">
        <v>2541</v>
      </c>
      <c r="F89" s="110"/>
      <c r="G89" s="110">
        <v>688</v>
      </c>
      <c r="H89" s="110">
        <v>4316</v>
      </c>
      <c r="I89" s="110">
        <v>2018</v>
      </c>
      <c r="J89" s="464" t="s">
        <v>247</v>
      </c>
    </row>
    <row r="90" spans="2:10">
      <c r="B90" s="1041" t="s">
        <v>1338</v>
      </c>
      <c r="C90" s="110">
        <v>21674</v>
      </c>
      <c r="D90" s="110">
        <v>4446</v>
      </c>
      <c r="E90" s="110">
        <v>2218</v>
      </c>
      <c r="F90" s="110"/>
      <c r="G90" s="110">
        <v>13656</v>
      </c>
      <c r="H90" s="110">
        <v>1354</v>
      </c>
      <c r="I90" s="110">
        <v>2018</v>
      </c>
      <c r="J90" s="464" t="s">
        <v>247</v>
      </c>
    </row>
    <row r="91" spans="2:10">
      <c r="B91" s="1042" t="s">
        <v>1712</v>
      </c>
      <c r="C91" s="120">
        <v>682254</v>
      </c>
      <c r="D91" s="120"/>
      <c r="E91" s="120"/>
      <c r="F91" s="120">
        <v>117451</v>
      </c>
      <c r="G91" s="120">
        <v>446580</v>
      </c>
      <c r="H91" s="120">
        <v>118223</v>
      </c>
      <c r="I91" s="120">
        <v>2018</v>
      </c>
      <c r="J91" s="258" t="s">
        <v>247</v>
      </c>
    </row>
    <row r="94" spans="2:10">
      <c r="B94" s="100" t="s">
        <v>123</v>
      </c>
    </row>
    <row r="95" spans="2:10">
      <c r="B95" t="s">
        <v>1713</v>
      </c>
    </row>
    <row r="98" spans="2:11">
      <c r="B98" s="836" t="s">
        <v>1119</v>
      </c>
      <c r="C98" s="1044" t="s">
        <v>1714</v>
      </c>
    </row>
    <row r="99" spans="2:11">
      <c r="B99" s="1041" t="s">
        <v>1476</v>
      </c>
      <c r="C99" s="271">
        <f t="shared" ref="C99:C102" si="3">D87+0.5*E87</f>
        <v>52404.5</v>
      </c>
    </row>
    <row r="100" spans="2:11">
      <c r="B100" s="1041" t="s">
        <v>1477</v>
      </c>
      <c r="C100" s="271">
        <f t="shared" si="3"/>
        <v>64142</v>
      </c>
    </row>
    <row r="101" spans="2:11">
      <c r="B101" s="1041" t="s">
        <v>1711</v>
      </c>
      <c r="C101" s="271">
        <f t="shared" si="3"/>
        <v>35101.5</v>
      </c>
    </row>
    <row r="102" spans="2:11">
      <c r="B102" s="1041" t="s">
        <v>1338</v>
      </c>
      <c r="C102" s="271">
        <f t="shared" si="3"/>
        <v>5555</v>
      </c>
    </row>
    <row r="103" spans="2:11">
      <c r="B103" s="1042" t="s">
        <v>1712</v>
      </c>
      <c r="C103" s="121">
        <f>F91*0.5+F91*0.25</f>
        <v>88088.25</v>
      </c>
    </row>
    <row r="105" spans="2:11">
      <c r="B105" s="100" t="s">
        <v>123</v>
      </c>
    </row>
    <row r="107" spans="2:11">
      <c r="B107" t="s">
        <v>1715</v>
      </c>
    </row>
    <row r="110" spans="2:11">
      <c r="B110" s="836" t="s">
        <v>1119</v>
      </c>
      <c r="C110" s="1043" t="s">
        <v>1714</v>
      </c>
      <c r="D110" s="690" t="s">
        <v>1716</v>
      </c>
      <c r="E110" s="690" t="s">
        <v>380</v>
      </c>
      <c r="F110" s="690" t="s">
        <v>1717</v>
      </c>
      <c r="G110" s="690" t="s">
        <v>1718</v>
      </c>
      <c r="H110" s="690" t="s">
        <v>131</v>
      </c>
      <c r="I110" s="691" t="s">
        <v>132</v>
      </c>
      <c r="K110" s="97"/>
    </row>
    <row r="111" spans="2:11">
      <c r="B111" s="1041" t="s">
        <v>1476</v>
      </c>
      <c r="C111" s="110">
        <f t="shared" ref="C111:C115" si="4">C99</f>
        <v>52404.5</v>
      </c>
      <c r="D111" s="110">
        <v>3</v>
      </c>
      <c r="E111" s="257" t="s">
        <v>172</v>
      </c>
      <c r="F111" s="110">
        <f t="shared" ref="F111:F115" si="5">D111*12*C111</f>
        <v>1886562</v>
      </c>
      <c r="G111" s="110">
        <f t="shared" ref="G111:G115" si="6">ROUND(F111*$C$62/$C$63,0)</f>
        <v>6290487</v>
      </c>
      <c r="H111" s="110">
        <f t="shared" ref="H111:H115" si="7">(F111*$E$63+G111*$E$62)/1000</f>
        <v>4131670.1039999998</v>
      </c>
      <c r="I111" s="271" t="s">
        <v>141</v>
      </c>
    </row>
    <row r="112" spans="2:11">
      <c r="B112" s="1041" t="s">
        <v>1477</v>
      </c>
      <c r="C112" s="110">
        <f t="shared" si="4"/>
        <v>64142</v>
      </c>
      <c r="D112" s="110">
        <v>3</v>
      </c>
      <c r="E112" s="257" t="s">
        <v>172</v>
      </c>
      <c r="F112" s="110">
        <f t="shared" si="5"/>
        <v>2309112</v>
      </c>
      <c r="G112" s="110">
        <f t="shared" si="6"/>
        <v>7699423</v>
      </c>
      <c r="H112" s="110">
        <f t="shared" si="7"/>
        <v>5057076.818</v>
      </c>
      <c r="I112" s="271" t="s">
        <v>141</v>
      </c>
    </row>
    <row r="113" spans="2:10">
      <c r="B113" s="1041" t="s">
        <v>1711</v>
      </c>
      <c r="C113" s="110">
        <f t="shared" si="4"/>
        <v>35101.5</v>
      </c>
      <c r="D113" s="110">
        <v>6</v>
      </c>
      <c r="E113" s="257" t="s">
        <v>172</v>
      </c>
      <c r="F113" s="110">
        <f t="shared" si="5"/>
        <v>2527308</v>
      </c>
      <c r="G113" s="110">
        <f t="shared" si="6"/>
        <v>8426968</v>
      </c>
      <c r="H113" s="110">
        <f t="shared" si="7"/>
        <v>5534937.4759999998</v>
      </c>
      <c r="I113" s="271" t="s">
        <v>141</v>
      </c>
    </row>
    <row r="114" spans="2:10">
      <c r="B114" s="1041" t="s">
        <v>1338</v>
      </c>
      <c r="C114" s="110">
        <f t="shared" si="4"/>
        <v>5555</v>
      </c>
      <c r="D114" s="110">
        <v>4</v>
      </c>
      <c r="E114" s="257" t="s">
        <v>172</v>
      </c>
      <c r="F114" s="110">
        <f t="shared" si="5"/>
        <v>266640</v>
      </c>
      <c r="G114" s="110">
        <f t="shared" si="6"/>
        <v>889075</v>
      </c>
      <c r="H114" s="110">
        <f t="shared" si="7"/>
        <v>583955.56999999995</v>
      </c>
      <c r="I114" s="271" t="s">
        <v>141</v>
      </c>
    </row>
    <row r="115" spans="2:10">
      <c r="B115" s="1042" t="s">
        <v>1712</v>
      </c>
      <c r="C115" s="120">
        <f t="shared" si="4"/>
        <v>88088.25</v>
      </c>
      <c r="D115" s="120">
        <v>4</v>
      </c>
      <c r="E115" s="348" t="s">
        <v>172</v>
      </c>
      <c r="F115" s="120">
        <f t="shared" si="5"/>
        <v>4228236</v>
      </c>
      <c r="G115" s="110">
        <f t="shared" si="6"/>
        <v>14098484</v>
      </c>
      <c r="H115" s="120">
        <f t="shared" si="7"/>
        <v>9260059.5639999993</v>
      </c>
      <c r="I115" s="121" t="s">
        <v>141</v>
      </c>
    </row>
    <row r="116" spans="2:10">
      <c r="E116" s="1045" t="s">
        <v>1648</v>
      </c>
      <c r="F116" s="1046">
        <f>SUM(F111:F115)</f>
        <v>11217858</v>
      </c>
      <c r="G116" s="1046">
        <f>SUM(G111:G115)</f>
        <v>37404437</v>
      </c>
      <c r="H116" s="1046">
        <f>SUM(H111:H115)/10^9</f>
        <v>2.4567699531999998E-2</v>
      </c>
      <c r="I116" s="719" t="s">
        <v>96</v>
      </c>
    </row>
    <row r="119" spans="2:10">
      <c r="B119" s="98" t="s">
        <v>1719</v>
      </c>
    </row>
    <row r="120" spans="2:10">
      <c r="B120" t="s">
        <v>1720</v>
      </c>
    </row>
    <row r="123" spans="2:10">
      <c r="B123" s="98" t="s">
        <v>1721</v>
      </c>
    </row>
    <row r="125" spans="2:10">
      <c r="B125" t="s">
        <v>1722</v>
      </c>
    </row>
    <row r="126" spans="2:10">
      <c r="B126" s="346"/>
      <c r="C126" s="346"/>
      <c r="D126" s="1460"/>
      <c r="E126" s="1460"/>
      <c r="F126" s="1039"/>
      <c r="G126" s="346"/>
      <c r="H126" s="346"/>
    </row>
    <row r="127" spans="2:10" ht="31.5" customHeight="1">
      <c r="B127" s="1047" t="s">
        <v>1674</v>
      </c>
      <c r="C127" s="1048" t="s">
        <v>372</v>
      </c>
      <c r="D127" s="1048" t="s">
        <v>1723</v>
      </c>
      <c r="E127" s="1043" t="s">
        <v>380</v>
      </c>
      <c r="F127" s="1048" t="s">
        <v>1724</v>
      </c>
      <c r="G127" s="1049" t="s">
        <v>1725</v>
      </c>
      <c r="H127" s="1050" t="s">
        <v>1726</v>
      </c>
      <c r="I127" s="1051" t="s">
        <v>1727</v>
      </c>
    </row>
    <row r="128" spans="2:10">
      <c r="B128" s="1052" t="s">
        <v>1728</v>
      </c>
      <c r="C128" s="1036">
        <v>481034</v>
      </c>
      <c r="D128" s="1036">
        <v>150</v>
      </c>
      <c r="E128" s="110" t="s">
        <v>325</v>
      </c>
      <c r="F128" s="1036">
        <v>72155100</v>
      </c>
      <c r="G128" s="1036">
        <v>0.26200000000000001</v>
      </c>
      <c r="H128" s="1036">
        <f t="shared" ref="H128:H131" si="8">F128*G128/10^9</f>
        <v>1.8904636199999998E-2</v>
      </c>
      <c r="I128" s="1053" t="s">
        <v>96</v>
      </c>
      <c r="J128" s="97" t="s">
        <v>431</v>
      </c>
    </row>
    <row r="129" spans="2:10">
      <c r="B129" s="1052" t="s">
        <v>365</v>
      </c>
      <c r="C129" s="1036">
        <v>651073</v>
      </c>
      <c r="D129" s="1036">
        <v>82</v>
      </c>
      <c r="E129" s="110" t="s">
        <v>325</v>
      </c>
      <c r="F129" s="1036">
        <v>53387986</v>
      </c>
      <c r="G129" s="1036">
        <v>0.26200000000000001</v>
      </c>
      <c r="H129" s="1036">
        <f t="shared" si="8"/>
        <v>1.3987652332E-2</v>
      </c>
      <c r="I129" s="1053" t="s">
        <v>96</v>
      </c>
      <c r="J129" s="97" t="s">
        <v>431</v>
      </c>
    </row>
    <row r="130" spans="2:10">
      <c r="B130" s="1054" t="s">
        <v>366</v>
      </c>
      <c r="C130" s="1055">
        <v>510620</v>
      </c>
      <c r="D130" s="1055">
        <v>82</v>
      </c>
      <c r="E130" s="91" t="s">
        <v>325</v>
      </c>
      <c r="F130" s="1056">
        <v>41870840</v>
      </c>
      <c r="G130" s="1056">
        <v>0.26200000000000001</v>
      </c>
      <c r="H130" s="1056">
        <f t="shared" si="8"/>
        <v>1.0970160079999999E-2</v>
      </c>
      <c r="I130" s="1057" t="s">
        <v>96</v>
      </c>
      <c r="J130" s="97" t="s">
        <v>431</v>
      </c>
    </row>
    <row r="131" spans="2:10">
      <c r="C131" s="346"/>
      <c r="E131" s="1058" t="s">
        <v>1729</v>
      </c>
      <c r="F131" s="1059">
        <v>167413926</v>
      </c>
      <c r="G131" s="1060">
        <v>0.26200000000000001</v>
      </c>
      <c r="H131" s="1060">
        <f t="shared" si="8"/>
        <v>4.3862448612000005E-2</v>
      </c>
      <c r="I131" s="1061" t="s">
        <v>96</v>
      </c>
    </row>
    <row r="132" spans="2:10">
      <c r="B132" s="98" t="s">
        <v>1730</v>
      </c>
    </row>
    <row r="134" spans="2:10">
      <c r="B134" s="686" t="s">
        <v>1731</v>
      </c>
      <c r="C134" s="795">
        <f>SUM(C69:C70)/10^9+H116+H131</f>
        <v>0.422123648144</v>
      </c>
      <c r="D134" s="796" t="s">
        <v>96</v>
      </c>
    </row>
  </sheetData>
  <mergeCells count="20">
    <mergeCell ref="B5:D5"/>
    <mergeCell ref="F5:Q5"/>
    <mergeCell ref="F6:G6"/>
    <mergeCell ref="H6:Q6"/>
    <mergeCell ref="C7:D7"/>
    <mergeCell ref="F7:G8"/>
    <mergeCell ref="H7:Q8"/>
    <mergeCell ref="C8:D8"/>
    <mergeCell ref="C12:D12"/>
    <mergeCell ref="C14:D14"/>
    <mergeCell ref="B16:Q16"/>
    <mergeCell ref="C17:Q17"/>
    <mergeCell ref="C18:Q18"/>
    <mergeCell ref="C23:Q23"/>
    <mergeCell ref="C24:Q24"/>
    <mergeCell ref="D126:E126"/>
    <mergeCell ref="C19:Q19"/>
    <mergeCell ref="C20:Q20"/>
    <mergeCell ref="C21:Q21"/>
    <mergeCell ref="C22:Q22"/>
  </mergeCells>
  <conditionalFormatting sqref="C8">
    <cfRule type="containsText" dxfId="321" priority="20" operator="containsText" text="Calcul validé">
      <formula>NOT(ISERROR(SEARCH("Calcul validé",C8)))</formula>
    </cfRule>
  </conditionalFormatting>
  <conditionalFormatting sqref="C8">
    <cfRule type="containsText" dxfId="320" priority="19" operator="containsText" text="Bon ordre de grandeur">
      <formula>NOT(ISERROR(SEARCH("Bon ordre de grandeur",C8)))</formula>
    </cfRule>
  </conditionalFormatting>
  <conditionalFormatting sqref="C8">
    <cfRule type="containsText" dxfId="319" priority="18" operator="containsText" text="Calcul brouillon, ordre de grandeur">
      <formula>NOT(ISERROR(SEARCH("Calcul brouillon, ordre de grandeur",C8)))</formula>
    </cfRule>
  </conditionalFormatting>
  <conditionalFormatting sqref="C8">
    <cfRule type="containsText" dxfId="318" priority="17" operator="containsText" text="Pas ok">
      <formula>NOT(ISERROR(SEARCH("Pas ok",C8)))</formula>
    </cfRule>
  </conditionalFormatting>
  <conditionalFormatting sqref="C8">
    <cfRule type="containsText" dxfId="317" priority="16" operator="containsText" text="Calcul validé">
      <formula>NOT(ISERROR(SEARCH("Calcul validé",C8)))</formula>
    </cfRule>
  </conditionalFormatting>
  <conditionalFormatting sqref="C8">
    <cfRule type="containsText" dxfId="316" priority="15" operator="containsText" text="Calcul validé">
      <formula>NOT(ISERROR(SEARCH("Calcul validé",C8)))</formula>
    </cfRule>
  </conditionalFormatting>
  <conditionalFormatting sqref="C8">
    <cfRule type="containsText" dxfId="315" priority="14" operator="containsText" text="Bon ordre de grandeur">
      <formula>NOT(ISERROR(SEARCH("Bon ordre de grandeur",C8)))</formula>
    </cfRule>
  </conditionalFormatting>
  <conditionalFormatting sqref="C8">
    <cfRule type="containsText" dxfId="314" priority="13" operator="containsText" text="Calcul brouillon, ordre de grandeur">
      <formula>NOT(ISERROR(SEARCH("Calcul brouillon, ordre de grandeur",C8)))</formula>
    </cfRule>
  </conditionalFormatting>
  <conditionalFormatting sqref="C8">
    <cfRule type="containsText" dxfId="313" priority="12" operator="containsText" text="Pas ok">
      <formula>NOT(ISERROR(SEARCH("Pas ok",C8)))</formula>
    </cfRule>
  </conditionalFormatting>
  <conditionalFormatting sqref="C8:D8">
    <cfRule type="containsText" dxfId="312" priority="11" operator="containsText" text="Calcul brouillon, odg">
      <formula>NOT(ISERROR(SEARCH("Calcul brouillon, odg",C8)))</formula>
    </cfRule>
  </conditionalFormatting>
  <conditionalFormatting sqref="C14">
    <cfRule type="containsText" dxfId="311" priority="10" operator="containsText" text="Calcul validé">
      <formula>NOT(ISERROR(SEARCH("Calcul validé",C14)))</formula>
    </cfRule>
  </conditionalFormatting>
  <conditionalFormatting sqref="C14">
    <cfRule type="containsText" dxfId="310" priority="9" operator="containsText" text="Bon ordre de grandeur">
      <formula>NOT(ISERROR(SEARCH("Bon ordre de grandeur",C14)))</formula>
    </cfRule>
  </conditionalFormatting>
  <conditionalFormatting sqref="C14">
    <cfRule type="containsText" dxfId="309" priority="8" operator="containsText" text="Calcul brouillon, ordre de grandeur">
      <formula>NOT(ISERROR(SEARCH("Calcul brouillon, ordre de grandeur",C14)))</formula>
    </cfRule>
  </conditionalFormatting>
  <conditionalFormatting sqref="C14">
    <cfRule type="containsText" dxfId="308" priority="7" operator="containsText" text="Pas ok">
      <formula>NOT(ISERROR(SEARCH("Pas ok",C14)))</formula>
    </cfRule>
  </conditionalFormatting>
  <conditionalFormatting sqref="C14">
    <cfRule type="containsText" dxfId="307" priority="6" operator="containsText" text="Calcul validé">
      <formula>NOT(ISERROR(SEARCH("Calcul validé",C14)))</formula>
    </cfRule>
  </conditionalFormatting>
  <conditionalFormatting sqref="C14">
    <cfRule type="containsText" dxfId="306" priority="5" operator="containsText" text="Calcul validé">
      <formula>NOT(ISERROR(SEARCH("Calcul validé",C14)))</formula>
    </cfRule>
  </conditionalFormatting>
  <conditionalFormatting sqref="C14">
    <cfRule type="containsText" dxfId="305" priority="4" operator="containsText" text="Bon ordre de grandeur">
      <formula>NOT(ISERROR(SEARCH("Bon ordre de grandeur",C14)))</formula>
    </cfRule>
  </conditionalFormatting>
  <conditionalFormatting sqref="C14">
    <cfRule type="containsText" dxfId="304" priority="3" operator="containsText" text="Calcul brouillon, ordre de grandeur">
      <formula>NOT(ISERROR(SEARCH("Calcul brouillon, ordre de grandeur",C14)))</formula>
    </cfRule>
  </conditionalFormatting>
  <conditionalFormatting sqref="C14">
    <cfRule type="containsText" dxfId="303" priority="2" operator="containsText" text="Pas ok">
      <formula>NOT(ISERROR(SEARCH("Pas ok",C14)))</formula>
    </cfRule>
  </conditionalFormatting>
  <conditionalFormatting sqref="C14:D14">
    <cfRule type="containsText" dxfId="302" priority="1" operator="containsText" text="Calcul brouillon, odg">
      <formula>NOT(ISERROR(SEARCH("Calcul brouillon, odg",C14)))</formula>
    </cfRule>
  </conditionalFormatting>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1800-000000000000}">
          <x14:formula1>
            <xm:f>'Annexe 1'!$B$5:$B$8</xm:f>
          </x14:formula1>
          <xm:sqref>C8 C14</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48"/>
  <dimension ref="B5:B8"/>
  <sheetViews>
    <sheetView workbookViewId="0">
      <selection activeCell="C37" sqref="C37"/>
    </sheetView>
  </sheetViews>
  <sheetFormatPr baseColWidth="10" defaultRowHeight="14.4"/>
  <sheetData>
    <row r="5" spans="2:2">
      <c r="B5" s="1062" t="s">
        <v>1732</v>
      </c>
    </row>
    <row r="6" spans="2:2">
      <c r="B6" s="1063" t="s">
        <v>742</v>
      </c>
    </row>
    <row r="7" spans="2:2">
      <c r="B7" s="1064" t="s">
        <v>98</v>
      </c>
    </row>
    <row r="8" spans="2:2">
      <c r="B8" s="1065" t="s">
        <v>1733</v>
      </c>
    </row>
  </sheetData>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49"/>
  <dimension ref="B1:F105"/>
  <sheetViews>
    <sheetView zoomScale="70" workbookViewId="0">
      <pane ySplit="1" topLeftCell="A2" activePane="bottomLeft" state="frozen"/>
      <selection activeCell="C37" sqref="C37"/>
      <selection pane="bottomLeft"/>
    </sheetView>
  </sheetViews>
  <sheetFormatPr baseColWidth="10" defaultColWidth="10.77734375" defaultRowHeight="14.4"/>
  <cols>
    <col min="1" max="1" width="10.77734375" style="78"/>
    <col min="2" max="2" width="21.44140625" style="78" customWidth="1"/>
    <col min="3" max="3" width="30.44140625" style="78" customWidth="1"/>
    <col min="4" max="4" width="21.109375" style="78" customWidth="1"/>
    <col min="5" max="5" width="38.109375" style="78" customWidth="1"/>
    <col min="6" max="6" width="63.44140625" style="78" customWidth="1"/>
    <col min="7" max="16384" width="10.77734375" style="78"/>
  </cols>
  <sheetData>
    <row r="1" spans="2:3" ht="18">
      <c r="B1" s="57" t="s">
        <v>1734</v>
      </c>
    </row>
    <row r="3" spans="2:3">
      <c r="B3" s="98" t="s">
        <v>1735</v>
      </c>
    </row>
    <row r="4" spans="2:3">
      <c r="B4" s="215"/>
      <c r="C4" s="217" t="s">
        <v>251</v>
      </c>
    </row>
    <row r="5" spans="2:3" ht="28.8">
      <c r="B5" s="218" t="s">
        <v>252</v>
      </c>
      <c r="C5" s="260">
        <f>D67</f>
        <v>98433.71</v>
      </c>
    </row>
    <row r="6" spans="2:3">
      <c r="B6" s="261" t="s">
        <v>253</v>
      </c>
      <c r="C6" s="981">
        <f>F105</f>
        <v>50086.251713683101</v>
      </c>
    </row>
    <row r="8" spans="2:3">
      <c r="B8" s="98" t="s">
        <v>1736</v>
      </c>
    </row>
    <row r="10" spans="2:3">
      <c r="B10" t="s">
        <v>1737</v>
      </c>
    </row>
    <row r="39" spans="2:5">
      <c r="B39" t="s">
        <v>1738</v>
      </c>
    </row>
    <row r="40" spans="2:5">
      <c r="B40" t="s">
        <v>1739</v>
      </c>
    </row>
    <row r="41" spans="2:5">
      <c r="B41" s="431"/>
      <c r="D41" s="1066" t="s">
        <v>1740</v>
      </c>
      <c r="E41" s="1067" t="s">
        <v>130</v>
      </c>
    </row>
    <row r="42" spans="2:5" ht="14.55" customHeight="1">
      <c r="B42" s="1463" t="s">
        <v>1741</v>
      </c>
      <c r="C42" s="1464"/>
      <c r="D42" s="219">
        <v>9662</v>
      </c>
      <c r="E42" s="1068" t="s">
        <v>1742</v>
      </c>
    </row>
    <row r="43" spans="2:5" ht="14.55" customHeight="1">
      <c r="B43" s="1465" t="s">
        <v>1743</v>
      </c>
      <c r="C43" s="1069" t="s">
        <v>1744</v>
      </c>
      <c r="D43" s="219">
        <v>248.6</v>
      </c>
      <c r="E43" s="1068" t="s">
        <v>1745</v>
      </c>
    </row>
    <row r="44" spans="2:5" ht="43.2">
      <c r="B44" s="1466"/>
      <c r="C44" s="1069" t="s">
        <v>1746</v>
      </c>
      <c r="D44" s="219">
        <v>948</v>
      </c>
      <c r="E44" s="1068" t="s">
        <v>1745</v>
      </c>
    </row>
    <row r="45" spans="2:5" ht="43.2">
      <c r="B45" s="1466"/>
      <c r="C45" s="1069" t="s">
        <v>1747</v>
      </c>
      <c r="D45" s="219">
        <v>122</v>
      </c>
      <c r="E45" s="1068" t="s">
        <v>1745</v>
      </c>
    </row>
    <row r="46" spans="2:5" ht="43.2">
      <c r="B46" s="1466"/>
      <c r="C46" s="1069" t="s">
        <v>1748</v>
      </c>
      <c r="D46" s="219">
        <v>8534.6</v>
      </c>
      <c r="E46" s="1068" t="s">
        <v>1749</v>
      </c>
    </row>
    <row r="47" spans="2:5">
      <c r="B47" s="1466"/>
      <c r="C47" s="1069" t="s">
        <v>1750</v>
      </c>
      <c r="D47" s="219">
        <v>586</v>
      </c>
      <c r="E47" s="1068" t="s">
        <v>1745</v>
      </c>
    </row>
    <row r="48" spans="2:5" ht="72">
      <c r="B48" s="1466"/>
      <c r="C48" s="1069" t="s">
        <v>1751</v>
      </c>
      <c r="D48" s="219">
        <v>112</v>
      </c>
      <c r="E48" s="1068" t="s">
        <v>1745</v>
      </c>
    </row>
    <row r="49" spans="2:5" ht="57.6">
      <c r="B49" s="1466"/>
      <c r="C49" s="1069" t="s">
        <v>1752</v>
      </c>
      <c r="D49" s="219">
        <v>115</v>
      </c>
      <c r="E49" s="1068" t="s">
        <v>1753</v>
      </c>
    </row>
    <row r="50" spans="2:5">
      <c r="B50" s="1466"/>
      <c r="C50" s="1069" t="s">
        <v>1754</v>
      </c>
      <c r="D50" s="1468">
        <v>780</v>
      </c>
      <c r="E50" s="1470" t="s">
        <v>1755</v>
      </c>
    </row>
    <row r="51" spans="2:5" ht="14.55" customHeight="1">
      <c r="B51" s="1466"/>
      <c r="C51" s="1069" t="s">
        <v>1756</v>
      </c>
      <c r="D51" s="1469"/>
      <c r="E51" s="1471"/>
    </row>
    <row r="52" spans="2:5" ht="57.6">
      <c r="B52" s="1466"/>
      <c r="C52" s="1069" t="s">
        <v>1757</v>
      </c>
      <c r="D52" s="219">
        <v>8277.77</v>
      </c>
      <c r="E52" s="1068" t="s">
        <v>1758</v>
      </c>
    </row>
    <row r="53" spans="2:5" ht="43.2">
      <c r="B53" s="1467"/>
      <c r="C53" s="1069" t="s">
        <v>1759</v>
      </c>
      <c r="D53" s="219">
        <v>1298</v>
      </c>
      <c r="E53" s="1068" t="s">
        <v>1760</v>
      </c>
    </row>
    <row r="54" spans="2:5" ht="28.8">
      <c r="B54" s="1472" t="s">
        <v>1761</v>
      </c>
      <c r="C54" s="1069" t="s">
        <v>1761</v>
      </c>
      <c r="D54" s="219">
        <v>61150</v>
      </c>
      <c r="E54" s="1068" t="s">
        <v>1762</v>
      </c>
    </row>
    <row r="55" spans="2:5">
      <c r="B55" s="1472"/>
      <c r="C55" s="1070" t="s">
        <v>1763</v>
      </c>
      <c r="D55" s="219">
        <v>9350</v>
      </c>
      <c r="E55" s="1068" t="s">
        <v>1764</v>
      </c>
    </row>
    <row r="56" spans="2:5" ht="43.2">
      <c r="B56" s="1071" t="s">
        <v>1765</v>
      </c>
      <c r="C56" s="1069" t="s">
        <v>1766</v>
      </c>
      <c r="D56" s="219">
        <v>425</v>
      </c>
      <c r="E56" s="1068" t="s">
        <v>1745</v>
      </c>
    </row>
    <row r="57" spans="2:5" ht="28.8">
      <c r="B57" s="1472" t="s">
        <v>1767</v>
      </c>
      <c r="C57" s="1069" t="s">
        <v>1768</v>
      </c>
      <c r="D57" s="219">
        <v>95</v>
      </c>
      <c r="E57" s="1068" t="s">
        <v>1745</v>
      </c>
    </row>
    <row r="58" spans="2:5" ht="28.8">
      <c r="B58" s="1472"/>
      <c r="C58" s="1069" t="s">
        <v>1769</v>
      </c>
      <c r="D58" s="219">
        <v>47</v>
      </c>
      <c r="E58" s="1068" t="s">
        <v>1770</v>
      </c>
    </row>
    <row r="59" spans="2:5" ht="28.8">
      <c r="B59" s="1472"/>
      <c r="C59" s="1069" t="s">
        <v>1771</v>
      </c>
      <c r="D59" s="219">
        <v>37</v>
      </c>
      <c r="E59" s="1068" t="s">
        <v>1772</v>
      </c>
    </row>
    <row r="60" spans="2:5" ht="43.2">
      <c r="B60" s="1472"/>
      <c r="C60" s="1069" t="s">
        <v>1773</v>
      </c>
      <c r="D60" s="219">
        <v>144</v>
      </c>
      <c r="E60" s="1068" t="s">
        <v>1774</v>
      </c>
    </row>
    <row r="61" spans="2:5" ht="28.8">
      <c r="B61" s="1472"/>
      <c r="C61" s="1069" t="s">
        <v>1775</v>
      </c>
      <c r="D61" s="219">
        <v>135</v>
      </c>
      <c r="E61" s="1068" t="s">
        <v>1745</v>
      </c>
    </row>
    <row r="62" spans="2:5" ht="28.8">
      <c r="B62" s="1472"/>
      <c r="C62" s="1069" t="s">
        <v>1776</v>
      </c>
      <c r="D62" s="219">
        <v>0</v>
      </c>
      <c r="E62" s="220"/>
    </row>
    <row r="63" spans="2:5" ht="28.8">
      <c r="B63" s="1472"/>
      <c r="C63" s="1069" t="s">
        <v>1777</v>
      </c>
      <c r="D63" s="1072">
        <v>5240</v>
      </c>
      <c r="E63" s="1068" t="s">
        <v>1778</v>
      </c>
    </row>
    <row r="64" spans="2:5" ht="43.2">
      <c r="B64" s="1472"/>
      <c r="C64" s="1069" t="s">
        <v>1779</v>
      </c>
      <c r="D64" s="219">
        <v>8</v>
      </c>
      <c r="E64" s="1068" t="s">
        <v>1780</v>
      </c>
    </row>
    <row r="65" spans="2:6" ht="28.8">
      <c r="B65" s="1472" t="s">
        <v>1781</v>
      </c>
      <c r="C65" s="1069" t="s">
        <v>1782</v>
      </c>
      <c r="D65" s="219">
        <v>420.3</v>
      </c>
      <c r="E65" s="1068" t="s">
        <v>1745</v>
      </c>
    </row>
    <row r="66" spans="2:6" ht="100.8">
      <c r="B66" s="1472"/>
      <c r="C66" s="1069" t="s">
        <v>1783</v>
      </c>
      <c r="D66" s="219">
        <v>48.44</v>
      </c>
      <c r="E66" s="220" t="s">
        <v>1784</v>
      </c>
    </row>
    <row r="67" spans="2:6">
      <c r="B67" s="1461" t="s">
        <v>62</v>
      </c>
      <c r="C67" s="1462"/>
      <c r="D67" s="1073">
        <f>SUM(D42:D66)-D55</f>
        <v>98433.71</v>
      </c>
      <c r="E67" s="223"/>
    </row>
    <row r="70" spans="2:6">
      <c r="B70" s="98" t="s">
        <v>1785</v>
      </c>
    </row>
    <row r="71" spans="2:6">
      <c r="B71" s="98"/>
    </row>
    <row r="72" spans="2:6">
      <c r="B72" s="100" t="s">
        <v>123</v>
      </c>
    </row>
    <row r="73" spans="2:6">
      <c r="B73" t="s">
        <v>1786</v>
      </c>
    </row>
    <row r="75" spans="2:6" ht="28.8">
      <c r="B75" s="1074"/>
      <c r="C75" s="1075" t="s">
        <v>1787</v>
      </c>
      <c r="D75" s="1075" t="s">
        <v>1788</v>
      </c>
      <c r="E75" s="1075" t="s">
        <v>1789</v>
      </c>
      <c r="F75" s="1076" t="s">
        <v>130</v>
      </c>
    </row>
    <row r="76" spans="2:6" ht="37.950000000000003" customHeight="1">
      <c r="B76" s="1077" t="s">
        <v>1790</v>
      </c>
      <c r="C76" s="219">
        <v>51</v>
      </c>
      <c r="D76" s="219">
        <v>18</v>
      </c>
      <c r="E76" s="219">
        <v>31</v>
      </c>
      <c r="F76" s="1078" t="s">
        <v>1791</v>
      </c>
    </row>
    <row r="77" spans="2:6" ht="49.95" customHeight="1">
      <c r="B77" s="1077" t="s">
        <v>1792</v>
      </c>
      <c r="C77" s="1079">
        <v>0.85</v>
      </c>
      <c r="D77" s="1079">
        <v>0.5</v>
      </c>
      <c r="E77" s="1079">
        <v>0.31</v>
      </c>
      <c r="F77" s="1078" t="s">
        <v>1793</v>
      </c>
    </row>
    <row r="78" spans="2:6" ht="72">
      <c r="B78" s="1077" t="s">
        <v>1794</v>
      </c>
      <c r="C78" s="1079">
        <v>0.04</v>
      </c>
      <c r="D78" s="1079">
        <v>0.28000000000000003</v>
      </c>
      <c r="E78" s="1079">
        <v>0.22</v>
      </c>
      <c r="F78" s="1078" t="s">
        <v>1793</v>
      </c>
    </row>
    <row r="79" spans="2:6" ht="86.4">
      <c r="B79" s="1077" t="s">
        <v>1795</v>
      </c>
      <c r="C79" s="219">
        <f>C76*(C77+C78)</f>
        <v>45.39</v>
      </c>
      <c r="D79" s="219">
        <f t="shared" ref="D79:E79" si="0">D76*(D77+D78)</f>
        <v>14.040000000000001</v>
      </c>
      <c r="E79" s="219">
        <f t="shared" si="0"/>
        <v>16.43</v>
      </c>
      <c r="F79" s="220"/>
    </row>
    <row r="80" spans="2:6" ht="57.6">
      <c r="B80" s="1080" t="s">
        <v>1796</v>
      </c>
      <c r="C80" s="1081">
        <f>C79/SUM($C79:$E79)</f>
        <v>0.5983390456103348</v>
      </c>
      <c r="D80" s="1081">
        <f t="shared" ref="D80:E80" si="1">D79/SUM($C79:$E79)</f>
        <v>0.18507777484840496</v>
      </c>
      <c r="E80" s="1081">
        <f t="shared" si="1"/>
        <v>0.21658317954126022</v>
      </c>
      <c r="F80" s="223"/>
    </row>
    <row r="81" spans="2:4">
      <c r="B81" s="78" t="s">
        <v>1797</v>
      </c>
      <c r="C81" s="97" t="s">
        <v>1798</v>
      </c>
    </row>
    <row r="82" spans="2:4">
      <c r="C82" s="97" t="s">
        <v>1799</v>
      </c>
    </row>
    <row r="83" spans="2:4">
      <c r="C83" s="97" t="s">
        <v>1800</v>
      </c>
    </row>
    <row r="84" spans="2:4">
      <c r="C84" s="97" t="s">
        <v>1801</v>
      </c>
    </row>
    <row r="85" spans="2:4">
      <c r="C85" s="97"/>
    </row>
    <row r="86" spans="2:4">
      <c r="B86" s="100" t="s">
        <v>123</v>
      </c>
    </row>
    <row r="87" spans="2:4">
      <c r="B87" t="s">
        <v>1802</v>
      </c>
    </row>
    <row r="88" spans="2:4">
      <c r="B88" s="326"/>
      <c r="C88" s="326"/>
      <c r="D88" s="326"/>
    </row>
    <row r="89" spans="2:4">
      <c r="B89" s="1074"/>
      <c r="C89" s="1075" t="s">
        <v>1787</v>
      </c>
      <c r="D89" s="1076" t="s">
        <v>130</v>
      </c>
    </row>
    <row r="90" spans="2:4" ht="56.55" customHeight="1">
      <c r="B90" s="1077" t="s">
        <v>1803</v>
      </c>
      <c r="C90" s="219">
        <v>55000</v>
      </c>
      <c r="D90" s="1068" t="s">
        <v>1804</v>
      </c>
    </row>
    <row r="91" spans="2:4" ht="57.6">
      <c r="B91" s="1077" t="s">
        <v>1805</v>
      </c>
      <c r="C91" s="219">
        <v>0.27</v>
      </c>
      <c r="D91" s="1068" t="s">
        <v>1804</v>
      </c>
    </row>
    <row r="92" spans="2:4" ht="43.2">
      <c r="B92" s="1080" t="s">
        <v>1806</v>
      </c>
      <c r="C92" s="222">
        <f>C90*(1-C91)</f>
        <v>40150</v>
      </c>
      <c r="D92" s="223"/>
    </row>
    <row r="95" spans="2:4">
      <c r="B95" t="s">
        <v>1807</v>
      </c>
    </row>
    <row r="97" spans="2:6" ht="64.5" customHeight="1">
      <c r="B97" s="1082" t="s">
        <v>1808</v>
      </c>
      <c r="C97" s="1083">
        <f>C92*(C77+C78)</f>
        <v>35733.5</v>
      </c>
    </row>
    <row r="100" spans="2:6">
      <c r="B100" s="100" t="s">
        <v>123</v>
      </c>
    </row>
    <row r="101" spans="2:6">
      <c r="B101" t="s">
        <v>1809</v>
      </c>
    </row>
    <row r="102" spans="2:6">
      <c r="B102" t="s">
        <v>1810</v>
      </c>
    </row>
    <row r="104" spans="2:6" ht="28.8">
      <c r="B104" s="1074"/>
      <c r="C104" s="1075" t="s">
        <v>1787</v>
      </c>
      <c r="D104" s="1075" t="s">
        <v>1788</v>
      </c>
      <c r="E104" s="1075" t="s">
        <v>1789</v>
      </c>
      <c r="F104" s="1076" t="s">
        <v>119</v>
      </c>
    </row>
    <row r="105" spans="2:6" ht="72">
      <c r="B105" s="1080" t="s">
        <v>1808</v>
      </c>
      <c r="C105" s="1084">
        <f>C97</f>
        <v>35733.5</v>
      </c>
      <c r="D105" s="1084">
        <f>C105*D80</f>
        <v>6613.4766675454784</v>
      </c>
      <c r="E105" s="1084">
        <f>$C105*E80</f>
        <v>7739.2750461376218</v>
      </c>
      <c r="F105" s="1085">
        <f>SUM(C105:E105)</f>
        <v>50086.251713683101</v>
      </c>
    </row>
  </sheetData>
  <mergeCells count="8">
    <mergeCell ref="B67:C67"/>
    <mergeCell ref="B42:C42"/>
    <mergeCell ref="B43:B53"/>
    <mergeCell ref="D50:D51"/>
    <mergeCell ref="E50:E51"/>
    <mergeCell ref="B54:B55"/>
    <mergeCell ref="B57:B64"/>
    <mergeCell ref="B65:B66"/>
  </mergeCells>
  <hyperlinks>
    <hyperlink ref="E42" r:id="rId1" xr:uid="{00000000-0004-0000-1A00-000000000000}"/>
    <hyperlink ref="E43" r:id="rId2" xr:uid="{00000000-0004-0000-1A00-000001000000}"/>
    <hyperlink ref="E44" r:id="rId3" xr:uid="{00000000-0004-0000-1A00-000002000000}"/>
    <hyperlink ref="E45" r:id="rId4" xr:uid="{00000000-0004-0000-1A00-000003000000}"/>
    <hyperlink ref="E46" r:id="rId5" xr:uid="{00000000-0004-0000-1A00-000004000000}"/>
    <hyperlink ref="E48" r:id="rId6" xr:uid="{00000000-0004-0000-1A00-000005000000}"/>
    <hyperlink ref="E49" r:id="rId7" xr:uid="{00000000-0004-0000-1A00-000006000000}"/>
    <hyperlink ref="E50" r:id="rId8" xr:uid="{00000000-0004-0000-1A00-000007000000}"/>
    <hyperlink ref="E52" r:id="rId9" location="_Toc256000084" xr:uid="{00000000-0004-0000-1A00-000008000000}"/>
    <hyperlink ref="E53" r:id="rId10" xr:uid="{00000000-0004-0000-1A00-000009000000}"/>
    <hyperlink ref="E54" r:id="rId11" xr:uid="{00000000-0004-0000-1A00-00000A000000}"/>
    <hyperlink ref="E55" r:id="rId12" xr:uid="{00000000-0004-0000-1A00-00000B000000}"/>
    <hyperlink ref="E56" r:id="rId13" xr:uid="{00000000-0004-0000-1A00-00000C000000}"/>
    <hyperlink ref="E58" r:id="rId14" xr:uid="{00000000-0004-0000-1A00-00000D000000}"/>
    <hyperlink ref="E59" r:id="rId15" xr:uid="{00000000-0004-0000-1A00-00000E000000}"/>
    <hyperlink ref="E60" r:id="rId16" xr:uid="{00000000-0004-0000-1A00-00000F000000}"/>
    <hyperlink ref="E61" r:id="rId17" xr:uid="{00000000-0004-0000-1A00-000010000000}"/>
    <hyperlink ref="E63" r:id="rId18" xr:uid="{00000000-0004-0000-1A00-000011000000}"/>
    <hyperlink ref="E64" r:id="rId19" xr:uid="{00000000-0004-0000-1A00-000012000000}"/>
    <hyperlink ref="F76" r:id="rId20" xr:uid="{00000000-0004-0000-1A00-000013000000}"/>
    <hyperlink ref="F77" r:id="rId21" xr:uid="{00000000-0004-0000-1A00-000014000000}"/>
    <hyperlink ref="F78" r:id="rId22" xr:uid="{00000000-0004-0000-1A00-000015000000}"/>
    <hyperlink ref="D90" r:id="rId23" xr:uid="{00000000-0004-0000-1A00-000016000000}"/>
    <hyperlink ref="D91" r:id="rId24" xr:uid="{00000000-0004-0000-1A00-000017000000}"/>
  </hyperlinks>
  <pageMargins left="0.7" right="0.7" top="0.75" bottom="0.75" header="0.3" footer="0.3"/>
  <pageSetup paperSize="9" orientation="portrait"/>
  <drawing r:id="rId25"/>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56">
    <tabColor indexed="2"/>
  </sheetPr>
  <dimension ref="B2:L54"/>
  <sheetViews>
    <sheetView zoomScale="60" workbookViewId="0">
      <selection activeCell="C37" sqref="C37"/>
    </sheetView>
  </sheetViews>
  <sheetFormatPr baseColWidth="10" defaultColWidth="11.44140625" defaultRowHeight="15.6"/>
  <cols>
    <col min="1" max="1" width="11.44140625" style="1086"/>
    <col min="2" max="2" width="49.44140625" style="1086" customWidth="1"/>
    <col min="3" max="3" width="24.44140625" style="1086" customWidth="1"/>
    <col min="4" max="4" width="25.77734375" style="1086" customWidth="1"/>
    <col min="5" max="5" width="106.109375" style="1086" customWidth="1"/>
    <col min="6" max="6" width="49.44140625" style="1086" customWidth="1"/>
    <col min="7" max="7" width="46.44140625" style="1086" customWidth="1"/>
    <col min="8" max="9" width="25.77734375" style="1086" customWidth="1"/>
    <col min="10" max="16384" width="11.44140625" style="1086"/>
  </cols>
  <sheetData>
    <row r="2" spans="2:9" ht="18">
      <c r="B2" s="1087" t="s">
        <v>30</v>
      </c>
    </row>
    <row r="5" spans="2:9">
      <c r="B5" s="1487" t="s">
        <v>1811</v>
      </c>
      <c r="C5" s="1488"/>
      <c r="D5" s="1489"/>
      <c r="F5" s="1487" t="s">
        <v>1812</v>
      </c>
      <c r="G5" s="1488"/>
      <c r="H5" s="1489"/>
    </row>
    <row r="6" spans="2:9">
      <c r="B6" s="1088" t="s">
        <v>64</v>
      </c>
      <c r="C6" s="1089">
        <f>'1'!C6+'6'!C6+'7'!C6</f>
        <v>5.2742078285065208</v>
      </c>
      <c r="D6" s="1090" t="s">
        <v>65</v>
      </c>
      <c r="F6" s="1088" t="s">
        <v>64</v>
      </c>
      <c r="G6" s="1089">
        <f>D37</f>
        <v>0.77135718385702334</v>
      </c>
      <c r="H6" s="1090" t="s">
        <v>65</v>
      </c>
    </row>
    <row r="7" spans="2:9">
      <c r="B7" s="1091" t="s">
        <v>68</v>
      </c>
      <c r="C7" s="1490" t="str">
        <f>'1'!C7</f>
        <v>v1.0.f</v>
      </c>
      <c r="D7" s="1491"/>
      <c r="F7" s="1091" t="s">
        <v>1813</v>
      </c>
      <c r="G7" s="1492">
        <f>D39</f>
        <v>-0.85374918680907474</v>
      </c>
      <c r="H7" s="1491"/>
    </row>
    <row r="8" spans="2:9">
      <c r="B8" s="1092" t="s">
        <v>28</v>
      </c>
      <c r="C8" s="1493" t="s">
        <v>98</v>
      </c>
      <c r="D8" s="1494"/>
      <c r="F8" s="1092" t="s">
        <v>28</v>
      </c>
      <c r="G8" s="1493" t="s">
        <v>98</v>
      </c>
      <c r="H8" s="1494"/>
    </row>
    <row r="9" spans="2:9">
      <c r="D9" s="1093"/>
      <c r="E9" s="1093"/>
    </row>
    <row r="13" spans="2:9">
      <c r="C13" s="1481" t="s">
        <v>1814</v>
      </c>
      <c r="D13" s="1482"/>
      <c r="E13" s="1483"/>
    </row>
    <row r="14" spans="2:9">
      <c r="C14" s="1473">
        <v>2020</v>
      </c>
      <c r="D14" s="1474"/>
      <c r="E14" s="1475"/>
    </row>
    <row r="15" spans="2:9" ht="46.8">
      <c r="C15" s="1094" t="s">
        <v>1815</v>
      </c>
      <c r="D15" s="1095">
        <f>SUM(D16:D19)</f>
        <v>31031.030172212199</v>
      </c>
      <c r="E15" s="1096"/>
    </row>
    <row r="16" spans="2:9" ht="31.2">
      <c r="C16" s="1094" t="s">
        <v>1816</v>
      </c>
      <c r="D16" s="1095">
        <f>SUM(F45:F46)</f>
        <v>12683.815341013713</v>
      </c>
      <c r="E16" s="1096"/>
      <c r="G16" s="1473">
        <v>2020</v>
      </c>
      <c r="H16" s="1474"/>
      <c r="I16" s="1475"/>
    </row>
    <row r="17" spans="3:12" ht="31.2">
      <c r="C17" s="1094" t="s">
        <v>1817</v>
      </c>
      <c r="D17" s="1095">
        <f>D47</f>
        <v>5227.6092677490506</v>
      </c>
      <c r="E17" s="1096"/>
      <c r="G17" s="1484" t="s">
        <v>1818</v>
      </c>
      <c r="H17" s="1485"/>
      <c r="I17" s="1486"/>
    </row>
    <row r="18" spans="3:12" ht="31.2">
      <c r="C18" s="1097" t="s">
        <v>1819</v>
      </c>
      <c r="D18" s="1098">
        <f>E47</f>
        <v>10560.057329229159</v>
      </c>
      <c r="E18" s="1099"/>
      <c r="G18" s="1100" t="s">
        <v>1820</v>
      </c>
      <c r="H18" s="1101" t="s">
        <v>1821</v>
      </c>
      <c r="I18" s="1102" t="s">
        <v>1822</v>
      </c>
    </row>
    <row r="19" spans="3:12" ht="31.2">
      <c r="C19" s="1097" t="s">
        <v>1823</v>
      </c>
      <c r="D19" s="1098">
        <f>G47</f>
        <v>2559.5482342202786</v>
      </c>
      <c r="E19" s="1099" t="s">
        <v>1824</v>
      </c>
      <c r="G19" s="1103" t="s">
        <v>108</v>
      </c>
      <c r="H19" s="1104">
        <f>D18</f>
        <v>10560.057329229159</v>
      </c>
      <c r="I19" s="1105">
        <f>H19/$H$23</f>
        <v>0.34030637302803834</v>
      </c>
    </row>
    <row r="20" spans="3:12" ht="62.4">
      <c r="C20" s="1106" t="s">
        <v>1825</v>
      </c>
      <c r="D20" s="1107">
        <f>'6'!B133</f>
        <v>6.0699999999999997E-2</v>
      </c>
      <c r="E20" s="1099" t="s">
        <v>1826</v>
      </c>
      <c r="G20" s="1108" t="s">
        <v>109</v>
      </c>
      <c r="H20" s="1109">
        <f>D17</f>
        <v>5227.6092677490506</v>
      </c>
      <c r="I20" s="1110">
        <f>H20/H23</f>
        <v>0.16846392912956826</v>
      </c>
    </row>
    <row r="21" spans="3:12" ht="31.2">
      <c r="C21" s="1106" t="s">
        <v>1827</v>
      </c>
      <c r="D21" s="1111">
        <v>0.32400000000000001</v>
      </c>
      <c r="E21" s="1099" t="s">
        <v>1826</v>
      </c>
      <c r="G21" s="1108" t="s">
        <v>111</v>
      </c>
      <c r="H21" s="1109">
        <f>D19</f>
        <v>2559.5482342202786</v>
      </c>
      <c r="I21" s="1110">
        <f>H21/H23</f>
        <v>8.248350828237451E-2</v>
      </c>
    </row>
    <row r="22" spans="3:12" ht="31.2">
      <c r="C22" s="1106" t="s">
        <v>1828</v>
      </c>
      <c r="D22" s="1111">
        <v>0.22700000000000001</v>
      </c>
      <c r="E22" s="1099" t="s">
        <v>1826</v>
      </c>
      <c r="G22" s="1108" t="s">
        <v>1829</v>
      </c>
      <c r="H22" s="1109">
        <f>D16</f>
        <v>12683.815341013713</v>
      </c>
      <c r="I22" s="1110">
        <f>H22/H23</f>
        <v>0.40874618956001885</v>
      </c>
    </row>
    <row r="23" spans="3:12" ht="46.8">
      <c r="C23" s="1106" t="s">
        <v>1830</v>
      </c>
      <c r="D23" s="1111">
        <v>3.04E-2</v>
      </c>
      <c r="E23" s="1099" t="s">
        <v>1826</v>
      </c>
      <c r="G23" s="1112" t="s">
        <v>119</v>
      </c>
      <c r="H23" s="1113">
        <f>SUM(H19:H22)</f>
        <v>31031.030172212202</v>
      </c>
      <c r="I23" s="1114">
        <f>SUM(I19:I22)</f>
        <v>1</v>
      </c>
    </row>
    <row r="24" spans="3:12" ht="28.8">
      <c r="C24" s="1115" t="s">
        <v>1831</v>
      </c>
      <c r="D24" s="1116">
        <f>C6</f>
        <v>5.2742078285065208</v>
      </c>
      <c r="E24" s="1117"/>
    </row>
    <row r="25" spans="3:12">
      <c r="C25" s="1478" t="s">
        <v>1832</v>
      </c>
      <c r="D25" s="1479"/>
      <c r="E25" s="1480"/>
      <c r="L25" s="1118"/>
    </row>
    <row r="26" spans="3:12">
      <c r="C26" s="1119" t="s">
        <v>1833</v>
      </c>
      <c r="D26" s="1120"/>
      <c r="E26" s="1121"/>
      <c r="G26" s="1086" t="s">
        <v>1834</v>
      </c>
    </row>
    <row r="27" spans="3:12" ht="15.45" customHeight="1">
      <c r="C27" s="1119" t="s">
        <v>1835</v>
      </c>
      <c r="D27" s="1120"/>
      <c r="E27" s="1121"/>
      <c r="G27" s="325" t="s">
        <v>1836</v>
      </c>
    </row>
    <row r="28" spans="3:12" ht="15.45" customHeight="1">
      <c r="C28" s="1119" t="s">
        <v>1837</v>
      </c>
      <c r="D28" s="1120"/>
      <c r="E28" s="1121"/>
      <c r="G28" s="1473">
        <v>2050</v>
      </c>
      <c r="H28" s="1474"/>
      <c r="I28" s="1475"/>
      <c r="K28" s="325"/>
    </row>
    <row r="29" spans="3:12" ht="16.05" customHeight="1">
      <c r="C29" s="1122" t="s">
        <v>1838</v>
      </c>
      <c r="D29" s="1123"/>
      <c r="E29" s="1124"/>
      <c r="G29" s="1476" t="s">
        <v>1818</v>
      </c>
      <c r="H29" s="1477"/>
      <c r="I29" s="1477"/>
    </row>
    <row r="30" spans="3:12" ht="15.45" customHeight="1">
      <c r="C30" s="1478">
        <v>2050</v>
      </c>
      <c r="D30" s="1479"/>
      <c r="E30" s="1480"/>
      <c r="G30" s="1100" t="s">
        <v>1839</v>
      </c>
      <c r="H30" s="1101" t="s">
        <v>1840</v>
      </c>
      <c r="I30" s="1102" t="s">
        <v>1822</v>
      </c>
    </row>
    <row r="31" spans="3:12" ht="109.2">
      <c r="C31" s="1106" t="s">
        <v>1841</v>
      </c>
      <c r="D31" s="1125">
        <v>0.4</v>
      </c>
      <c r="E31" s="1126" t="s">
        <v>1842</v>
      </c>
      <c r="G31" s="1108" t="s">
        <v>108</v>
      </c>
      <c r="H31" s="1110"/>
      <c r="I31" s="911">
        <v>5.1299999999999998E-2</v>
      </c>
    </row>
    <row r="32" spans="3:12" ht="80.25" customHeight="1">
      <c r="C32" s="1106" t="s">
        <v>1843</v>
      </c>
      <c r="D32" s="1127">
        <f>D15*D31</f>
        <v>12412.41206888488</v>
      </c>
      <c r="E32" s="1126" t="s">
        <v>1844</v>
      </c>
      <c r="G32" s="1108" t="s">
        <v>109</v>
      </c>
      <c r="H32" s="1110"/>
      <c r="I32" s="911">
        <v>0</v>
      </c>
    </row>
    <row r="33" spans="3:9" ht="31.2">
      <c r="C33" s="1106" t="s">
        <v>1816</v>
      </c>
      <c r="D33" s="1128">
        <f>D32*I34</f>
        <v>8872.3921468389126</v>
      </c>
      <c r="E33" s="1129"/>
      <c r="G33" s="1108" t="s">
        <v>111</v>
      </c>
      <c r="H33" s="1110"/>
      <c r="I33" s="911">
        <v>0.2339</v>
      </c>
    </row>
    <row r="34" spans="3:9" ht="31.2">
      <c r="C34" s="1106" t="s">
        <v>1817</v>
      </c>
      <c r="D34" s="1128">
        <f>D32*I32</f>
        <v>0</v>
      </c>
      <c r="E34" s="1129"/>
      <c r="G34" s="1108" t="s">
        <v>204</v>
      </c>
      <c r="H34" s="1110"/>
      <c r="I34" s="911">
        <f>19.76%+51.72%</f>
        <v>0.71479999999999999</v>
      </c>
    </row>
    <row r="35" spans="3:9" ht="31.2">
      <c r="C35" s="1106" t="s">
        <v>1819</v>
      </c>
      <c r="D35" s="1128">
        <f>D32*I31</f>
        <v>636.75673913379433</v>
      </c>
      <c r="E35" s="1129"/>
      <c r="G35" s="1112" t="s">
        <v>119</v>
      </c>
      <c r="H35" s="1114"/>
      <c r="I35" s="1130">
        <f>SUM(I31:I34)</f>
        <v>1</v>
      </c>
    </row>
    <row r="36" spans="3:9" ht="31.2">
      <c r="C36" s="1106" t="s">
        <v>1823</v>
      </c>
      <c r="D36" s="1128">
        <f>D32*I33</f>
        <v>2903.2631829121733</v>
      </c>
      <c r="E36" s="1126"/>
    </row>
    <row r="37" spans="3:9" ht="28.8">
      <c r="C37" s="1131" t="s">
        <v>1831</v>
      </c>
      <c r="D37" s="1132">
        <f>(D33*D20+D34*D21+D35*D22+D36*D23)*10^6/10^9</f>
        <v>0.77135718385702334</v>
      </c>
      <c r="E37" s="1126"/>
    </row>
    <row r="38" spans="3:9">
      <c r="C38" s="1131" t="s">
        <v>1845</v>
      </c>
      <c r="D38" s="1133">
        <f>D37/D24</f>
        <v>0.14625081319092537</v>
      </c>
      <c r="E38" s="1126"/>
    </row>
    <row r="39" spans="3:9">
      <c r="C39" s="1134" t="s">
        <v>1846</v>
      </c>
      <c r="D39" s="1135">
        <f>(D37-D24)/D24</f>
        <v>-0.85374918680907474</v>
      </c>
      <c r="E39" s="1136"/>
    </row>
    <row r="40" spans="3:9">
      <c r="C40" s="1086" t="s">
        <v>1847</v>
      </c>
    </row>
    <row r="43" spans="3:9">
      <c r="C43" s="1476" t="s">
        <v>1848</v>
      </c>
      <c r="D43" s="1477"/>
      <c r="E43" s="1477"/>
      <c r="F43" s="1477"/>
      <c r="G43" s="1477"/>
      <c r="H43" s="1477"/>
    </row>
    <row r="44" spans="3:9" ht="28.8">
      <c r="C44" s="1137"/>
      <c r="D44" s="1138" t="s">
        <v>1849</v>
      </c>
      <c r="E44" s="1138" t="s">
        <v>1850</v>
      </c>
      <c r="F44" s="1138" t="s">
        <v>1851</v>
      </c>
      <c r="G44" s="1138" t="s">
        <v>1852</v>
      </c>
      <c r="H44" s="1139" t="s">
        <v>1853</v>
      </c>
    </row>
    <row r="45" spans="3:9" ht="28.8">
      <c r="C45" s="1140" t="s">
        <v>1854</v>
      </c>
      <c r="D45" s="1141">
        <f>'1'!D79+'1'!D80+'1'!D83</f>
        <v>2775.8710566476338</v>
      </c>
      <c r="E45" s="1141">
        <f>'1'!F69+'1'!F70+'1'!F73</f>
        <v>6265.3629960565486</v>
      </c>
      <c r="F45" s="1142">
        <f>SUM('6'!D69:D74)-'6'!D71</f>
        <v>6634.3267288251627</v>
      </c>
      <c r="G45" s="1142">
        <f>'1'!D74+'1'!D75+'1'!D78+'1'!D84+'1'!D85+'1'!D88+'7'!D68+'7'!D69</f>
        <v>1021.459731287146</v>
      </c>
      <c r="H45" s="1143">
        <f t="shared" ref="H45:H46" si="0">(D45*$D$21+E45*$D$22+G45*$D$23)/1000</f>
        <v>2.3526719982897992</v>
      </c>
    </row>
    <row r="46" spans="3:9" ht="28.8">
      <c r="C46" s="1144" t="s">
        <v>1855</v>
      </c>
      <c r="D46" s="1141">
        <f>'1'!C172/10^6</f>
        <v>2451.7382111014167</v>
      </c>
      <c r="E46" s="1141">
        <f>'1'!C173/10^6</f>
        <v>4294.6943331726106</v>
      </c>
      <c r="F46" s="1142">
        <f>'6'!C129*(1-'6'!C143)/10^6</f>
        <v>6049.4886121885502</v>
      </c>
      <c r="G46" s="1142">
        <f>('1'!C174/10^6)*(1-'1'!C196)+'7'!D98+'7'!D99</f>
        <v>1538.0885029331325</v>
      </c>
      <c r="H46" s="1143">
        <f t="shared" si="0"/>
        <v>1.8160166845162091</v>
      </c>
    </row>
    <row r="47" spans="3:9">
      <c r="C47" s="1145" t="s">
        <v>119</v>
      </c>
      <c r="D47" s="1146">
        <f>SUM(D45:D46)</f>
        <v>5227.6092677490506</v>
      </c>
      <c r="E47" s="1146">
        <f>SUM(E45:E46)</f>
        <v>10560.057329229159</v>
      </c>
      <c r="F47" s="1147">
        <f>SUM(F45:F46)</f>
        <v>12683.815341013713</v>
      </c>
      <c r="G47" s="1146">
        <f>SUM(G45:G46)</f>
        <v>2559.5482342202786</v>
      </c>
      <c r="H47" s="1148">
        <f>SUM(H45:H46)</f>
        <v>4.1686886828060086</v>
      </c>
    </row>
    <row r="54" spans="4:4">
      <c r="D54" s="1149"/>
    </row>
  </sheetData>
  <mergeCells count="15">
    <mergeCell ref="B5:D5"/>
    <mergeCell ref="F5:H5"/>
    <mergeCell ref="C7:D7"/>
    <mergeCell ref="G7:H7"/>
    <mergeCell ref="C8:D8"/>
    <mergeCell ref="G8:H8"/>
    <mergeCell ref="G28:I28"/>
    <mergeCell ref="G29:I29"/>
    <mergeCell ref="C30:E30"/>
    <mergeCell ref="C43:H43"/>
    <mergeCell ref="C13:E13"/>
    <mergeCell ref="C14:E14"/>
    <mergeCell ref="G16:I16"/>
    <mergeCell ref="G17:I17"/>
    <mergeCell ref="C25:E25"/>
  </mergeCells>
  <conditionalFormatting sqref="C8:D8 D44:D46 D47:E47 G47">
    <cfRule type="containsText" dxfId="301" priority="32" operator="containsText" text="Calcul brouillon, odg">
      <formula>NOT(ISERROR(SEARCH("Calcul brouillon, odg",C8)))</formula>
    </cfRule>
  </conditionalFormatting>
  <conditionalFormatting sqref="C8">
    <cfRule type="containsText" dxfId="300" priority="31" operator="containsText" text="Calcul validé">
      <formula>NOT(ISERROR(SEARCH("Calcul validé",C8)))</formula>
    </cfRule>
  </conditionalFormatting>
  <conditionalFormatting sqref="C8">
    <cfRule type="containsText" dxfId="299" priority="30" operator="containsText" text="Bon ordre de grandeur">
      <formula>NOT(ISERROR(SEARCH("Bon ordre de grandeur",C8)))</formula>
    </cfRule>
  </conditionalFormatting>
  <conditionalFormatting sqref="C8">
    <cfRule type="containsText" dxfId="298" priority="29" operator="containsText" text="Calcul brouillon, ordre de grandeur">
      <formula>NOT(ISERROR(SEARCH("Calcul brouillon, ordre de grandeur",C8)))</formula>
    </cfRule>
  </conditionalFormatting>
  <conditionalFormatting sqref="C8">
    <cfRule type="containsText" dxfId="297" priority="28" operator="containsText" text="Pas ok">
      <formula>NOT(ISERROR(SEARCH("Pas ok",C8)))</formula>
    </cfRule>
  </conditionalFormatting>
  <conditionalFormatting sqref="C8">
    <cfRule type="containsText" dxfId="296" priority="27" operator="containsText" text="Calcul validé">
      <formula>NOT(ISERROR(SEARCH("Calcul validé",C8)))</formula>
    </cfRule>
  </conditionalFormatting>
  <conditionalFormatting sqref="C8">
    <cfRule type="containsText" dxfId="295" priority="26" operator="containsText" text="Calcul validé">
      <formula>NOT(ISERROR(SEARCH("Calcul validé",C8)))</formula>
    </cfRule>
  </conditionalFormatting>
  <conditionalFormatting sqref="C8">
    <cfRule type="containsText" dxfId="294" priority="25" operator="containsText" text="Bon ordre de grandeur">
      <formula>NOT(ISERROR(SEARCH("Bon ordre de grandeur",C8)))</formula>
    </cfRule>
  </conditionalFormatting>
  <conditionalFormatting sqref="C8">
    <cfRule type="containsText" dxfId="293" priority="24" operator="containsText" text="Calcul brouillon, ordre de grandeur">
      <formula>NOT(ISERROR(SEARCH("Calcul brouillon, ordre de grandeur",C8)))</formula>
    </cfRule>
  </conditionalFormatting>
  <conditionalFormatting sqref="C8">
    <cfRule type="containsText" dxfId="292" priority="23" operator="containsText" text="Pas ok">
      <formula>NOT(ISERROR(SEARCH("Pas ok",C8)))</formula>
    </cfRule>
  </conditionalFormatting>
  <conditionalFormatting sqref="D9:E9">
    <cfRule type="containsText" dxfId="291" priority="22" operator="containsText" text="Calcul brouillon, odg">
      <formula>NOT(ISERROR(SEARCH("Calcul brouillon, odg",D9)))</formula>
    </cfRule>
  </conditionalFormatting>
  <conditionalFormatting sqref="D9">
    <cfRule type="containsText" dxfId="290" priority="21" operator="containsText" text="Calcul validé">
      <formula>NOT(ISERROR(SEARCH("Calcul validé",D9)))</formula>
    </cfRule>
  </conditionalFormatting>
  <conditionalFormatting sqref="D9">
    <cfRule type="containsText" dxfId="289" priority="20" operator="containsText" text="Bon ordre de grandeur">
      <formula>NOT(ISERROR(SEARCH("Bon ordre de grandeur",D9)))</formula>
    </cfRule>
  </conditionalFormatting>
  <conditionalFormatting sqref="D9">
    <cfRule type="containsText" dxfId="288" priority="19" operator="containsText" text="Calcul brouillon, ordre de grandeur">
      <formula>NOT(ISERROR(SEARCH("Calcul brouillon, ordre de grandeur",D9)))</formula>
    </cfRule>
  </conditionalFormatting>
  <conditionalFormatting sqref="D9">
    <cfRule type="containsText" dxfId="287" priority="18" operator="containsText" text="Pas ok">
      <formula>NOT(ISERROR(SEARCH("Pas ok",D9)))</formula>
    </cfRule>
  </conditionalFormatting>
  <conditionalFormatting sqref="D9">
    <cfRule type="containsText" dxfId="286" priority="17" operator="containsText" text="Calcul validé">
      <formula>NOT(ISERROR(SEARCH("Calcul validé",D9)))</formula>
    </cfRule>
  </conditionalFormatting>
  <conditionalFormatting sqref="D9">
    <cfRule type="containsText" dxfId="285" priority="16" operator="containsText" text="Calcul validé">
      <formula>NOT(ISERROR(SEARCH("Calcul validé",D9)))</formula>
    </cfRule>
  </conditionalFormatting>
  <conditionalFormatting sqref="D9">
    <cfRule type="containsText" dxfId="284" priority="15" operator="containsText" text="Bon ordre de grandeur">
      <formula>NOT(ISERROR(SEARCH("Bon ordre de grandeur",D9)))</formula>
    </cfRule>
  </conditionalFormatting>
  <conditionalFormatting sqref="D9">
    <cfRule type="containsText" dxfId="283" priority="14" operator="containsText" text="Calcul brouillon, ordre de grandeur">
      <formula>NOT(ISERROR(SEARCH("Calcul brouillon, ordre de grandeur",D9)))</formula>
    </cfRule>
  </conditionalFormatting>
  <conditionalFormatting sqref="D9">
    <cfRule type="containsText" dxfId="282" priority="13" operator="containsText" text="Pas ok">
      <formula>NOT(ISERROR(SEARCH("Pas ok",D9)))</formula>
    </cfRule>
  </conditionalFormatting>
  <conditionalFormatting sqref="G8:H8">
    <cfRule type="containsText" dxfId="281" priority="12" operator="containsText" text="Calcul brouillon, odg">
      <formula>NOT(ISERROR(SEARCH("Calcul brouillon, odg",G8)))</formula>
    </cfRule>
  </conditionalFormatting>
  <conditionalFormatting sqref="G8">
    <cfRule type="containsText" dxfId="280" priority="11" operator="containsText" text="Calcul validé">
      <formula>NOT(ISERROR(SEARCH("Calcul validé",G8)))</formula>
    </cfRule>
  </conditionalFormatting>
  <conditionalFormatting sqref="G8">
    <cfRule type="containsText" dxfId="279" priority="10" operator="containsText" text="Bon ordre de grandeur">
      <formula>NOT(ISERROR(SEARCH("Bon ordre de grandeur",G8)))</formula>
    </cfRule>
  </conditionalFormatting>
  <conditionalFormatting sqref="G8">
    <cfRule type="containsText" dxfId="278" priority="9" operator="containsText" text="Calcul brouillon, ordre de grandeur">
      <formula>NOT(ISERROR(SEARCH("Calcul brouillon, ordre de grandeur",G8)))</formula>
    </cfRule>
  </conditionalFormatting>
  <conditionalFormatting sqref="G8">
    <cfRule type="containsText" dxfId="277" priority="8" operator="containsText" text="Pas ok">
      <formula>NOT(ISERROR(SEARCH("Pas ok",G8)))</formula>
    </cfRule>
  </conditionalFormatting>
  <conditionalFormatting sqref="G8">
    <cfRule type="containsText" dxfId="276" priority="7" operator="containsText" text="Calcul validé">
      <formula>NOT(ISERROR(SEARCH("Calcul validé",G8)))</formula>
    </cfRule>
  </conditionalFormatting>
  <conditionalFormatting sqref="G8">
    <cfRule type="containsText" dxfId="275" priority="6" operator="containsText" text="Calcul validé">
      <formula>NOT(ISERROR(SEARCH("Calcul validé",G8)))</formula>
    </cfRule>
  </conditionalFormatting>
  <conditionalFormatting sqref="G8">
    <cfRule type="containsText" dxfId="274" priority="5" operator="containsText" text="Bon ordre de grandeur">
      <formula>NOT(ISERROR(SEARCH("Bon ordre de grandeur",G8)))</formula>
    </cfRule>
  </conditionalFormatting>
  <conditionalFormatting sqref="G8">
    <cfRule type="containsText" dxfId="273" priority="4" operator="containsText" text="Calcul brouillon, ordre de grandeur">
      <formula>NOT(ISERROR(SEARCH("Calcul brouillon, ordre de grandeur",G8)))</formula>
    </cfRule>
  </conditionalFormatting>
  <conditionalFormatting sqref="G8">
    <cfRule type="containsText" dxfId="272" priority="3" operator="containsText" text="Pas ok">
      <formula>NOT(ISERROR(SEARCH("Pas ok",G8)))</formula>
    </cfRule>
  </conditionalFormatting>
  <conditionalFormatting sqref="F47">
    <cfRule type="containsText" dxfId="271" priority="1" operator="containsText" text="Calcul brouillon, odg">
      <formula>NOT(ISERROR(SEARCH("Calcul brouillon, odg",F47)))</formula>
    </cfRule>
  </conditionalFormatting>
  <hyperlinks>
    <hyperlink ref="G27" r:id="rId1" xr:uid="{00000000-0004-0000-1B00-000000000000}"/>
  </hyperlinks>
  <pageMargins left="0.7" right="0.7" top="0.75" bottom="0.75" header="0.3" footer="0.3"/>
  <pageSetup paperSize="9" orientation="portrait"/>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57">
    <tabColor theme="7" tint="0.39997558519241921"/>
  </sheetPr>
  <dimension ref="B2:H38"/>
  <sheetViews>
    <sheetView topLeftCell="A6" workbookViewId="0">
      <selection activeCell="C33" sqref="C33:E36"/>
    </sheetView>
  </sheetViews>
  <sheetFormatPr baseColWidth="10" defaultColWidth="11.44140625" defaultRowHeight="10.199999999999999"/>
  <cols>
    <col min="1" max="1" width="11.44140625" style="1150"/>
    <col min="2" max="2" width="36.44140625" style="1150" bestFit="1" customWidth="1"/>
    <col min="3" max="3" width="35.77734375" style="1150" bestFit="1" customWidth="1"/>
    <col min="4" max="4" width="8.44140625" style="1150" bestFit="1" customWidth="1"/>
    <col min="5" max="5" width="105.44140625" style="1150" bestFit="1" customWidth="1"/>
    <col min="6" max="6" width="19.109375" style="1150" bestFit="1" customWidth="1"/>
    <col min="7" max="7" width="5.6640625" style="1150" bestFit="1" customWidth="1"/>
    <col min="8" max="8" width="8.44140625" style="1150" bestFit="1" customWidth="1"/>
    <col min="9" max="16384" width="11.44140625" style="1150"/>
  </cols>
  <sheetData>
    <row r="2" spans="2:8">
      <c r="B2" s="1151" t="s">
        <v>1856</v>
      </c>
    </row>
    <row r="5" spans="2:8">
      <c r="B5" s="1504" t="s">
        <v>1811</v>
      </c>
      <c r="C5" s="1505"/>
      <c r="D5" s="1506"/>
      <c r="F5" s="1504" t="s">
        <v>1812</v>
      </c>
      <c r="G5" s="1505"/>
      <c r="H5" s="1506"/>
    </row>
    <row r="6" spans="2:8">
      <c r="B6" s="1152" t="s">
        <v>64</v>
      </c>
      <c r="C6" s="1153">
        <f>D16</f>
        <v>14.45</v>
      </c>
      <c r="D6" s="1154" t="s">
        <v>65</v>
      </c>
      <c r="F6" s="1152" t="s">
        <v>64</v>
      </c>
      <c r="G6" s="1155">
        <f>D27</f>
        <v>7.802999999999999</v>
      </c>
      <c r="H6" s="1154" t="s">
        <v>65</v>
      </c>
    </row>
    <row r="7" spans="2:8">
      <c r="B7" s="1156" t="s">
        <v>68</v>
      </c>
      <c r="C7" s="1507" t="str">
        <f>'9.médicaments'!C7</f>
        <v>v1.0.b</v>
      </c>
      <c r="D7" s="1508"/>
      <c r="F7" s="1156" t="s">
        <v>1813</v>
      </c>
      <c r="G7" s="1509">
        <f>(G6-C6)/C6</f>
        <v>-0.46</v>
      </c>
      <c r="H7" s="1510"/>
    </row>
    <row r="8" spans="2:8">
      <c r="B8" s="1157" t="s">
        <v>28</v>
      </c>
      <c r="C8" s="1511" t="s">
        <v>98</v>
      </c>
      <c r="D8" s="1512"/>
      <c r="F8" s="1157" t="s">
        <v>28</v>
      </c>
      <c r="G8" s="1511" t="s">
        <v>98</v>
      </c>
      <c r="H8" s="1512"/>
    </row>
    <row r="9" spans="2:8">
      <c r="D9" s="1158"/>
      <c r="E9" s="1158"/>
    </row>
    <row r="12" spans="2:8">
      <c r="C12" s="1501" t="s">
        <v>1857</v>
      </c>
      <c r="D12" s="1502"/>
      <c r="E12" s="1503"/>
    </row>
    <row r="13" spans="2:8">
      <c r="C13" s="1159" t="s">
        <v>1858</v>
      </c>
      <c r="D13" s="1160">
        <f>'9.médicaments'!C27+'9.médicaments'!C28</f>
        <v>28.9</v>
      </c>
      <c r="E13" s="1161"/>
    </row>
    <row r="14" spans="2:8">
      <c r="B14" s="1162"/>
      <c r="C14" s="1498">
        <v>2020</v>
      </c>
      <c r="D14" s="1499"/>
      <c r="E14" s="1500"/>
    </row>
    <row r="15" spans="2:8">
      <c r="B15" s="1162"/>
      <c r="C15" s="1163" t="s">
        <v>1859</v>
      </c>
      <c r="D15" s="1164">
        <f>'9.médicaments'!C26</f>
        <v>0.5</v>
      </c>
      <c r="E15" s="1165" t="s">
        <v>1860</v>
      </c>
    </row>
    <row r="16" spans="2:8">
      <c r="C16" s="1166" t="s">
        <v>1831</v>
      </c>
      <c r="D16" s="1167">
        <f>D15*D13</f>
        <v>14.45</v>
      </c>
      <c r="E16" s="1165"/>
    </row>
    <row r="17" spans="3:6">
      <c r="C17" s="1498" t="s">
        <v>1832</v>
      </c>
      <c r="D17" s="1499"/>
      <c r="E17" s="1500"/>
    </row>
    <row r="18" spans="3:6" ht="34.049999999999997" customHeight="1">
      <c r="C18" s="1495" t="s">
        <v>1861</v>
      </c>
      <c r="D18" s="1496"/>
      <c r="E18" s="1497"/>
    </row>
    <row r="19" spans="3:6">
      <c r="C19" s="1495" t="s">
        <v>1862</v>
      </c>
      <c r="D19" s="1496"/>
      <c r="E19" s="1497"/>
    </row>
    <row r="20" spans="3:6">
      <c r="C20" s="1495" t="s">
        <v>1863</v>
      </c>
      <c r="D20" s="1496"/>
      <c r="E20" s="1497"/>
    </row>
    <row r="21" spans="3:6">
      <c r="C21" s="1495" t="s">
        <v>1864</v>
      </c>
      <c r="D21" s="1496"/>
      <c r="E21" s="1497"/>
    </row>
    <row r="22" spans="3:6">
      <c r="C22" s="1495" t="s">
        <v>1865</v>
      </c>
      <c r="D22" s="1496"/>
      <c r="E22" s="1497"/>
    </row>
    <row r="23" spans="3:6">
      <c r="C23" s="1495" t="s">
        <v>1866</v>
      </c>
      <c r="D23" s="1496"/>
      <c r="E23" s="1497"/>
    </row>
    <row r="24" spans="3:6">
      <c r="C24" s="1498">
        <v>2050</v>
      </c>
      <c r="D24" s="1499"/>
      <c r="E24" s="1500"/>
    </row>
    <row r="25" spans="3:6" ht="20.399999999999999">
      <c r="C25" s="1163" t="s">
        <v>1867</v>
      </c>
      <c r="D25" s="1168">
        <v>0.4</v>
      </c>
      <c r="E25" s="1165" t="s">
        <v>1868</v>
      </c>
      <c r="F25" s="1169"/>
    </row>
    <row r="26" spans="3:6">
      <c r="C26" s="1163" t="s">
        <v>1869</v>
      </c>
      <c r="D26" s="1168">
        <v>0.1</v>
      </c>
      <c r="E26" s="1165" t="s">
        <v>1870</v>
      </c>
      <c r="F26" s="1169"/>
    </row>
    <row r="27" spans="3:6">
      <c r="C27" s="1166" t="s">
        <v>1831</v>
      </c>
      <c r="D27" s="1167">
        <f>(D13*(1-D26)*D15*(1-D25))</f>
        <v>7.802999999999999</v>
      </c>
      <c r="E27" s="1165"/>
    </row>
    <row r="28" spans="3:6">
      <c r="C28" s="1170" t="s">
        <v>1845</v>
      </c>
      <c r="D28" s="1171">
        <f>D27/D16</f>
        <v>0.53999999999999992</v>
      </c>
      <c r="E28" s="1172"/>
    </row>
    <row r="30" spans="3:6">
      <c r="C30" s="1150" t="s">
        <v>1871</v>
      </c>
      <c r="D30" s="1167">
        <f>D16-D27</f>
        <v>6.6470000000000002</v>
      </c>
      <c r="E30" s="1173"/>
    </row>
    <row r="32" spans="3:6">
      <c r="E32" s="1174"/>
    </row>
    <row r="33" spans="4:5">
      <c r="E33" s="1173"/>
    </row>
    <row r="34" spans="4:5">
      <c r="E34" s="1173"/>
    </row>
    <row r="36" spans="4:5">
      <c r="D36" s="1173"/>
    </row>
    <row r="38" spans="4:5">
      <c r="E38" s="1173"/>
    </row>
  </sheetData>
  <mergeCells count="16">
    <mergeCell ref="B5:D5"/>
    <mergeCell ref="F5:H5"/>
    <mergeCell ref="C7:D7"/>
    <mergeCell ref="G7:H7"/>
    <mergeCell ref="C8:D8"/>
    <mergeCell ref="G8:H8"/>
    <mergeCell ref="C12:E12"/>
    <mergeCell ref="C14:E14"/>
    <mergeCell ref="C17:E17"/>
    <mergeCell ref="C18:E18"/>
    <mergeCell ref="C19:E19"/>
    <mergeCell ref="C20:E20"/>
    <mergeCell ref="C21:E21"/>
    <mergeCell ref="C22:E22"/>
    <mergeCell ref="C23:E23"/>
    <mergeCell ref="C24:E24"/>
  </mergeCells>
  <conditionalFormatting sqref="C8:D8">
    <cfRule type="containsText" dxfId="270" priority="30" operator="containsText" text="Calcul brouillon, odg">
      <formula>NOT(ISERROR(SEARCH("Calcul brouillon, odg",C8)))</formula>
    </cfRule>
  </conditionalFormatting>
  <conditionalFormatting sqref="C8">
    <cfRule type="containsText" dxfId="269" priority="29" operator="containsText" text="Calcul validé">
      <formula>NOT(ISERROR(SEARCH("Calcul validé",C8)))</formula>
    </cfRule>
  </conditionalFormatting>
  <conditionalFormatting sqref="C8">
    <cfRule type="containsText" dxfId="268" priority="28" operator="containsText" text="Bon ordre de grandeur">
      <formula>NOT(ISERROR(SEARCH("Bon ordre de grandeur",C8)))</formula>
    </cfRule>
  </conditionalFormatting>
  <conditionalFormatting sqref="C8">
    <cfRule type="containsText" dxfId="267" priority="27" operator="containsText" text="Calcul brouillon, ordre de grandeur">
      <formula>NOT(ISERROR(SEARCH("Calcul brouillon, ordre de grandeur",C8)))</formula>
    </cfRule>
  </conditionalFormatting>
  <conditionalFormatting sqref="C8">
    <cfRule type="containsText" dxfId="266" priority="26" operator="containsText" text="Pas ok">
      <formula>NOT(ISERROR(SEARCH("Pas ok",C8)))</formula>
    </cfRule>
  </conditionalFormatting>
  <conditionalFormatting sqref="C8">
    <cfRule type="containsText" dxfId="265" priority="25" operator="containsText" text="Calcul validé">
      <formula>NOT(ISERROR(SEARCH("Calcul validé",C8)))</formula>
    </cfRule>
  </conditionalFormatting>
  <conditionalFormatting sqref="C8">
    <cfRule type="containsText" dxfId="264" priority="24" operator="containsText" text="Calcul validé">
      <formula>NOT(ISERROR(SEARCH("Calcul validé",C8)))</formula>
    </cfRule>
  </conditionalFormatting>
  <conditionalFormatting sqref="C8">
    <cfRule type="containsText" dxfId="263" priority="23" operator="containsText" text="Bon ordre de grandeur">
      <formula>NOT(ISERROR(SEARCH("Bon ordre de grandeur",C8)))</formula>
    </cfRule>
  </conditionalFormatting>
  <conditionalFormatting sqref="C8">
    <cfRule type="containsText" dxfId="262" priority="22" operator="containsText" text="Calcul brouillon, ordre de grandeur">
      <formula>NOT(ISERROR(SEARCH("Calcul brouillon, ordre de grandeur",C8)))</formula>
    </cfRule>
  </conditionalFormatting>
  <conditionalFormatting sqref="C8">
    <cfRule type="containsText" dxfId="261" priority="21" operator="containsText" text="Pas ok">
      <formula>NOT(ISERROR(SEARCH("Pas ok",C8)))</formula>
    </cfRule>
  </conditionalFormatting>
  <conditionalFormatting sqref="D9:E9">
    <cfRule type="containsText" dxfId="260" priority="20" operator="containsText" text="Calcul brouillon, odg">
      <formula>NOT(ISERROR(SEARCH("Calcul brouillon, odg",D9)))</formula>
    </cfRule>
  </conditionalFormatting>
  <conditionalFormatting sqref="D9">
    <cfRule type="containsText" dxfId="259" priority="19" operator="containsText" text="Calcul validé">
      <formula>NOT(ISERROR(SEARCH("Calcul validé",D9)))</formula>
    </cfRule>
  </conditionalFormatting>
  <conditionalFormatting sqref="D9">
    <cfRule type="containsText" dxfId="258" priority="18" operator="containsText" text="Bon ordre de grandeur">
      <formula>NOT(ISERROR(SEARCH("Bon ordre de grandeur",D9)))</formula>
    </cfRule>
  </conditionalFormatting>
  <conditionalFormatting sqref="D9">
    <cfRule type="containsText" dxfId="257" priority="17" operator="containsText" text="Calcul brouillon, ordre de grandeur">
      <formula>NOT(ISERROR(SEARCH("Calcul brouillon, ordre de grandeur",D9)))</formula>
    </cfRule>
  </conditionalFormatting>
  <conditionalFormatting sqref="D9">
    <cfRule type="containsText" dxfId="256" priority="16" operator="containsText" text="Pas ok">
      <formula>NOT(ISERROR(SEARCH("Pas ok",D9)))</formula>
    </cfRule>
  </conditionalFormatting>
  <conditionalFormatting sqref="D9">
    <cfRule type="containsText" dxfId="255" priority="15" operator="containsText" text="Calcul validé">
      <formula>NOT(ISERROR(SEARCH("Calcul validé",D9)))</formula>
    </cfRule>
  </conditionalFormatting>
  <conditionalFormatting sqref="D9">
    <cfRule type="containsText" dxfId="254" priority="14" operator="containsText" text="Calcul validé">
      <formula>NOT(ISERROR(SEARCH("Calcul validé",D9)))</formula>
    </cfRule>
  </conditionalFormatting>
  <conditionalFormatting sqref="D9">
    <cfRule type="containsText" dxfId="253" priority="13" operator="containsText" text="Bon ordre de grandeur">
      <formula>NOT(ISERROR(SEARCH("Bon ordre de grandeur",D9)))</formula>
    </cfRule>
  </conditionalFormatting>
  <conditionalFormatting sqref="D9">
    <cfRule type="containsText" dxfId="252" priority="12" operator="containsText" text="Calcul brouillon, ordre de grandeur">
      <formula>NOT(ISERROR(SEARCH("Calcul brouillon, ordre de grandeur",D9)))</formula>
    </cfRule>
  </conditionalFormatting>
  <conditionalFormatting sqref="D9">
    <cfRule type="containsText" dxfId="251" priority="11" operator="containsText" text="Pas ok">
      <formula>NOT(ISERROR(SEARCH("Pas ok",D9)))</formula>
    </cfRule>
  </conditionalFormatting>
  <conditionalFormatting sqref="G8:H8">
    <cfRule type="containsText" dxfId="250" priority="10" operator="containsText" text="Calcul brouillon, odg">
      <formula>NOT(ISERROR(SEARCH("Calcul brouillon, odg",G8)))</formula>
    </cfRule>
  </conditionalFormatting>
  <conditionalFormatting sqref="G8">
    <cfRule type="containsText" dxfId="249" priority="9" operator="containsText" text="Calcul validé">
      <formula>NOT(ISERROR(SEARCH("Calcul validé",G8)))</formula>
    </cfRule>
  </conditionalFormatting>
  <conditionalFormatting sqref="G8">
    <cfRule type="containsText" dxfId="248" priority="8" operator="containsText" text="Bon ordre de grandeur">
      <formula>NOT(ISERROR(SEARCH("Bon ordre de grandeur",G8)))</formula>
    </cfRule>
  </conditionalFormatting>
  <conditionalFormatting sqref="G8">
    <cfRule type="containsText" dxfId="247" priority="7" operator="containsText" text="Calcul brouillon, ordre de grandeur">
      <formula>NOT(ISERROR(SEARCH("Calcul brouillon, ordre de grandeur",G8)))</formula>
    </cfRule>
  </conditionalFormatting>
  <conditionalFormatting sqref="G8">
    <cfRule type="containsText" dxfId="246" priority="6" operator="containsText" text="Pas ok">
      <formula>NOT(ISERROR(SEARCH("Pas ok",G8)))</formula>
    </cfRule>
  </conditionalFormatting>
  <conditionalFormatting sqref="G8">
    <cfRule type="containsText" dxfId="245" priority="5" operator="containsText" text="Calcul validé">
      <formula>NOT(ISERROR(SEARCH("Calcul validé",G8)))</formula>
    </cfRule>
  </conditionalFormatting>
  <conditionalFormatting sqref="G8">
    <cfRule type="containsText" dxfId="244" priority="4" operator="containsText" text="Calcul validé">
      <formula>NOT(ISERROR(SEARCH("Calcul validé",G8)))</formula>
    </cfRule>
  </conditionalFormatting>
  <conditionalFormatting sqref="G8">
    <cfRule type="containsText" dxfId="243" priority="3" operator="containsText" text="Bon ordre de grandeur">
      <formula>NOT(ISERROR(SEARCH("Bon ordre de grandeur",G8)))</formula>
    </cfRule>
  </conditionalFormatting>
  <conditionalFormatting sqref="G8">
    <cfRule type="containsText" dxfId="242" priority="2" operator="containsText" text="Calcul brouillon, ordre de grandeur">
      <formula>NOT(ISERROR(SEARCH("Calcul brouillon, ordre de grandeur",G8)))</formula>
    </cfRule>
  </conditionalFormatting>
  <conditionalFormatting sqref="G8">
    <cfRule type="containsText" dxfId="241" priority="1" operator="containsText" text="Pas ok">
      <formula>NOT(ISERROR(SEARCH("Pas ok",G8)))</formula>
    </cfRule>
  </conditionalFormatting>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Q25"/>
  <sheetViews>
    <sheetView tabSelected="1" zoomScale="83" workbookViewId="0">
      <selection activeCell="B39" sqref="B39"/>
    </sheetView>
  </sheetViews>
  <sheetFormatPr baseColWidth="10" defaultColWidth="10.77734375" defaultRowHeight="14.4"/>
  <cols>
    <col min="1" max="1" width="10.77734375" style="43"/>
    <col min="2" max="2" width="43.109375" style="43" customWidth="1"/>
    <col min="3" max="16384" width="10.77734375" style="43"/>
  </cols>
  <sheetData>
    <row r="2" spans="2:17" ht="18">
      <c r="B2" s="44" t="s">
        <v>30</v>
      </c>
    </row>
    <row r="5" spans="2:17">
      <c r="F5" s="1244" t="s">
        <v>63</v>
      </c>
      <c r="G5" s="1245"/>
      <c r="H5" s="1245"/>
      <c r="I5" s="1245"/>
      <c r="J5" s="1245"/>
      <c r="K5" s="1245"/>
      <c r="L5" s="1245"/>
      <c r="M5" s="1245"/>
      <c r="N5" s="1245"/>
      <c r="O5" s="1245"/>
      <c r="P5" s="1245"/>
      <c r="Q5" s="1246"/>
    </row>
    <row r="6" spans="2:17" ht="28.8">
      <c r="B6" s="45" t="s">
        <v>64</v>
      </c>
      <c r="C6" s="46"/>
      <c r="D6" s="47" t="s">
        <v>65</v>
      </c>
      <c r="F6" s="48" t="s">
        <v>66</v>
      </c>
      <c r="G6" s="1247" t="s">
        <v>67</v>
      </c>
      <c r="H6" s="1247"/>
      <c r="I6" s="1247"/>
      <c r="J6" s="1247"/>
      <c r="K6" s="1247"/>
      <c r="L6" s="1247"/>
      <c r="M6" s="1247"/>
      <c r="N6" s="1247"/>
      <c r="O6" s="1247"/>
      <c r="P6" s="1247"/>
      <c r="Q6" s="1248"/>
    </row>
    <row r="7" spans="2:17" ht="28.8">
      <c r="B7" s="49" t="s">
        <v>68</v>
      </c>
      <c r="C7" s="50" t="str">
        <f>B10</f>
        <v>v1.1</v>
      </c>
      <c r="F7" s="51" t="s">
        <v>69</v>
      </c>
      <c r="G7" s="1249"/>
      <c r="H7" s="1249"/>
      <c r="I7" s="1249"/>
      <c r="J7" s="1249"/>
      <c r="K7" s="1249"/>
      <c r="L7" s="1249"/>
      <c r="M7" s="1249"/>
      <c r="N7" s="1249"/>
      <c r="O7" s="1249"/>
      <c r="P7" s="1249"/>
      <c r="Q7" s="1250"/>
    </row>
    <row r="10" spans="2:17">
      <c r="B10" s="52" t="s">
        <v>70</v>
      </c>
    </row>
    <row r="13" spans="2:17">
      <c r="B13" s="1251" t="s">
        <v>71</v>
      </c>
      <c r="C13" s="1252"/>
      <c r="D13" s="1252"/>
      <c r="E13" s="1252"/>
      <c r="F13" s="1252"/>
      <c r="G13" s="1252"/>
      <c r="H13" s="1252"/>
      <c r="I13" s="1252"/>
      <c r="J13" s="1252"/>
      <c r="K13" s="1252"/>
      <c r="L13" s="1252"/>
      <c r="M13" s="1252"/>
      <c r="N13" s="1252"/>
      <c r="O13" s="1252"/>
      <c r="P13" s="1252"/>
      <c r="Q13" s="1253"/>
    </row>
    <row r="14" spans="2:17">
      <c r="B14" s="53" t="s">
        <v>72</v>
      </c>
      <c r="C14" s="1254" t="s">
        <v>73</v>
      </c>
      <c r="D14" s="1255"/>
      <c r="E14" s="1255"/>
      <c r="F14" s="1255"/>
      <c r="G14" s="1255"/>
      <c r="H14" s="1255"/>
      <c r="I14" s="1255"/>
      <c r="J14" s="1255"/>
      <c r="K14" s="1255"/>
      <c r="L14" s="1255"/>
      <c r="M14" s="1255"/>
      <c r="N14" s="1255"/>
      <c r="O14" s="1255"/>
      <c r="P14" s="1255"/>
      <c r="Q14" s="1256"/>
    </row>
    <row r="15" spans="2:17">
      <c r="B15" s="54" t="s">
        <v>74</v>
      </c>
      <c r="C15" s="1257" t="s">
        <v>75</v>
      </c>
      <c r="D15" s="1258"/>
      <c r="E15" s="1258"/>
      <c r="F15" s="1258"/>
      <c r="G15" s="1258"/>
      <c r="H15" s="1258"/>
      <c r="I15" s="1258"/>
      <c r="J15" s="1258"/>
      <c r="K15" s="1258"/>
      <c r="L15" s="1258"/>
      <c r="M15" s="1258"/>
      <c r="N15" s="1258"/>
      <c r="O15" s="1258"/>
      <c r="P15" s="1258"/>
      <c r="Q15" s="1259"/>
    </row>
    <row r="16" spans="2:17">
      <c r="B16" s="54" t="s">
        <v>76</v>
      </c>
      <c r="C16" s="1257" t="s">
        <v>77</v>
      </c>
      <c r="D16" s="1258"/>
      <c r="E16" s="1258"/>
      <c r="F16" s="1258"/>
      <c r="G16" s="1258"/>
      <c r="H16" s="1258"/>
      <c r="I16" s="1258"/>
      <c r="J16" s="1258"/>
      <c r="K16" s="1258"/>
      <c r="L16" s="1258"/>
      <c r="M16" s="1258"/>
      <c r="N16" s="1258"/>
      <c r="O16" s="1258"/>
      <c r="P16" s="1258"/>
      <c r="Q16" s="1259"/>
    </row>
    <row r="17" spans="2:17">
      <c r="B17" s="54" t="s">
        <v>78</v>
      </c>
      <c r="C17" s="1257" t="s">
        <v>79</v>
      </c>
      <c r="D17" s="1258"/>
      <c r="E17" s="1258"/>
      <c r="F17" s="1258"/>
      <c r="G17" s="1258"/>
      <c r="H17" s="1258"/>
      <c r="I17" s="1258"/>
      <c r="J17" s="1258"/>
      <c r="K17" s="1258"/>
      <c r="L17" s="1258"/>
      <c r="M17" s="1258"/>
      <c r="N17" s="1258"/>
      <c r="O17" s="1258"/>
      <c r="P17" s="1258"/>
      <c r="Q17" s="1259"/>
    </row>
    <row r="18" spans="2:17">
      <c r="B18" s="54" t="s">
        <v>80</v>
      </c>
      <c r="C18" s="1257" t="s">
        <v>81</v>
      </c>
      <c r="D18" s="1258"/>
      <c r="E18" s="1258"/>
      <c r="F18" s="1258"/>
      <c r="G18" s="1258"/>
      <c r="H18" s="1258"/>
      <c r="I18" s="1258"/>
      <c r="J18" s="1258"/>
      <c r="K18" s="1258"/>
      <c r="L18" s="1258"/>
      <c r="M18" s="1258"/>
      <c r="N18" s="1258"/>
      <c r="O18" s="1258"/>
      <c r="P18" s="1258"/>
      <c r="Q18" s="1259"/>
    </row>
    <row r="19" spans="2:17">
      <c r="B19" s="54" t="s">
        <v>82</v>
      </c>
      <c r="C19" s="1257" t="s">
        <v>83</v>
      </c>
      <c r="D19" s="1258"/>
      <c r="E19" s="1258"/>
      <c r="F19" s="1258"/>
      <c r="G19" s="1258"/>
      <c r="H19" s="1258"/>
      <c r="I19" s="1258"/>
      <c r="J19" s="1258"/>
      <c r="K19" s="1258"/>
      <c r="L19" s="1258"/>
      <c r="M19" s="1258"/>
      <c r="N19" s="1258"/>
      <c r="O19" s="1258"/>
      <c r="P19" s="1258"/>
      <c r="Q19" s="1259"/>
    </row>
    <row r="20" spans="2:17">
      <c r="B20" s="54" t="s">
        <v>84</v>
      </c>
      <c r="C20" s="1257" t="s">
        <v>85</v>
      </c>
      <c r="D20" s="1258"/>
      <c r="E20" s="1258"/>
      <c r="F20" s="1258"/>
      <c r="G20" s="1258"/>
      <c r="H20" s="1258"/>
      <c r="I20" s="1258"/>
      <c r="J20" s="1258"/>
      <c r="K20" s="1258"/>
      <c r="L20" s="1258"/>
      <c r="M20" s="1258"/>
      <c r="N20" s="1258"/>
      <c r="O20" s="1258"/>
      <c r="P20" s="1258"/>
      <c r="Q20" s="1259"/>
    </row>
    <row r="21" spans="2:17">
      <c r="B21" s="54" t="s">
        <v>86</v>
      </c>
      <c r="C21" s="1260"/>
      <c r="D21" s="1261"/>
      <c r="E21" s="1261"/>
      <c r="F21" s="1261"/>
      <c r="G21" s="1261"/>
      <c r="H21" s="1261"/>
      <c r="I21" s="1261"/>
      <c r="J21" s="1261"/>
      <c r="K21" s="1261"/>
      <c r="L21" s="1261"/>
      <c r="M21" s="1261"/>
      <c r="N21" s="1261"/>
      <c r="O21" s="1261"/>
      <c r="P21" s="1261"/>
      <c r="Q21" s="1262"/>
    </row>
    <row r="22" spans="2:17">
      <c r="B22" s="54" t="s">
        <v>87</v>
      </c>
      <c r="C22" s="1260"/>
      <c r="D22" s="1261"/>
      <c r="E22" s="1261"/>
      <c r="F22" s="1261"/>
      <c r="G22" s="1261"/>
      <c r="H22" s="1261"/>
      <c r="I22" s="1261"/>
      <c r="J22" s="1261"/>
      <c r="K22" s="1261"/>
      <c r="L22" s="1261"/>
      <c r="M22" s="1261"/>
      <c r="N22" s="1261"/>
      <c r="O22" s="1261"/>
      <c r="P22" s="1261"/>
      <c r="Q22" s="1262"/>
    </row>
    <row r="23" spans="2:17">
      <c r="B23" s="55" t="s">
        <v>88</v>
      </c>
      <c r="C23" s="1263"/>
      <c r="D23" s="1264"/>
      <c r="E23" s="1264"/>
      <c r="F23" s="1264"/>
      <c r="G23" s="1264"/>
      <c r="H23" s="1264"/>
      <c r="I23" s="1264"/>
      <c r="J23" s="1264"/>
      <c r="K23" s="1264"/>
      <c r="L23" s="1264"/>
      <c r="M23" s="1264"/>
      <c r="N23" s="1264"/>
      <c r="O23" s="1264"/>
      <c r="P23" s="1264"/>
      <c r="Q23" s="1265"/>
    </row>
    <row r="25" spans="2:17">
      <c r="C25" s="56" t="s">
        <v>89</v>
      </c>
    </row>
  </sheetData>
  <mergeCells count="14">
    <mergeCell ref="C20:Q20"/>
    <mergeCell ref="C21:Q21"/>
    <mergeCell ref="C22:Q22"/>
    <mergeCell ref="C23:Q23"/>
    <mergeCell ref="C15:Q15"/>
    <mergeCell ref="C16:Q16"/>
    <mergeCell ref="C17:Q17"/>
    <mergeCell ref="C18:Q18"/>
    <mergeCell ref="C19:Q19"/>
    <mergeCell ref="F5:Q5"/>
    <mergeCell ref="G6:Q6"/>
    <mergeCell ref="G7:Q7"/>
    <mergeCell ref="B13:Q13"/>
    <mergeCell ref="C14:Q14"/>
  </mergeCells>
  <pageMargins left="0.7" right="0.7" top="0.75" bottom="0.75" header="0.3" footer="0.3"/>
  <pageSetup paperSize="9" orientation="portrait"/>
  <drawing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58">
    <tabColor theme="7" tint="0.39997558519241921"/>
  </sheetPr>
  <dimension ref="B2:H28"/>
  <sheetViews>
    <sheetView workbookViewId="0">
      <selection activeCell="F22" sqref="F22"/>
    </sheetView>
  </sheetViews>
  <sheetFormatPr baseColWidth="10" defaultColWidth="11.44140625" defaultRowHeight="10.199999999999999"/>
  <cols>
    <col min="1" max="1" width="11.44140625" style="1150"/>
    <col min="2" max="2" width="43" style="1150" bestFit="1" customWidth="1"/>
    <col min="3" max="3" width="22.44140625" style="1150" bestFit="1" customWidth="1"/>
    <col min="4" max="4" width="8.44140625" style="1150" bestFit="1" customWidth="1"/>
    <col min="5" max="5" width="104.44140625" style="1150" bestFit="1" customWidth="1"/>
    <col min="6" max="6" width="19.109375" style="1150" bestFit="1" customWidth="1"/>
    <col min="7" max="7" width="4.77734375" style="1150" bestFit="1" customWidth="1"/>
    <col min="8" max="8" width="8.44140625" style="1150" bestFit="1" customWidth="1"/>
    <col min="9" max="16384" width="11.44140625" style="1150"/>
  </cols>
  <sheetData>
    <row r="2" spans="2:8">
      <c r="B2" s="1151" t="s">
        <v>1872</v>
      </c>
    </row>
    <row r="5" spans="2:8">
      <c r="B5" s="1504" t="s">
        <v>1811</v>
      </c>
      <c r="C5" s="1505"/>
      <c r="D5" s="1506"/>
      <c r="F5" s="1504" t="s">
        <v>1812</v>
      </c>
      <c r="G5" s="1505"/>
      <c r="H5" s="1506"/>
    </row>
    <row r="6" spans="2:8">
      <c r="B6" s="1152" t="s">
        <v>64</v>
      </c>
      <c r="C6" s="1175">
        <f>D16</f>
        <v>10.192901167333602</v>
      </c>
      <c r="D6" s="1154" t="s">
        <v>65</v>
      </c>
      <c r="F6" s="1152" t="s">
        <v>64</v>
      </c>
      <c r="G6" s="1155">
        <f>D25</f>
        <v>4.8925925603201295</v>
      </c>
      <c r="H6" s="1154" t="s">
        <v>65</v>
      </c>
    </row>
    <row r="7" spans="2:8">
      <c r="B7" s="1156" t="s">
        <v>68</v>
      </c>
      <c r="C7" s="1507" t="str">
        <f>'9.dispositifs_médicaux'!C7</f>
        <v>v1.0.c</v>
      </c>
      <c r="D7" s="1508"/>
      <c r="F7" s="1156" t="s">
        <v>1813</v>
      </c>
      <c r="G7" s="1513">
        <f>(G6-C6)/C6</f>
        <v>-0.51999999999999991</v>
      </c>
      <c r="H7" s="1508"/>
    </row>
    <row r="8" spans="2:8">
      <c r="B8" s="1157" t="s">
        <v>28</v>
      </c>
      <c r="C8" s="1511" t="s">
        <v>98</v>
      </c>
      <c r="D8" s="1512"/>
      <c r="F8" s="1157" t="s">
        <v>28</v>
      </c>
      <c r="G8" s="1511" t="s">
        <v>98</v>
      </c>
      <c r="H8" s="1512"/>
    </row>
    <row r="9" spans="2:8">
      <c r="D9" s="1158"/>
      <c r="E9" s="1158"/>
    </row>
    <row r="12" spans="2:8">
      <c r="C12" s="1501" t="s">
        <v>1857</v>
      </c>
      <c r="D12" s="1502"/>
      <c r="E12" s="1503"/>
    </row>
    <row r="13" spans="2:8" ht="20.399999999999999">
      <c r="C13" s="1159" t="s">
        <v>1858</v>
      </c>
      <c r="D13" s="1176">
        <f>'9.dispositifs_médicaux'!C48</f>
        <v>32.358416404233658</v>
      </c>
      <c r="E13" s="1161"/>
    </row>
    <row r="14" spans="2:8">
      <c r="B14" s="1162"/>
      <c r="C14" s="1498">
        <v>2020</v>
      </c>
      <c r="D14" s="1499"/>
      <c r="E14" s="1500"/>
    </row>
    <row r="15" spans="2:8">
      <c r="B15" s="1162"/>
      <c r="C15" s="1163" t="s">
        <v>1859</v>
      </c>
      <c r="D15" s="1164">
        <f>'9.dispositifs_médicaux'!C55</f>
        <v>0.315</v>
      </c>
      <c r="E15" s="1165" t="s">
        <v>1873</v>
      </c>
    </row>
    <row r="16" spans="2:8">
      <c r="C16" s="1166" t="s">
        <v>1831</v>
      </c>
      <c r="D16" s="1167">
        <f>D15*D13</f>
        <v>10.192901167333602</v>
      </c>
      <c r="E16" s="1165"/>
    </row>
    <row r="17" spans="3:6">
      <c r="C17" s="1498" t="s">
        <v>1832</v>
      </c>
      <c r="D17" s="1499"/>
      <c r="E17" s="1500"/>
    </row>
    <row r="18" spans="3:6">
      <c r="C18" s="1495" t="s">
        <v>1874</v>
      </c>
      <c r="D18" s="1496"/>
      <c r="E18" s="1497"/>
    </row>
    <row r="19" spans="3:6">
      <c r="C19" s="1495" t="s">
        <v>1862</v>
      </c>
      <c r="D19" s="1496"/>
      <c r="E19" s="1497"/>
    </row>
    <row r="20" spans="3:6">
      <c r="C20" s="1495" t="s">
        <v>1875</v>
      </c>
      <c r="D20" s="1496"/>
      <c r="E20" s="1497"/>
    </row>
    <row r="21" spans="3:6">
      <c r="C21" s="1495" t="s">
        <v>1876</v>
      </c>
      <c r="D21" s="1496"/>
      <c r="E21" s="1497"/>
    </row>
    <row r="22" spans="3:6">
      <c r="C22" s="1498">
        <v>2050</v>
      </c>
      <c r="D22" s="1499"/>
      <c r="E22" s="1500"/>
      <c r="F22" s="1150" t="s">
        <v>1877</v>
      </c>
    </row>
    <row r="23" spans="3:6" ht="20.399999999999999">
      <c r="C23" s="1163" t="s">
        <v>1867</v>
      </c>
      <c r="D23" s="1168">
        <v>0.4</v>
      </c>
      <c r="E23" s="1165" t="s">
        <v>1878</v>
      </c>
      <c r="F23" s="1169"/>
    </row>
    <row r="24" spans="3:6">
      <c r="C24" s="1163" t="s">
        <v>1869</v>
      </c>
      <c r="D24" s="1168">
        <v>0.2</v>
      </c>
      <c r="E24" s="1165" t="s">
        <v>1879</v>
      </c>
      <c r="F24" s="1169"/>
    </row>
    <row r="25" spans="3:6">
      <c r="C25" s="1166" t="s">
        <v>1831</v>
      </c>
      <c r="D25" s="1167">
        <f>(D13*(1-D24)*D15*(1-D23))</f>
        <v>4.8925925603201295</v>
      </c>
      <c r="E25" s="1165"/>
    </row>
    <row r="26" spans="3:6">
      <c r="C26" s="1170" t="s">
        <v>1845</v>
      </c>
      <c r="D26" s="1171">
        <f>D25/D16</f>
        <v>0.48000000000000004</v>
      </c>
      <c r="E26" s="1172"/>
    </row>
    <row r="28" spans="3:6">
      <c r="C28" s="1150" t="s">
        <v>1871</v>
      </c>
      <c r="D28" s="1167">
        <f>D16-D25</f>
        <v>5.3003086070134726</v>
      </c>
    </row>
  </sheetData>
  <mergeCells count="14">
    <mergeCell ref="B5:D5"/>
    <mergeCell ref="F5:H5"/>
    <mergeCell ref="C7:D7"/>
    <mergeCell ref="G7:H7"/>
    <mergeCell ref="C8:D8"/>
    <mergeCell ref="G8:H8"/>
    <mergeCell ref="C20:E20"/>
    <mergeCell ref="C21:E21"/>
    <mergeCell ref="C22:E22"/>
    <mergeCell ref="C12:E12"/>
    <mergeCell ref="C14:E14"/>
    <mergeCell ref="C17:E17"/>
    <mergeCell ref="C18:E18"/>
    <mergeCell ref="C19:E19"/>
  </mergeCells>
  <conditionalFormatting sqref="C8:D8">
    <cfRule type="containsText" dxfId="240" priority="30" operator="containsText" text="Calcul brouillon, odg">
      <formula>NOT(ISERROR(SEARCH("Calcul brouillon, odg",C8)))</formula>
    </cfRule>
  </conditionalFormatting>
  <conditionalFormatting sqref="C8">
    <cfRule type="containsText" dxfId="239" priority="29" operator="containsText" text="Calcul validé">
      <formula>NOT(ISERROR(SEARCH("Calcul validé",C8)))</formula>
    </cfRule>
  </conditionalFormatting>
  <conditionalFormatting sqref="C8">
    <cfRule type="containsText" dxfId="238" priority="28" operator="containsText" text="Bon ordre de grandeur">
      <formula>NOT(ISERROR(SEARCH("Bon ordre de grandeur",C8)))</formula>
    </cfRule>
  </conditionalFormatting>
  <conditionalFormatting sqref="C8">
    <cfRule type="containsText" dxfId="237" priority="27" operator="containsText" text="Calcul brouillon, ordre de grandeur">
      <formula>NOT(ISERROR(SEARCH("Calcul brouillon, ordre de grandeur",C8)))</formula>
    </cfRule>
  </conditionalFormatting>
  <conditionalFormatting sqref="C8">
    <cfRule type="containsText" dxfId="236" priority="26" operator="containsText" text="Pas ok">
      <formula>NOT(ISERROR(SEARCH("Pas ok",C8)))</formula>
    </cfRule>
  </conditionalFormatting>
  <conditionalFormatting sqref="C8">
    <cfRule type="containsText" dxfId="235" priority="25" operator="containsText" text="Calcul validé">
      <formula>NOT(ISERROR(SEARCH("Calcul validé",C8)))</formula>
    </cfRule>
  </conditionalFormatting>
  <conditionalFormatting sqref="C8">
    <cfRule type="containsText" dxfId="234" priority="24" operator="containsText" text="Calcul validé">
      <formula>NOT(ISERROR(SEARCH("Calcul validé",C8)))</formula>
    </cfRule>
  </conditionalFormatting>
  <conditionalFormatting sqref="C8">
    <cfRule type="containsText" dxfId="233" priority="23" operator="containsText" text="Bon ordre de grandeur">
      <formula>NOT(ISERROR(SEARCH("Bon ordre de grandeur",C8)))</formula>
    </cfRule>
  </conditionalFormatting>
  <conditionalFormatting sqref="C8">
    <cfRule type="containsText" dxfId="232" priority="22" operator="containsText" text="Calcul brouillon, ordre de grandeur">
      <formula>NOT(ISERROR(SEARCH("Calcul brouillon, ordre de grandeur",C8)))</formula>
    </cfRule>
  </conditionalFormatting>
  <conditionalFormatting sqref="C8">
    <cfRule type="containsText" dxfId="231" priority="21" operator="containsText" text="Pas ok">
      <formula>NOT(ISERROR(SEARCH("Pas ok",C8)))</formula>
    </cfRule>
  </conditionalFormatting>
  <conditionalFormatting sqref="D9:E9">
    <cfRule type="containsText" dxfId="230" priority="20" operator="containsText" text="Calcul brouillon, odg">
      <formula>NOT(ISERROR(SEARCH("Calcul brouillon, odg",D9)))</formula>
    </cfRule>
  </conditionalFormatting>
  <conditionalFormatting sqref="D9">
    <cfRule type="containsText" dxfId="229" priority="19" operator="containsText" text="Calcul validé">
      <formula>NOT(ISERROR(SEARCH("Calcul validé",D9)))</formula>
    </cfRule>
  </conditionalFormatting>
  <conditionalFormatting sqref="D9">
    <cfRule type="containsText" dxfId="228" priority="18" operator="containsText" text="Bon ordre de grandeur">
      <formula>NOT(ISERROR(SEARCH("Bon ordre de grandeur",D9)))</formula>
    </cfRule>
  </conditionalFormatting>
  <conditionalFormatting sqref="D9">
    <cfRule type="containsText" dxfId="227" priority="17" operator="containsText" text="Calcul brouillon, ordre de grandeur">
      <formula>NOT(ISERROR(SEARCH("Calcul brouillon, ordre de grandeur",D9)))</formula>
    </cfRule>
  </conditionalFormatting>
  <conditionalFormatting sqref="D9">
    <cfRule type="containsText" dxfId="226" priority="16" operator="containsText" text="Pas ok">
      <formula>NOT(ISERROR(SEARCH("Pas ok",D9)))</formula>
    </cfRule>
  </conditionalFormatting>
  <conditionalFormatting sqref="D9">
    <cfRule type="containsText" dxfId="225" priority="15" operator="containsText" text="Calcul validé">
      <formula>NOT(ISERROR(SEARCH("Calcul validé",D9)))</formula>
    </cfRule>
  </conditionalFormatting>
  <conditionalFormatting sqref="D9">
    <cfRule type="containsText" dxfId="224" priority="14" operator="containsText" text="Calcul validé">
      <formula>NOT(ISERROR(SEARCH("Calcul validé",D9)))</formula>
    </cfRule>
  </conditionalFormatting>
  <conditionalFormatting sqref="D9">
    <cfRule type="containsText" dxfId="223" priority="13" operator="containsText" text="Bon ordre de grandeur">
      <formula>NOT(ISERROR(SEARCH("Bon ordre de grandeur",D9)))</formula>
    </cfRule>
  </conditionalFormatting>
  <conditionalFormatting sqref="D9">
    <cfRule type="containsText" dxfId="222" priority="12" operator="containsText" text="Calcul brouillon, ordre de grandeur">
      <formula>NOT(ISERROR(SEARCH("Calcul brouillon, ordre de grandeur",D9)))</formula>
    </cfRule>
  </conditionalFormatting>
  <conditionalFormatting sqref="D9">
    <cfRule type="containsText" dxfId="221" priority="11" operator="containsText" text="Pas ok">
      <formula>NOT(ISERROR(SEARCH("Pas ok",D9)))</formula>
    </cfRule>
  </conditionalFormatting>
  <conditionalFormatting sqref="G8:H8">
    <cfRule type="containsText" dxfId="220" priority="10" operator="containsText" text="Calcul brouillon, odg">
      <formula>NOT(ISERROR(SEARCH("Calcul brouillon, odg",G8)))</formula>
    </cfRule>
  </conditionalFormatting>
  <conditionalFormatting sqref="G8">
    <cfRule type="containsText" dxfId="219" priority="9" operator="containsText" text="Calcul validé">
      <formula>NOT(ISERROR(SEARCH("Calcul validé",G8)))</formula>
    </cfRule>
  </conditionalFormatting>
  <conditionalFormatting sqref="G8">
    <cfRule type="containsText" dxfId="218" priority="8" operator="containsText" text="Bon ordre de grandeur">
      <formula>NOT(ISERROR(SEARCH("Bon ordre de grandeur",G8)))</formula>
    </cfRule>
  </conditionalFormatting>
  <conditionalFormatting sqref="G8">
    <cfRule type="containsText" dxfId="217" priority="7" operator="containsText" text="Calcul brouillon, ordre de grandeur">
      <formula>NOT(ISERROR(SEARCH("Calcul brouillon, ordre de grandeur",G8)))</formula>
    </cfRule>
  </conditionalFormatting>
  <conditionalFormatting sqref="G8">
    <cfRule type="containsText" dxfId="216" priority="6" operator="containsText" text="Pas ok">
      <formula>NOT(ISERROR(SEARCH("Pas ok",G8)))</formula>
    </cfRule>
  </conditionalFormatting>
  <conditionalFormatting sqref="G8">
    <cfRule type="containsText" dxfId="215" priority="5" operator="containsText" text="Calcul validé">
      <formula>NOT(ISERROR(SEARCH("Calcul validé",G8)))</formula>
    </cfRule>
  </conditionalFormatting>
  <conditionalFormatting sqref="G8">
    <cfRule type="containsText" dxfId="214" priority="4" operator="containsText" text="Calcul validé">
      <formula>NOT(ISERROR(SEARCH("Calcul validé",G8)))</formula>
    </cfRule>
  </conditionalFormatting>
  <conditionalFormatting sqref="G8">
    <cfRule type="containsText" dxfId="213" priority="3" operator="containsText" text="Bon ordre de grandeur">
      <formula>NOT(ISERROR(SEARCH("Bon ordre de grandeur",G8)))</formula>
    </cfRule>
  </conditionalFormatting>
  <conditionalFormatting sqref="G8">
    <cfRule type="containsText" dxfId="212" priority="2" operator="containsText" text="Calcul brouillon, ordre de grandeur">
      <formula>NOT(ISERROR(SEARCH("Calcul brouillon, ordre de grandeur",G8)))</formula>
    </cfRule>
  </conditionalFormatting>
  <conditionalFormatting sqref="G8">
    <cfRule type="containsText" dxfId="211" priority="1" operator="containsText" text="Pas ok">
      <formula>NOT(ISERROR(SEARCH("Pas ok",G8)))</formula>
    </cfRule>
  </conditionalFormatting>
  <pageMargins left="0.7" right="0.7" top="0.75" bottom="0.75" header="0.3" footer="0.3"/>
  <pageSetup paperSize="9" orientation="portrait"/>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59">
    <tabColor theme="7" tint="0.39997558519241921"/>
  </sheetPr>
  <dimension ref="B2:Q53"/>
  <sheetViews>
    <sheetView topLeftCell="A52" zoomScale="70" workbookViewId="0">
      <selection activeCell="C37" sqref="C37"/>
    </sheetView>
  </sheetViews>
  <sheetFormatPr baseColWidth="10" defaultColWidth="11.44140625" defaultRowHeight="15.6"/>
  <cols>
    <col min="1" max="1" width="11.44140625" style="1086"/>
    <col min="2" max="2" width="49.44140625" style="1086" customWidth="1"/>
    <col min="3" max="3" width="24.44140625" style="1086" customWidth="1"/>
    <col min="4" max="4" width="25.77734375" style="1086" customWidth="1"/>
    <col min="5" max="5" width="106.109375" style="1086" customWidth="1"/>
    <col min="6" max="6" width="49.44140625" style="1086" customWidth="1"/>
    <col min="7" max="7" width="24.44140625" style="1086" customWidth="1"/>
    <col min="8" max="8" width="25.77734375" style="1086" customWidth="1"/>
    <col min="9" max="14" width="11.44140625" style="1086"/>
    <col min="15" max="15" width="31.77734375" style="1086" bestFit="1" customWidth="1"/>
    <col min="16" max="16" width="11.44140625" style="1086"/>
    <col min="17" max="17" width="13.44140625" style="1086" bestFit="1" customWidth="1"/>
    <col min="18" max="16384" width="11.44140625" style="1086"/>
  </cols>
  <sheetData>
    <row r="2" spans="2:17" ht="18">
      <c r="B2" s="1087" t="s">
        <v>352</v>
      </c>
    </row>
    <row r="5" spans="2:17">
      <c r="B5" s="1487" t="s">
        <v>1811</v>
      </c>
      <c r="C5" s="1488"/>
      <c r="D5" s="1489"/>
      <c r="F5" s="1487" t="s">
        <v>1812</v>
      </c>
      <c r="G5" s="1488"/>
      <c r="H5" s="1489"/>
    </row>
    <row r="6" spans="2:17" ht="17.25" customHeight="1">
      <c r="B6" s="1088" t="s">
        <v>64</v>
      </c>
      <c r="C6" s="1089">
        <f>D18</f>
        <v>5.2712956590590805</v>
      </c>
      <c r="D6" s="1090" t="s">
        <v>65</v>
      </c>
      <c r="F6" s="1088" t="s">
        <v>64</v>
      </c>
      <c r="G6" s="1089">
        <f>D27</f>
        <v>2.5954688293433428</v>
      </c>
      <c r="H6" s="1090" t="s">
        <v>65</v>
      </c>
    </row>
    <row r="7" spans="2:17" ht="16.05" customHeight="1">
      <c r="B7" s="1091" t="s">
        <v>68</v>
      </c>
      <c r="C7" s="1490" t="s">
        <v>94</v>
      </c>
      <c r="D7" s="1491"/>
      <c r="F7" s="1091" t="s">
        <v>1813</v>
      </c>
      <c r="G7" s="1492">
        <f>(G6-C6)/C6</f>
        <v>-0.50762222474035334</v>
      </c>
      <c r="H7" s="1491"/>
    </row>
    <row r="8" spans="2:17">
      <c r="B8" s="1092" t="s">
        <v>28</v>
      </c>
      <c r="C8" s="1493" t="s">
        <v>98</v>
      </c>
      <c r="D8" s="1494"/>
      <c r="F8" s="1092" t="s">
        <v>28</v>
      </c>
      <c r="G8" s="1493" t="s">
        <v>98</v>
      </c>
      <c r="H8" s="1494"/>
    </row>
    <row r="9" spans="2:17">
      <c r="D9" s="1093"/>
      <c r="E9" s="1093"/>
      <c r="I9" s="1177"/>
      <c r="J9" s="1177"/>
      <c r="K9" s="1177"/>
      <c r="L9" s="1177"/>
      <c r="M9" s="1177"/>
      <c r="N9" s="1177"/>
      <c r="O9" s="1177"/>
      <c r="P9" s="1177"/>
      <c r="Q9" s="1177"/>
    </row>
    <row r="10" spans="2:17">
      <c r="K10" s="1177"/>
      <c r="L10" s="1177"/>
      <c r="M10" s="1177"/>
      <c r="N10" s="1177"/>
      <c r="O10" s="1177"/>
      <c r="P10" s="1177"/>
      <c r="Q10" s="1177"/>
    </row>
    <row r="11" spans="2:17">
      <c r="K11" s="1177"/>
      <c r="L11" s="1177"/>
      <c r="M11" s="1177"/>
      <c r="N11" s="1177"/>
      <c r="O11" s="1177"/>
      <c r="P11" s="1177"/>
      <c r="Q11" s="1177"/>
    </row>
    <row r="12" spans="2:17">
      <c r="C12" s="1481" t="s">
        <v>1880</v>
      </c>
      <c r="D12" s="1482"/>
      <c r="E12" s="1483"/>
    </row>
    <row r="13" spans="2:17" ht="46.8">
      <c r="C13" s="1094" t="s">
        <v>1881</v>
      </c>
      <c r="D13" s="1178">
        <f>D39</f>
        <v>1877.8833700499999</v>
      </c>
      <c r="E13" s="1096"/>
    </row>
    <row r="14" spans="2:17" ht="62.4">
      <c r="C14" s="1097" t="s">
        <v>1882</v>
      </c>
      <c r="D14" s="1179">
        <f>D42</f>
        <v>144.56114138557871</v>
      </c>
      <c r="E14" s="1099"/>
    </row>
    <row r="15" spans="2:17">
      <c r="C15" s="1473">
        <v>2020</v>
      </c>
      <c r="D15" s="1474"/>
      <c r="E15" s="1475"/>
    </row>
    <row r="16" spans="2:17" ht="46.8">
      <c r="C16" s="1106" t="s">
        <v>1883</v>
      </c>
      <c r="D16" s="1180">
        <f>'9.alimentaire'!C233</f>
        <v>2.65</v>
      </c>
      <c r="E16" s="1126" t="s">
        <v>1884</v>
      </c>
    </row>
    <row r="17" spans="3:5" ht="31.2">
      <c r="C17" s="1106" t="s">
        <v>1885</v>
      </c>
      <c r="D17" s="1180">
        <f>'9.alimentaire'!C234</f>
        <v>2.04</v>
      </c>
      <c r="E17" s="1126" t="s">
        <v>1873</v>
      </c>
    </row>
    <row r="18" spans="3:5" ht="28.8">
      <c r="C18" s="1131" t="s">
        <v>1831</v>
      </c>
      <c r="D18" s="1181">
        <f>(D16*D13+D14*D17)/1000</f>
        <v>5.2712956590590805</v>
      </c>
      <c r="E18" s="1126"/>
    </row>
    <row r="19" spans="3:5">
      <c r="C19" s="1473" t="s">
        <v>1832</v>
      </c>
      <c r="D19" s="1474"/>
      <c r="E19" s="1475"/>
    </row>
    <row r="20" spans="3:5">
      <c r="C20" s="1519" t="s">
        <v>1886</v>
      </c>
      <c r="D20" s="1520"/>
      <c r="E20" s="1521"/>
    </row>
    <row r="21" spans="3:5" ht="16.05" customHeight="1">
      <c r="C21" s="1519" t="s">
        <v>1887</v>
      </c>
      <c r="D21" s="1520"/>
      <c r="E21" s="1521"/>
    </row>
    <row r="22" spans="3:5" ht="16.05" customHeight="1">
      <c r="C22" s="1514" t="s">
        <v>1888</v>
      </c>
      <c r="D22" s="1515"/>
      <c r="E22" s="1516"/>
    </row>
    <row r="23" spans="3:5">
      <c r="C23" s="1473">
        <v>2050</v>
      </c>
      <c r="D23" s="1474"/>
      <c r="E23" s="1475"/>
    </row>
    <row r="24" spans="3:5" ht="46.8">
      <c r="C24" s="1106" t="s">
        <v>1889</v>
      </c>
      <c r="D24" s="1182">
        <v>0.4</v>
      </c>
      <c r="E24" s="1126" t="s">
        <v>1890</v>
      </c>
    </row>
    <row r="25" spans="3:5" ht="62.4">
      <c r="C25" s="1106" t="s">
        <v>1891</v>
      </c>
      <c r="D25" s="1182">
        <v>0.1</v>
      </c>
      <c r="E25" s="1126" t="s">
        <v>1892</v>
      </c>
    </row>
    <row r="26" spans="3:5" ht="62.4">
      <c r="C26" s="1106" t="s">
        <v>1893</v>
      </c>
      <c r="D26" s="1182">
        <v>0.1</v>
      </c>
      <c r="E26" s="1126" t="s">
        <v>1894</v>
      </c>
    </row>
    <row r="27" spans="3:5" ht="28.8">
      <c r="C27" s="1131" t="s">
        <v>1831</v>
      </c>
      <c r="D27" s="1181">
        <f>(1-D24)*(D16*D13*(10^-3)*(1-D25)*(1-D26) + D17*(10^-3)*D14)</f>
        <v>2.5954688293433428</v>
      </c>
      <c r="E27" s="1126"/>
    </row>
    <row r="28" spans="3:5">
      <c r="C28" s="1134" t="s">
        <v>1845</v>
      </c>
      <c r="D28" s="1183">
        <f>D27/D18</f>
        <v>0.4923777752596466</v>
      </c>
      <c r="E28" s="1184"/>
    </row>
    <row r="34" spans="3:6">
      <c r="C34" s="1517" t="s">
        <v>1895</v>
      </c>
      <c r="D34" s="1518"/>
      <c r="E34" s="1518"/>
      <c r="F34" s="1518"/>
    </row>
    <row r="35" spans="3:6">
      <c r="C35" s="1137"/>
      <c r="D35" s="1185" t="s">
        <v>1896</v>
      </c>
      <c r="E35" s="1185" t="s">
        <v>1897</v>
      </c>
      <c r="F35" s="1186" t="s">
        <v>1898</v>
      </c>
    </row>
    <row r="36" spans="3:6">
      <c r="C36" s="1187" t="s">
        <v>364</v>
      </c>
      <c r="D36" s="1188">
        <f>'9.alimentaire'!C36</f>
        <v>549.89401710000004</v>
      </c>
      <c r="E36" s="1189">
        <f>'9.alimentaire'!D36</f>
        <v>1.4572191453150001</v>
      </c>
      <c r="F36" s="1190">
        <f t="shared" ref="F36:F42" si="0">E36*(1-$G$7)</f>
        <v>2.1969359697940369</v>
      </c>
    </row>
    <row r="37" spans="3:6">
      <c r="C37" s="1187" t="s">
        <v>365</v>
      </c>
      <c r="D37" s="1188">
        <f>'9.alimentaire'!C37</f>
        <v>744.27409995000005</v>
      </c>
      <c r="E37" s="1189">
        <f>'9.alimentaire'!D37</f>
        <v>1.9723263648675002</v>
      </c>
      <c r="F37" s="1190">
        <f t="shared" si="0"/>
        <v>2.973523062115595</v>
      </c>
    </row>
    <row r="38" spans="3:6">
      <c r="C38" s="1187" t="s">
        <v>366</v>
      </c>
      <c r="D38" s="1188">
        <f>'9.alimentaire'!C38</f>
        <v>583.71525299999996</v>
      </c>
      <c r="E38" s="1189">
        <f>'9.alimentaire'!D38</f>
        <v>1.54684542045</v>
      </c>
      <c r="F38" s="1190">
        <f t="shared" si="0"/>
        <v>2.3320585341082563</v>
      </c>
    </row>
    <row r="39" spans="3:6">
      <c r="C39" s="1191" t="s">
        <v>1899</v>
      </c>
      <c r="D39" s="1192">
        <f>SUM(D36:D38)</f>
        <v>1877.8833700499999</v>
      </c>
      <c r="E39" s="1193">
        <f>SUM(E36:E38)</f>
        <v>4.9763909306325003</v>
      </c>
      <c r="F39" s="1194"/>
    </row>
    <row r="40" spans="3:6">
      <c r="C40" s="1187" t="s">
        <v>367</v>
      </c>
      <c r="D40" s="1188">
        <f>'9.alimentaire'!C39</f>
        <v>111.14415</v>
      </c>
      <c r="E40" s="1195">
        <f>'9.alimentaire'!D39</f>
        <v>0.22673406599999998</v>
      </c>
      <c r="F40" s="1190">
        <f t="shared" si="0"/>
        <v>0.34182931700734609</v>
      </c>
    </row>
    <row r="41" spans="3:6" ht="28.8">
      <c r="C41" s="1144" t="s">
        <v>368</v>
      </c>
      <c r="D41" s="1188">
        <f>'9.alimentaire'!C40</f>
        <v>33.416991385578697</v>
      </c>
      <c r="E41" s="1195">
        <f>'9.alimentaire'!D40</f>
        <v>6.8170662426580556E-2</v>
      </c>
      <c r="F41" s="1190">
        <f t="shared" si="0"/>
        <v>0.102775605749585</v>
      </c>
    </row>
    <row r="42" spans="3:6">
      <c r="C42" s="1145" t="s">
        <v>1900</v>
      </c>
      <c r="D42" s="1196">
        <f>D40+D41</f>
        <v>144.56114138557871</v>
      </c>
      <c r="E42" s="1197">
        <f>E40+E41</f>
        <v>0.29490472842658055</v>
      </c>
      <c r="F42" s="1136">
        <f t="shared" si="0"/>
        <v>0.44460492275693114</v>
      </c>
    </row>
    <row r="46" spans="3:6">
      <c r="C46" s="1517" t="s">
        <v>1901</v>
      </c>
      <c r="D46" s="1518"/>
      <c r="E46" s="1518"/>
      <c r="F46" s="1518"/>
    </row>
    <row r="47" spans="3:6">
      <c r="C47" s="1198"/>
      <c r="D47" s="1198" t="s">
        <v>1059</v>
      </c>
      <c r="E47" s="1198" t="s">
        <v>129</v>
      </c>
      <c r="F47" s="1198" t="s">
        <v>130</v>
      </c>
    </row>
    <row r="48" spans="3:6" ht="46.8">
      <c r="C48" s="1198" t="s">
        <v>1902</v>
      </c>
      <c r="D48" s="1199">
        <v>66</v>
      </c>
      <c r="E48" s="1199" t="s">
        <v>1903</v>
      </c>
      <c r="F48" s="1200" t="s">
        <v>1904</v>
      </c>
    </row>
    <row r="49" spans="3:6" ht="46.8">
      <c r="C49" s="1198" t="s">
        <v>1905</v>
      </c>
      <c r="D49" s="1199">
        <v>133</v>
      </c>
      <c r="E49" s="1199" t="s">
        <v>1903</v>
      </c>
      <c r="F49" s="1200" t="s">
        <v>1904</v>
      </c>
    </row>
    <row r="50" spans="3:6" ht="28.8">
      <c r="C50" s="1198" t="s">
        <v>1906</v>
      </c>
      <c r="D50" s="1199">
        <f>2.383</f>
        <v>2.383</v>
      </c>
      <c r="E50" s="1199" t="s">
        <v>1907</v>
      </c>
      <c r="F50" s="1129" t="s">
        <v>1908</v>
      </c>
    </row>
    <row r="51" spans="3:6" ht="28.8">
      <c r="C51" s="1198" t="s">
        <v>1909</v>
      </c>
      <c r="D51" s="1199">
        <f>0.919</f>
        <v>0.91900000000000004</v>
      </c>
      <c r="E51" s="1199" t="s">
        <v>1907</v>
      </c>
      <c r="F51" s="1129" t="s">
        <v>1910</v>
      </c>
    </row>
    <row r="52" spans="3:6" ht="43.2">
      <c r="C52" s="1198" t="s">
        <v>1911</v>
      </c>
      <c r="D52" s="1199">
        <f>(D51*D49+D50*D48)*10^-3</f>
        <v>0.279505</v>
      </c>
      <c r="E52" s="1199" t="s">
        <v>1912</v>
      </c>
      <c r="F52" s="1129"/>
    </row>
    <row r="53" spans="3:6" ht="57.6">
      <c r="C53" s="1201" t="s">
        <v>1913</v>
      </c>
      <c r="D53" s="1202">
        <f>D52/D16</f>
        <v>0.10547358490566039</v>
      </c>
      <c r="E53" s="1203"/>
      <c r="F53" s="1204"/>
    </row>
  </sheetData>
  <mergeCells count="15">
    <mergeCell ref="B5:D5"/>
    <mergeCell ref="F5:H5"/>
    <mergeCell ref="C7:D7"/>
    <mergeCell ref="G7:H7"/>
    <mergeCell ref="C8:D8"/>
    <mergeCell ref="G8:H8"/>
    <mergeCell ref="C22:E22"/>
    <mergeCell ref="C23:E23"/>
    <mergeCell ref="C34:F34"/>
    <mergeCell ref="C46:F46"/>
    <mergeCell ref="C12:E12"/>
    <mergeCell ref="C15:E15"/>
    <mergeCell ref="C19:E19"/>
    <mergeCell ref="C20:E20"/>
    <mergeCell ref="C21:E21"/>
  </mergeCells>
  <conditionalFormatting sqref="C8:D8">
    <cfRule type="containsText" dxfId="210" priority="31" operator="containsText" text="Calcul brouillon, odg">
      <formula>NOT(ISERROR(SEARCH("Calcul brouillon, odg",C8)))</formula>
    </cfRule>
  </conditionalFormatting>
  <conditionalFormatting sqref="C8">
    <cfRule type="containsText" dxfId="209" priority="30" operator="containsText" text="Calcul validé">
      <formula>NOT(ISERROR(SEARCH("Calcul validé",C8)))</formula>
    </cfRule>
  </conditionalFormatting>
  <conditionalFormatting sqref="C8">
    <cfRule type="containsText" dxfId="208" priority="29" operator="containsText" text="Bon ordre de grandeur">
      <formula>NOT(ISERROR(SEARCH("Bon ordre de grandeur",C8)))</formula>
    </cfRule>
  </conditionalFormatting>
  <conditionalFormatting sqref="C8">
    <cfRule type="containsText" dxfId="207" priority="28" operator="containsText" text="Calcul brouillon, ordre de grandeur">
      <formula>NOT(ISERROR(SEARCH("Calcul brouillon, ordre de grandeur",C8)))</formula>
    </cfRule>
  </conditionalFormatting>
  <conditionalFormatting sqref="C8">
    <cfRule type="containsText" dxfId="206" priority="27" operator="containsText" text="Pas ok">
      <formula>NOT(ISERROR(SEARCH("Pas ok",C8)))</formula>
    </cfRule>
  </conditionalFormatting>
  <conditionalFormatting sqref="C8">
    <cfRule type="containsText" dxfId="205" priority="26" operator="containsText" text="Calcul validé">
      <formula>NOT(ISERROR(SEARCH("Calcul validé",C8)))</formula>
    </cfRule>
  </conditionalFormatting>
  <conditionalFormatting sqref="C8">
    <cfRule type="containsText" dxfId="204" priority="25" operator="containsText" text="Calcul validé">
      <formula>NOT(ISERROR(SEARCH("Calcul validé",C8)))</formula>
    </cfRule>
  </conditionalFormatting>
  <conditionalFormatting sqref="C8">
    <cfRule type="containsText" dxfId="203" priority="24" operator="containsText" text="Bon ordre de grandeur">
      <formula>NOT(ISERROR(SEARCH("Bon ordre de grandeur",C8)))</formula>
    </cfRule>
  </conditionalFormatting>
  <conditionalFormatting sqref="C8">
    <cfRule type="containsText" dxfId="202" priority="23" operator="containsText" text="Calcul brouillon, ordre de grandeur">
      <formula>NOT(ISERROR(SEARCH("Calcul brouillon, ordre de grandeur",C8)))</formula>
    </cfRule>
  </conditionalFormatting>
  <conditionalFormatting sqref="C8">
    <cfRule type="containsText" dxfId="201" priority="22" operator="containsText" text="Pas ok">
      <formula>NOT(ISERROR(SEARCH("Pas ok",C8)))</formula>
    </cfRule>
  </conditionalFormatting>
  <conditionalFormatting sqref="D9:E9">
    <cfRule type="containsText" dxfId="200" priority="21" operator="containsText" text="Calcul brouillon, odg">
      <formula>NOT(ISERROR(SEARCH("Calcul brouillon, odg",D9)))</formula>
    </cfRule>
  </conditionalFormatting>
  <conditionalFormatting sqref="D9">
    <cfRule type="containsText" dxfId="199" priority="20" operator="containsText" text="Calcul validé">
      <formula>NOT(ISERROR(SEARCH("Calcul validé",D9)))</formula>
    </cfRule>
  </conditionalFormatting>
  <conditionalFormatting sqref="D9">
    <cfRule type="containsText" dxfId="198" priority="19" operator="containsText" text="Bon ordre de grandeur">
      <formula>NOT(ISERROR(SEARCH("Bon ordre de grandeur",D9)))</formula>
    </cfRule>
  </conditionalFormatting>
  <conditionalFormatting sqref="D9">
    <cfRule type="containsText" dxfId="197" priority="18" operator="containsText" text="Calcul brouillon, ordre de grandeur">
      <formula>NOT(ISERROR(SEARCH("Calcul brouillon, ordre de grandeur",D9)))</formula>
    </cfRule>
  </conditionalFormatting>
  <conditionalFormatting sqref="D9">
    <cfRule type="containsText" dxfId="196" priority="17" operator="containsText" text="Pas ok">
      <formula>NOT(ISERROR(SEARCH("Pas ok",D9)))</formula>
    </cfRule>
  </conditionalFormatting>
  <conditionalFormatting sqref="D9">
    <cfRule type="containsText" dxfId="195" priority="16" operator="containsText" text="Calcul validé">
      <formula>NOT(ISERROR(SEARCH("Calcul validé",D9)))</formula>
    </cfRule>
  </conditionalFormatting>
  <conditionalFormatting sqref="D9">
    <cfRule type="containsText" dxfId="194" priority="15" operator="containsText" text="Calcul validé">
      <formula>NOT(ISERROR(SEARCH("Calcul validé",D9)))</formula>
    </cfRule>
  </conditionalFormatting>
  <conditionalFormatting sqref="D9">
    <cfRule type="containsText" dxfId="193" priority="14" operator="containsText" text="Bon ordre de grandeur">
      <formula>NOT(ISERROR(SEARCH("Bon ordre de grandeur",D9)))</formula>
    </cfRule>
  </conditionalFormatting>
  <conditionalFormatting sqref="D9">
    <cfRule type="containsText" dxfId="192" priority="13" operator="containsText" text="Calcul brouillon, ordre de grandeur">
      <formula>NOT(ISERROR(SEARCH("Calcul brouillon, ordre de grandeur",D9)))</formula>
    </cfRule>
  </conditionalFormatting>
  <conditionalFormatting sqref="D9">
    <cfRule type="containsText" dxfId="191" priority="12" operator="containsText" text="Pas ok">
      <formula>NOT(ISERROR(SEARCH("Pas ok",D9)))</formula>
    </cfRule>
  </conditionalFormatting>
  <conditionalFormatting sqref="E36:E38 D35:D42">
    <cfRule type="containsText" dxfId="190" priority="11" operator="containsText" text="Calcul brouillon, odg">
      <formula>NOT(ISERROR(SEARCH("Calcul brouillon, odg",D35)))</formula>
    </cfRule>
  </conditionalFormatting>
  <conditionalFormatting sqref="G8:H8">
    <cfRule type="containsText" dxfId="189" priority="10" operator="containsText" text="Calcul brouillon, odg">
      <formula>NOT(ISERROR(SEARCH("Calcul brouillon, odg",G8)))</formula>
    </cfRule>
  </conditionalFormatting>
  <conditionalFormatting sqref="G8">
    <cfRule type="containsText" dxfId="188" priority="9" operator="containsText" text="Calcul validé">
      <formula>NOT(ISERROR(SEARCH("Calcul validé",G8)))</formula>
    </cfRule>
  </conditionalFormatting>
  <conditionalFormatting sqref="G8">
    <cfRule type="containsText" dxfId="187" priority="8" operator="containsText" text="Bon ordre de grandeur">
      <formula>NOT(ISERROR(SEARCH("Bon ordre de grandeur",G8)))</formula>
    </cfRule>
  </conditionalFormatting>
  <conditionalFormatting sqref="G8">
    <cfRule type="containsText" dxfId="186" priority="7" operator="containsText" text="Calcul brouillon, ordre de grandeur">
      <formula>NOT(ISERROR(SEARCH("Calcul brouillon, ordre de grandeur",G8)))</formula>
    </cfRule>
  </conditionalFormatting>
  <conditionalFormatting sqref="G8">
    <cfRule type="containsText" dxfId="185" priority="6" operator="containsText" text="Pas ok">
      <formula>NOT(ISERROR(SEARCH("Pas ok",G8)))</formula>
    </cfRule>
  </conditionalFormatting>
  <conditionalFormatting sqref="G8">
    <cfRule type="containsText" dxfId="184" priority="5" operator="containsText" text="Calcul validé">
      <formula>NOT(ISERROR(SEARCH("Calcul validé",G8)))</formula>
    </cfRule>
  </conditionalFormatting>
  <conditionalFormatting sqref="G8">
    <cfRule type="containsText" dxfId="183" priority="4" operator="containsText" text="Calcul validé">
      <formula>NOT(ISERROR(SEARCH("Calcul validé",G8)))</formula>
    </cfRule>
  </conditionalFormatting>
  <conditionalFormatting sqref="G8">
    <cfRule type="containsText" dxfId="182" priority="3" operator="containsText" text="Bon ordre de grandeur">
      <formula>NOT(ISERROR(SEARCH("Bon ordre de grandeur",G8)))</formula>
    </cfRule>
  </conditionalFormatting>
  <conditionalFormatting sqref="G8">
    <cfRule type="containsText" dxfId="181" priority="2" operator="containsText" text="Calcul brouillon, ordre de grandeur">
      <formula>NOT(ISERROR(SEARCH("Calcul brouillon, ordre de grandeur",G8)))</formula>
    </cfRule>
  </conditionalFormatting>
  <conditionalFormatting sqref="G8">
    <cfRule type="containsText" dxfId="180" priority="1" operator="containsText" text="Pas ok">
      <formula>NOT(ISERROR(SEARCH("Pas ok",G8)))</formula>
    </cfRule>
  </conditionalFormatting>
  <pageMargins left="0.7" right="0.7" top="0.75" bottom="0.75" header="0.3" footer="0.3"/>
  <pageSetup paperSize="9" orientation="portrait"/>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52">
    <tabColor rgb="FF00B0F0"/>
  </sheetPr>
  <dimension ref="A1:H32"/>
  <sheetViews>
    <sheetView topLeftCell="A4" zoomScale="50" workbookViewId="0">
      <selection activeCell="C37" sqref="C37"/>
    </sheetView>
  </sheetViews>
  <sheetFormatPr baseColWidth="10" defaultRowHeight="14.4"/>
  <cols>
    <col min="2" max="2" width="49.44140625" customWidth="1"/>
    <col min="3" max="3" width="24.44140625" customWidth="1"/>
    <col min="4" max="4" width="25.77734375" customWidth="1"/>
    <col min="5" max="5" width="106.109375" customWidth="1"/>
    <col min="6" max="6" width="49.44140625" customWidth="1"/>
    <col min="7" max="7" width="46.44140625" customWidth="1"/>
    <col min="8" max="8" width="25.77734375" customWidth="1"/>
  </cols>
  <sheetData>
    <row r="1" spans="1:8" ht="15.6">
      <c r="A1" s="1086"/>
      <c r="B1" s="1086"/>
      <c r="C1" s="1086"/>
      <c r="D1" s="1086"/>
      <c r="E1" s="1086"/>
      <c r="F1" s="1086"/>
      <c r="G1" s="1086"/>
      <c r="H1" s="1086"/>
    </row>
    <row r="2" spans="1:8" ht="18">
      <c r="A2" s="1086"/>
      <c r="B2" s="57" t="s">
        <v>1914</v>
      </c>
      <c r="C2" s="1086"/>
      <c r="D2" s="1086"/>
      <c r="E2" s="1086"/>
      <c r="F2" s="1086"/>
      <c r="G2" s="1086"/>
      <c r="H2" s="1086"/>
    </row>
    <row r="3" spans="1:8" ht="15.6">
      <c r="A3" s="1086"/>
      <c r="B3" s="1086"/>
      <c r="C3" s="1086"/>
      <c r="D3" s="1086"/>
      <c r="E3" s="1086"/>
      <c r="F3" s="1086"/>
      <c r="G3" s="1086"/>
      <c r="H3" s="1086"/>
    </row>
    <row r="4" spans="1:8" ht="15.6">
      <c r="A4" s="1086"/>
      <c r="B4" s="1086"/>
      <c r="C4" s="1086"/>
      <c r="D4" s="1086"/>
      <c r="E4" s="1086"/>
      <c r="F4" s="1086"/>
      <c r="G4" s="1086"/>
      <c r="H4" s="1086"/>
    </row>
    <row r="5" spans="1:8" ht="15.6">
      <c r="A5" s="1086"/>
      <c r="B5" s="1487" t="s">
        <v>1811</v>
      </c>
      <c r="C5" s="1488"/>
      <c r="D5" s="1489"/>
      <c r="E5" s="1086"/>
      <c r="F5" s="1487" t="s">
        <v>1812</v>
      </c>
      <c r="G5" s="1488"/>
      <c r="H5" s="1489"/>
    </row>
    <row r="6" spans="1:8" ht="15.6">
      <c r="A6" s="1086"/>
      <c r="B6" s="1088" t="s">
        <v>64</v>
      </c>
      <c r="C6" s="1089">
        <f>'13'!C6</f>
        <v>0.42319565962499994</v>
      </c>
      <c r="D6" s="1090" t="s">
        <v>65</v>
      </c>
      <c r="E6" s="1086"/>
      <c r="F6" s="1088" t="s">
        <v>64</v>
      </c>
      <c r="G6" s="1089">
        <f>D26</f>
        <v>0.225850533375</v>
      </c>
      <c r="H6" s="1090" t="s">
        <v>65</v>
      </c>
    </row>
    <row r="7" spans="1:8" ht="15.6">
      <c r="A7" s="1086"/>
      <c r="B7" s="1091" t="s">
        <v>68</v>
      </c>
      <c r="C7" s="1490" t="str">
        <f>'13'!C10</f>
        <v>v1.2</v>
      </c>
      <c r="D7" s="1491"/>
      <c r="E7" s="1086"/>
      <c r="F7" s="1091" t="s">
        <v>1813</v>
      </c>
      <c r="G7" s="1492">
        <f>(G6-C6)/C6</f>
        <v>-0.466321243523316</v>
      </c>
      <c r="H7" s="1491"/>
    </row>
    <row r="8" spans="1:8" ht="15.6">
      <c r="A8" s="1086"/>
      <c r="B8" s="1092" t="s">
        <v>28</v>
      </c>
      <c r="C8" s="1493" t="s">
        <v>98</v>
      </c>
      <c r="D8" s="1494"/>
      <c r="E8" s="1086"/>
      <c r="F8" s="1092" t="s">
        <v>28</v>
      </c>
      <c r="G8" s="1493" t="s">
        <v>98</v>
      </c>
      <c r="H8" s="1494"/>
    </row>
    <row r="9" spans="1:8" ht="15.6">
      <c r="A9" s="1086"/>
      <c r="B9" s="1086"/>
      <c r="C9" s="1086"/>
      <c r="D9" s="1093"/>
      <c r="E9" s="1093"/>
      <c r="F9" s="1086"/>
      <c r="G9" s="1086"/>
      <c r="H9" s="1086"/>
    </row>
    <row r="10" spans="1:8" ht="15.6">
      <c r="A10" s="1086"/>
      <c r="B10" s="1086"/>
      <c r="C10" s="1086"/>
      <c r="D10" s="1086"/>
      <c r="E10" s="1086"/>
      <c r="F10" s="1086"/>
      <c r="G10" s="1086"/>
      <c r="H10" s="1086"/>
    </row>
    <row r="11" spans="1:8" ht="15.6">
      <c r="A11" s="1086"/>
      <c r="B11" s="1086"/>
      <c r="C11" s="1086"/>
      <c r="D11" s="1086"/>
      <c r="E11" s="1086"/>
      <c r="F11" s="1086"/>
      <c r="G11" s="1086"/>
      <c r="H11" s="1086"/>
    </row>
    <row r="12" spans="1:8" ht="15.6">
      <c r="A12" s="1086"/>
      <c r="B12" s="1086"/>
      <c r="C12" s="1086"/>
      <c r="D12" s="1086"/>
      <c r="E12" s="1086"/>
      <c r="F12" s="1086"/>
      <c r="G12" s="1086"/>
      <c r="H12" s="1086"/>
    </row>
    <row r="13" spans="1:8" ht="15.6">
      <c r="A13" s="1086"/>
      <c r="B13" s="1086"/>
      <c r="C13" s="1481" t="s">
        <v>1915</v>
      </c>
      <c r="D13" s="1482"/>
      <c r="E13" s="1483"/>
      <c r="F13" s="1086"/>
      <c r="G13" s="1086"/>
      <c r="H13" s="1086"/>
    </row>
    <row r="14" spans="1:8" ht="15.6">
      <c r="A14" s="1086"/>
      <c r="B14" s="1086"/>
      <c r="C14" s="1473">
        <v>2020</v>
      </c>
      <c r="D14" s="1474"/>
      <c r="E14" s="1475"/>
      <c r="F14" s="1086"/>
      <c r="G14" s="1086"/>
      <c r="H14" s="1086"/>
    </row>
    <row r="15" spans="1:8" ht="31.2">
      <c r="A15" s="1086"/>
      <c r="B15" s="1086"/>
      <c r="C15" s="1205" t="s">
        <v>1916</v>
      </c>
      <c r="D15" s="1206">
        <f>'13'!C36</f>
        <v>1747083624.9999998</v>
      </c>
      <c r="E15" s="1180"/>
      <c r="F15" s="1086"/>
      <c r="G15" s="1086"/>
      <c r="H15" s="1086"/>
    </row>
    <row r="16" spans="1:8" ht="31.2">
      <c r="A16" s="1086"/>
      <c r="B16" s="1086"/>
      <c r="C16" s="1205" t="s">
        <v>1917</v>
      </c>
      <c r="D16" s="1206">
        <f>'13'!C70</f>
        <v>239520000</v>
      </c>
      <c r="E16" s="1180"/>
      <c r="F16" s="1086"/>
      <c r="G16" s="1086"/>
      <c r="H16" s="1086"/>
    </row>
    <row r="17" spans="1:8" ht="46.8">
      <c r="A17" s="1086"/>
      <c r="B17" s="1086"/>
      <c r="C17" s="1205" t="s">
        <v>1918</v>
      </c>
      <c r="D17" s="1206">
        <f>'13'!C55</f>
        <v>206120000</v>
      </c>
      <c r="E17" s="1180"/>
      <c r="F17" s="1086"/>
      <c r="G17" s="1086"/>
      <c r="H17" s="1086"/>
    </row>
    <row r="18" spans="1:8" ht="31.2">
      <c r="A18" s="1086"/>
      <c r="B18" s="1207"/>
      <c r="C18" s="1205" t="s">
        <v>1919</v>
      </c>
      <c r="D18" s="1208">
        <f>SUM(D15:D17)</f>
        <v>2192723625</v>
      </c>
      <c r="E18" s="1180"/>
      <c r="F18" s="1086"/>
      <c r="G18" s="1086"/>
      <c r="H18" s="1086"/>
    </row>
    <row r="19" spans="1:8" ht="31.2">
      <c r="A19" s="1086"/>
      <c r="B19" s="1086"/>
      <c r="C19" s="1106" t="s">
        <v>1920</v>
      </c>
      <c r="D19" s="1209" t="e">
        <f>'13'!#REF!</f>
        <v>#REF!</v>
      </c>
      <c r="E19" s="219" t="s">
        <v>1077</v>
      </c>
      <c r="F19" s="1086"/>
      <c r="G19" s="1086"/>
      <c r="H19" s="1086"/>
    </row>
    <row r="20" spans="1:8" ht="28.8">
      <c r="A20" s="1086"/>
      <c r="B20" s="1086"/>
      <c r="C20" s="1131" t="s">
        <v>1831</v>
      </c>
      <c r="D20" s="1210">
        <f>'13'!C6</f>
        <v>0.42319565962499994</v>
      </c>
      <c r="E20" s="1126"/>
      <c r="F20" s="1086"/>
      <c r="G20" s="1086"/>
      <c r="H20" s="1086"/>
    </row>
    <row r="21" spans="1:8" ht="15.6">
      <c r="A21" s="1086"/>
      <c r="B21" s="1086"/>
      <c r="C21" s="1522" t="s">
        <v>1832</v>
      </c>
      <c r="D21" s="1523"/>
      <c r="E21" s="1524"/>
      <c r="F21" s="1086"/>
      <c r="G21" s="1086"/>
      <c r="H21" s="1086"/>
    </row>
    <row r="22" spans="1:8" ht="15.6">
      <c r="A22" s="1086"/>
      <c r="B22" s="1086"/>
      <c r="C22" s="1519" t="s">
        <v>1921</v>
      </c>
      <c r="D22" s="1520"/>
      <c r="E22" s="1521"/>
      <c r="F22" s="1086"/>
      <c r="G22" s="1086"/>
      <c r="H22" s="1086"/>
    </row>
    <row r="23" spans="1:8" ht="15.6">
      <c r="A23" s="1086"/>
      <c r="B23" s="1086"/>
      <c r="C23" s="1525" t="s">
        <v>1922</v>
      </c>
      <c r="D23" s="1526"/>
      <c r="E23" s="1527"/>
      <c r="F23" s="1086"/>
      <c r="G23" s="1086"/>
      <c r="H23" s="1086"/>
    </row>
    <row r="24" spans="1:8" ht="15.6">
      <c r="A24" s="1086"/>
      <c r="B24" s="1086"/>
      <c r="C24" s="1473">
        <v>2050</v>
      </c>
      <c r="D24" s="1474"/>
      <c r="E24" s="1475"/>
      <c r="F24" s="1086"/>
      <c r="G24" s="1086"/>
      <c r="H24" s="1086"/>
    </row>
    <row r="25" spans="1:8" ht="31.2">
      <c r="A25" s="1086"/>
      <c r="B25" s="1086"/>
      <c r="C25" s="1106" t="s">
        <v>1920</v>
      </c>
      <c r="D25" s="1211">
        <v>0.10299999999999999</v>
      </c>
      <c r="E25" s="1126" t="s">
        <v>1923</v>
      </c>
      <c r="F25" s="1086"/>
      <c r="G25" s="1086"/>
      <c r="H25" s="1086"/>
    </row>
    <row r="26" spans="1:8" ht="28.8">
      <c r="A26" s="1086"/>
      <c r="B26" s="1086"/>
      <c r="C26" s="1131" t="s">
        <v>1831</v>
      </c>
      <c r="D26" s="1212">
        <f>D18*D25/10^9</f>
        <v>0.225850533375</v>
      </c>
      <c r="E26" s="1126"/>
      <c r="F26" s="1086"/>
      <c r="G26" s="1086"/>
      <c r="H26" s="1086"/>
    </row>
    <row r="27" spans="1:8" ht="15.6">
      <c r="A27" s="1086"/>
      <c r="B27" s="1086"/>
      <c r="C27" s="1134" t="s">
        <v>1845</v>
      </c>
      <c r="D27" s="1183">
        <f>D26/D20</f>
        <v>0.53367875647668395</v>
      </c>
      <c r="E27" s="1184"/>
      <c r="F27" s="1086"/>
      <c r="G27" s="1086"/>
      <c r="H27" s="1086"/>
    </row>
    <row r="32" spans="1:8" ht="15.6">
      <c r="E32" s="1213"/>
    </row>
  </sheetData>
  <mergeCells count="12">
    <mergeCell ref="B5:D5"/>
    <mergeCell ref="F5:H5"/>
    <mergeCell ref="C7:D7"/>
    <mergeCell ref="G7:H7"/>
    <mergeCell ref="C8:D8"/>
    <mergeCell ref="G8:H8"/>
    <mergeCell ref="C24:E24"/>
    <mergeCell ref="C13:E13"/>
    <mergeCell ref="C14:E14"/>
    <mergeCell ref="C21:E21"/>
    <mergeCell ref="C22:E22"/>
    <mergeCell ref="C23:E23"/>
  </mergeCells>
  <conditionalFormatting sqref="C8:D8">
    <cfRule type="containsText" dxfId="179" priority="30" operator="containsText" text="Calcul brouillon, odg">
      <formula>NOT(ISERROR(SEARCH("Calcul brouillon, odg",C8)))</formula>
    </cfRule>
  </conditionalFormatting>
  <conditionalFormatting sqref="C8">
    <cfRule type="containsText" dxfId="178" priority="29" operator="containsText" text="Calcul validé">
      <formula>NOT(ISERROR(SEARCH("Calcul validé",C8)))</formula>
    </cfRule>
  </conditionalFormatting>
  <conditionalFormatting sqref="C8">
    <cfRule type="containsText" dxfId="177" priority="28" operator="containsText" text="Bon ordre de grandeur">
      <formula>NOT(ISERROR(SEARCH("Bon ordre de grandeur",C8)))</formula>
    </cfRule>
  </conditionalFormatting>
  <conditionalFormatting sqref="C8">
    <cfRule type="containsText" dxfId="176" priority="27" operator="containsText" text="Calcul brouillon, ordre de grandeur">
      <formula>NOT(ISERROR(SEARCH("Calcul brouillon, ordre de grandeur",C8)))</formula>
    </cfRule>
  </conditionalFormatting>
  <conditionalFormatting sqref="C8">
    <cfRule type="containsText" dxfId="175" priority="26" operator="containsText" text="Pas ok">
      <formula>NOT(ISERROR(SEARCH("Pas ok",C8)))</formula>
    </cfRule>
  </conditionalFormatting>
  <conditionalFormatting sqref="C8">
    <cfRule type="containsText" dxfId="174" priority="25" operator="containsText" text="Calcul validé">
      <formula>NOT(ISERROR(SEARCH("Calcul validé",C8)))</formula>
    </cfRule>
  </conditionalFormatting>
  <conditionalFormatting sqref="C8">
    <cfRule type="containsText" dxfId="173" priority="24" operator="containsText" text="Calcul validé">
      <formula>NOT(ISERROR(SEARCH("Calcul validé",C8)))</formula>
    </cfRule>
  </conditionalFormatting>
  <conditionalFormatting sqref="C8">
    <cfRule type="containsText" dxfId="172" priority="23" operator="containsText" text="Bon ordre de grandeur">
      <formula>NOT(ISERROR(SEARCH("Bon ordre de grandeur",C8)))</formula>
    </cfRule>
  </conditionalFormatting>
  <conditionalFormatting sqref="C8">
    <cfRule type="containsText" dxfId="171" priority="22" operator="containsText" text="Calcul brouillon, ordre de grandeur">
      <formula>NOT(ISERROR(SEARCH("Calcul brouillon, ordre de grandeur",C8)))</formula>
    </cfRule>
  </conditionalFormatting>
  <conditionalFormatting sqref="C8">
    <cfRule type="containsText" dxfId="170" priority="21" operator="containsText" text="Pas ok">
      <formula>NOT(ISERROR(SEARCH("Pas ok",C8)))</formula>
    </cfRule>
  </conditionalFormatting>
  <conditionalFormatting sqref="D9:E9">
    <cfRule type="containsText" dxfId="169" priority="20" operator="containsText" text="Calcul brouillon, odg">
      <formula>NOT(ISERROR(SEARCH("Calcul brouillon, odg",D9)))</formula>
    </cfRule>
  </conditionalFormatting>
  <conditionalFormatting sqref="D9">
    <cfRule type="containsText" dxfId="168" priority="19" operator="containsText" text="Calcul validé">
      <formula>NOT(ISERROR(SEARCH("Calcul validé",D9)))</formula>
    </cfRule>
  </conditionalFormatting>
  <conditionalFormatting sqref="D9">
    <cfRule type="containsText" dxfId="167" priority="18" operator="containsText" text="Bon ordre de grandeur">
      <formula>NOT(ISERROR(SEARCH("Bon ordre de grandeur",D9)))</formula>
    </cfRule>
  </conditionalFormatting>
  <conditionalFormatting sqref="D9">
    <cfRule type="containsText" dxfId="166" priority="17" operator="containsText" text="Calcul brouillon, ordre de grandeur">
      <formula>NOT(ISERROR(SEARCH("Calcul brouillon, ordre de grandeur",D9)))</formula>
    </cfRule>
  </conditionalFormatting>
  <conditionalFormatting sqref="D9">
    <cfRule type="containsText" dxfId="165" priority="16" operator="containsText" text="Pas ok">
      <formula>NOT(ISERROR(SEARCH("Pas ok",D9)))</formula>
    </cfRule>
  </conditionalFormatting>
  <conditionalFormatting sqref="D9">
    <cfRule type="containsText" dxfId="164" priority="15" operator="containsText" text="Calcul validé">
      <formula>NOT(ISERROR(SEARCH("Calcul validé",D9)))</formula>
    </cfRule>
  </conditionalFormatting>
  <conditionalFormatting sqref="D9">
    <cfRule type="containsText" dxfId="163" priority="14" operator="containsText" text="Calcul validé">
      <formula>NOT(ISERROR(SEARCH("Calcul validé",D9)))</formula>
    </cfRule>
  </conditionalFormatting>
  <conditionalFormatting sqref="D9">
    <cfRule type="containsText" dxfId="162" priority="13" operator="containsText" text="Bon ordre de grandeur">
      <formula>NOT(ISERROR(SEARCH("Bon ordre de grandeur",D9)))</formula>
    </cfRule>
  </conditionalFormatting>
  <conditionalFormatting sqref="D9">
    <cfRule type="containsText" dxfId="161" priority="12" operator="containsText" text="Calcul brouillon, ordre de grandeur">
      <formula>NOT(ISERROR(SEARCH("Calcul brouillon, ordre de grandeur",D9)))</formula>
    </cfRule>
  </conditionalFormatting>
  <conditionalFormatting sqref="D9">
    <cfRule type="containsText" dxfId="160" priority="11" operator="containsText" text="Pas ok">
      <formula>NOT(ISERROR(SEARCH("Pas ok",D9)))</formula>
    </cfRule>
  </conditionalFormatting>
  <conditionalFormatting sqref="G8:H8">
    <cfRule type="containsText" dxfId="159" priority="10" operator="containsText" text="Calcul brouillon, odg">
      <formula>NOT(ISERROR(SEARCH("Calcul brouillon, odg",G8)))</formula>
    </cfRule>
  </conditionalFormatting>
  <conditionalFormatting sqref="G8">
    <cfRule type="containsText" dxfId="158" priority="9" operator="containsText" text="Calcul validé">
      <formula>NOT(ISERROR(SEARCH("Calcul validé",G8)))</formula>
    </cfRule>
  </conditionalFormatting>
  <conditionalFormatting sqref="G8">
    <cfRule type="containsText" dxfId="157" priority="8" operator="containsText" text="Bon ordre de grandeur">
      <formula>NOT(ISERROR(SEARCH("Bon ordre de grandeur",G8)))</formula>
    </cfRule>
  </conditionalFormatting>
  <conditionalFormatting sqref="G8">
    <cfRule type="containsText" dxfId="156" priority="7" operator="containsText" text="Calcul brouillon, ordre de grandeur">
      <formula>NOT(ISERROR(SEARCH("Calcul brouillon, ordre de grandeur",G8)))</formula>
    </cfRule>
  </conditionalFormatting>
  <conditionalFormatting sqref="G8">
    <cfRule type="containsText" dxfId="155" priority="6" operator="containsText" text="Pas ok">
      <formula>NOT(ISERROR(SEARCH("Pas ok",G8)))</formula>
    </cfRule>
  </conditionalFormatting>
  <conditionalFormatting sqref="G8">
    <cfRule type="containsText" dxfId="154" priority="5" operator="containsText" text="Calcul validé">
      <formula>NOT(ISERROR(SEARCH("Calcul validé",G8)))</formula>
    </cfRule>
  </conditionalFormatting>
  <conditionalFormatting sqref="G8">
    <cfRule type="containsText" dxfId="153" priority="4" operator="containsText" text="Calcul validé">
      <formula>NOT(ISERROR(SEARCH("Calcul validé",G8)))</formula>
    </cfRule>
  </conditionalFormatting>
  <conditionalFormatting sqref="G8">
    <cfRule type="containsText" dxfId="152" priority="3" operator="containsText" text="Bon ordre de grandeur">
      <formula>NOT(ISERROR(SEARCH("Bon ordre de grandeur",G8)))</formula>
    </cfRule>
  </conditionalFormatting>
  <conditionalFormatting sqref="G8">
    <cfRule type="containsText" dxfId="151" priority="2" operator="containsText" text="Calcul brouillon, ordre de grandeur">
      <formula>NOT(ISERROR(SEARCH("Calcul brouillon, ordre de grandeur",G8)))</formula>
    </cfRule>
  </conditionalFormatting>
  <conditionalFormatting sqref="G8">
    <cfRule type="containsText" dxfId="150" priority="1" operator="containsText" text="Pas ok">
      <formula>NOT(ISERROR(SEARCH("Pas ok",G8)))</formula>
    </cfRule>
  </conditionalFormatting>
  <pageMargins left="0.7" right="0.7" top="0.75" bottom="0.75" header="0.3" footer="0.3"/>
  <pageSetup paperSize="9" orientation="portrait"/>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53">
    <tabColor theme="4" tint="0.59999389629810485"/>
  </sheetPr>
  <dimension ref="A1:H41"/>
  <sheetViews>
    <sheetView topLeftCell="A25" zoomScale="70" workbookViewId="0">
      <selection activeCell="C11" sqref="C11"/>
    </sheetView>
  </sheetViews>
  <sheetFormatPr baseColWidth="10" defaultRowHeight="14.4"/>
  <cols>
    <col min="2" max="2" width="49.44140625" customWidth="1"/>
    <col min="3" max="3" width="24.44140625" customWidth="1"/>
    <col min="4" max="4" width="25.77734375" customWidth="1"/>
    <col min="5" max="5" width="106.109375" customWidth="1"/>
    <col min="6" max="6" width="49.44140625" customWidth="1"/>
    <col min="7" max="7" width="46.44140625" customWidth="1"/>
    <col min="8" max="8" width="25.77734375" customWidth="1"/>
  </cols>
  <sheetData>
    <row r="1" spans="1:8" ht="15.6">
      <c r="A1" s="1086"/>
      <c r="B1" s="1086"/>
      <c r="C1" s="1086"/>
      <c r="D1" s="1086"/>
      <c r="E1" s="1086"/>
      <c r="F1" s="1086"/>
      <c r="G1" s="1086"/>
      <c r="H1" s="1086"/>
    </row>
    <row r="2" spans="1:8" ht="18">
      <c r="A2" s="1086"/>
      <c r="B2" s="57" t="s">
        <v>1924</v>
      </c>
      <c r="C2" s="1086"/>
      <c r="D2" s="1086"/>
      <c r="E2" s="1086"/>
      <c r="F2" s="1086"/>
      <c r="G2" s="1086"/>
      <c r="H2" s="1086"/>
    </row>
    <row r="3" spans="1:8" ht="15.6">
      <c r="A3" s="1086"/>
      <c r="B3" s="1086"/>
      <c r="C3" s="1086"/>
      <c r="D3" s="1086"/>
      <c r="E3" s="1086"/>
      <c r="F3" s="1086"/>
      <c r="G3" s="1086"/>
      <c r="H3" s="1086"/>
    </row>
    <row r="4" spans="1:8" ht="15.6">
      <c r="A4" s="1086"/>
      <c r="B4" s="1086"/>
      <c r="C4" s="1086"/>
      <c r="D4" s="1086"/>
      <c r="E4" s="1086"/>
      <c r="F4" s="1086"/>
      <c r="G4" s="1086"/>
      <c r="H4" s="1086"/>
    </row>
    <row r="5" spans="1:8" ht="15.6">
      <c r="A5" s="1086"/>
      <c r="B5" s="1487" t="s">
        <v>1811</v>
      </c>
      <c r="C5" s="1488"/>
      <c r="D5" s="1489"/>
      <c r="E5" s="1086"/>
      <c r="F5" s="1487" t="s">
        <v>1812</v>
      </c>
      <c r="G5" s="1488"/>
      <c r="H5" s="1489"/>
    </row>
    <row r="6" spans="1:8" ht="15.6">
      <c r="A6" s="1086"/>
      <c r="B6" s="1088" t="s">
        <v>64</v>
      </c>
      <c r="C6" s="1089">
        <f>'16'!C6</f>
        <v>4.2889220913890274</v>
      </c>
      <c r="D6" s="1090" t="s">
        <v>65</v>
      </c>
      <c r="E6" s="1086"/>
      <c r="F6" s="1088" t="s">
        <v>64</v>
      </c>
      <c r="G6" s="1089">
        <f>D40</f>
        <v>4.049672311548503E-2</v>
      </c>
      <c r="H6" s="1090" t="s">
        <v>65</v>
      </c>
    </row>
    <row r="7" spans="1:8" ht="15.6">
      <c r="A7" s="1086"/>
      <c r="B7" s="1091" t="s">
        <v>68</v>
      </c>
      <c r="C7" s="1490" t="s">
        <v>1465</v>
      </c>
      <c r="D7" s="1491"/>
      <c r="E7" s="1086"/>
      <c r="F7" s="1091" t="s">
        <v>1813</v>
      </c>
      <c r="G7" s="1492">
        <f>(G6-C6)/C6</f>
        <v>-0.99055783195577485</v>
      </c>
      <c r="H7" s="1491"/>
    </row>
    <row r="8" spans="1:8" ht="15.6">
      <c r="A8" s="1086"/>
      <c r="B8" s="1092" t="s">
        <v>28</v>
      </c>
      <c r="C8" s="1493" t="s">
        <v>98</v>
      </c>
      <c r="D8" s="1494"/>
      <c r="E8" s="1086"/>
      <c r="F8" s="1092" t="s">
        <v>28</v>
      </c>
      <c r="G8" s="1493" t="s">
        <v>98</v>
      </c>
      <c r="H8" s="1494"/>
    </row>
    <row r="9" spans="1:8" ht="15.6">
      <c r="A9" s="1086"/>
      <c r="B9" s="1086"/>
      <c r="C9" s="1086"/>
      <c r="D9" s="1093"/>
      <c r="E9" s="1093"/>
      <c r="F9" s="1086"/>
      <c r="G9" s="1086"/>
      <c r="H9" s="1086"/>
    </row>
    <row r="10" spans="1:8" ht="15.6">
      <c r="A10" s="1086"/>
      <c r="B10" s="1086"/>
      <c r="C10" s="1086"/>
      <c r="D10" s="1086"/>
      <c r="E10" s="1086"/>
      <c r="F10" s="1086"/>
      <c r="G10" s="1086"/>
      <c r="H10" s="1086"/>
    </row>
    <row r="11" spans="1:8" ht="15.6">
      <c r="A11" s="1086"/>
      <c r="B11" s="1086"/>
      <c r="C11" s="1086"/>
      <c r="D11" s="1086"/>
      <c r="E11" s="1086"/>
      <c r="F11" s="1086"/>
      <c r="G11" s="1086"/>
      <c r="H11" s="1086"/>
    </row>
    <row r="12" spans="1:8" ht="15.6">
      <c r="A12" s="1086"/>
      <c r="B12" s="1086"/>
      <c r="C12" s="1086"/>
      <c r="D12" s="1086"/>
      <c r="E12" s="1086"/>
      <c r="F12" s="1086"/>
      <c r="G12" s="1086"/>
      <c r="H12" s="1086"/>
    </row>
    <row r="13" spans="1:8" ht="15.6">
      <c r="A13" s="1086"/>
      <c r="B13" s="1086"/>
      <c r="C13" s="1481" t="s">
        <v>1925</v>
      </c>
      <c r="D13" s="1482"/>
      <c r="E13" s="1483"/>
      <c r="F13" s="1086"/>
      <c r="G13" s="1086"/>
      <c r="H13" s="1086"/>
    </row>
    <row r="14" spans="1:8" ht="15.6">
      <c r="A14" s="1086"/>
      <c r="B14" s="1086"/>
      <c r="C14" s="1473">
        <v>2020</v>
      </c>
      <c r="D14" s="1474"/>
      <c r="E14" s="1475"/>
      <c r="F14" s="1086"/>
      <c r="G14" s="1086"/>
      <c r="H14" s="1086"/>
    </row>
    <row r="15" spans="1:8" ht="15.6">
      <c r="A15" s="1086"/>
      <c r="B15" s="1086"/>
      <c r="C15" s="1473" t="s">
        <v>1926</v>
      </c>
      <c r="D15" s="1474"/>
      <c r="E15" s="1475"/>
      <c r="F15" s="1086"/>
      <c r="G15" s="1086"/>
      <c r="H15" s="1086"/>
    </row>
    <row r="16" spans="1:8" ht="46.8">
      <c r="A16" s="1086"/>
      <c r="B16" s="1086"/>
      <c r="C16" s="1106" t="s">
        <v>1927</v>
      </c>
      <c r="D16" s="1206">
        <f>'16.visiteurs'!F73</f>
        <v>4.0390943000000004</v>
      </c>
      <c r="E16" s="1126"/>
      <c r="F16" s="1086"/>
      <c r="G16" s="1086"/>
      <c r="H16" s="1086"/>
    </row>
    <row r="17" spans="1:8" ht="31.2">
      <c r="A17" s="1086"/>
      <c r="B17" s="1086"/>
      <c r="C17" s="1106" t="s">
        <v>1928</v>
      </c>
      <c r="D17" s="1206">
        <f>'16.visiteurs'!C108</f>
        <v>2.1255380800000001</v>
      </c>
      <c r="E17" s="1126"/>
      <c r="F17" s="1086"/>
      <c r="G17" s="1086"/>
      <c r="H17" s="1086"/>
    </row>
    <row r="18" spans="1:8" ht="78">
      <c r="A18" s="1086"/>
      <c r="B18" s="1086"/>
      <c r="C18" s="1106" t="s">
        <v>1929</v>
      </c>
      <c r="D18" s="1206">
        <f>'16.visiteurs'!C130</f>
        <v>0.48690454800000005</v>
      </c>
      <c r="E18" s="1126"/>
      <c r="F18" s="1086"/>
      <c r="G18" s="1086"/>
      <c r="H18" s="1086"/>
    </row>
    <row r="19" spans="1:8" ht="46.8">
      <c r="A19" s="1086"/>
      <c r="B19" s="1086"/>
      <c r="C19" s="1106" t="s">
        <v>1930</v>
      </c>
      <c r="D19" s="1208">
        <v>0</v>
      </c>
      <c r="E19" s="1126"/>
      <c r="F19" s="1086"/>
      <c r="G19" s="1086"/>
      <c r="H19" s="1086"/>
    </row>
    <row r="20" spans="1:8" ht="31.2">
      <c r="A20" s="1086"/>
      <c r="B20" s="1207"/>
      <c r="C20" s="1106" t="s">
        <v>1919</v>
      </c>
      <c r="D20" s="1208">
        <f>SUM(D16:D19)</f>
        <v>6.6515369280000005</v>
      </c>
      <c r="E20" s="1126"/>
      <c r="F20" s="1086"/>
      <c r="G20" s="1086"/>
      <c r="H20" s="1086"/>
    </row>
    <row r="21" spans="1:8" ht="31.2">
      <c r="A21" s="1086"/>
      <c r="B21" s="1086"/>
      <c r="C21" s="1106" t="s">
        <v>1920</v>
      </c>
      <c r="D21" s="1209">
        <f>'22'!C163</f>
        <v>0.114337774802686</v>
      </c>
      <c r="E21" s="220" t="s">
        <v>1931</v>
      </c>
      <c r="F21" s="1086"/>
      <c r="G21" s="1086"/>
      <c r="H21" s="1086"/>
    </row>
    <row r="22" spans="1:8" ht="28.8">
      <c r="A22" s="1086"/>
      <c r="B22" s="1086"/>
      <c r="C22" s="1131" t="s">
        <v>1831</v>
      </c>
      <c r="D22" s="1210">
        <f>D20*D21</f>
        <v>0.76052193136541391</v>
      </c>
      <c r="E22" s="1126"/>
      <c r="F22" s="1086"/>
      <c r="G22" s="1086"/>
      <c r="H22" s="1086"/>
    </row>
    <row r="23" spans="1:8" ht="15.6">
      <c r="A23" s="1086"/>
      <c r="B23" s="1086"/>
      <c r="C23" s="1473" t="s">
        <v>1932</v>
      </c>
      <c r="D23" s="1474"/>
      <c r="E23" s="1475"/>
      <c r="F23" s="1086"/>
      <c r="G23" s="1086"/>
      <c r="H23" s="1086"/>
    </row>
    <row r="24" spans="1:8" ht="46.8">
      <c r="A24" s="1086"/>
      <c r="B24" s="1086"/>
      <c r="C24" s="1106" t="s">
        <v>1927</v>
      </c>
      <c r="D24" s="1214">
        <f>'16.patients'!C97</f>
        <v>1.0319758381163386</v>
      </c>
      <c r="E24" s="1126"/>
      <c r="F24" s="1086"/>
      <c r="G24" s="1086"/>
      <c r="H24" s="1086"/>
    </row>
    <row r="25" spans="1:8" ht="31.2">
      <c r="A25" s="1086"/>
      <c r="B25" s="1086"/>
      <c r="C25" s="1106" t="s">
        <v>1928</v>
      </c>
      <c r="D25" s="1214">
        <v>0</v>
      </c>
      <c r="E25" s="1215"/>
      <c r="F25" s="1086"/>
      <c r="G25" s="1086"/>
      <c r="H25" s="1086"/>
    </row>
    <row r="26" spans="1:8" ht="78">
      <c r="A26" s="1086"/>
      <c r="B26" s="1086"/>
      <c r="C26" s="1106" t="s">
        <v>1929</v>
      </c>
      <c r="D26" s="1214">
        <f>'16.patients'!C145</f>
        <v>3.0121437000000002</v>
      </c>
      <c r="E26" s="1126"/>
      <c r="F26" s="1086"/>
      <c r="G26" s="1086"/>
      <c r="H26" s="1086"/>
    </row>
    <row r="27" spans="1:8" ht="46.8">
      <c r="A27" s="1086"/>
      <c r="B27" s="1086"/>
      <c r="C27" s="1106" t="s">
        <v>1930</v>
      </c>
      <c r="D27" s="1109">
        <f>'16.patients'!H241</f>
        <v>24.137108707999996</v>
      </c>
      <c r="E27" s="1126"/>
      <c r="F27" s="1086"/>
      <c r="G27" s="1086"/>
      <c r="H27" s="1086"/>
    </row>
    <row r="28" spans="1:8" ht="31.2">
      <c r="A28" s="1086"/>
      <c r="B28" s="1207"/>
      <c r="C28" s="1106" t="s">
        <v>1919</v>
      </c>
      <c r="D28" s="1208">
        <f>SUM(D24:D27)</f>
        <v>28.181228246116333</v>
      </c>
      <c r="E28" s="1126"/>
      <c r="F28" s="1086"/>
      <c r="G28" s="1086"/>
      <c r="H28" s="1086"/>
    </row>
    <row r="29" spans="1:8" ht="31.2">
      <c r="A29" s="1086"/>
      <c r="B29" s="1086"/>
      <c r="C29" s="1106" t="s">
        <v>1920</v>
      </c>
      <c r="D29" s="1209">
        <f>D21</f>
        <v>0.114337774802686</v>
      </c>
      <c r="E29" s="1126" t="s">
        <v>1933</v>
      </c>
      <c r="F29" s="1086"/>
      <c r="G29" s="1086"/>
      <c r="H29" s="1086"/>
    </row>
    <row r="30" spans="1:8" ht="28.8">
      <c r="A30" s="1086"/>
      <c r="B30" s="1086"/>
      <c r="C30" s="1131" t="s">
        <v>1831</v>
      </c>
      <c r="D30" s="1210">
        <f>'16.patients'!C12</f>
        <v>3.5284001600236139</v>
      </c>
      <c r="E30" s="1126"/>
      <c r="F30" s="1086"/>
      <c r="G30" s="1086"/>
      <c r="H30" s="1086"/>
    </row>
    <row r="31" spans="1:8" ht="43.2">
      <c r="A31" s="1086"/>
      <c r="B31" s="1086"/>
      <c r="C31" s="1131" t="s">
        <v>1934</v>
      </c>
      <c r="D31" s="1210">
        <f>D22+D30</f>
        <v>4.2889220913890274</v>
      </c>
      <c r="E31" s="1126"/>
      <c r="F31" s="1086"/>
      <c r="G31" s="1086"/>
      <c r="H31" s="1086"/>
    </row>
    <row r="32" spans="1:8" ht="15.6">
      <c r="A32" s="1086"/>
      <c r="B32" s="1086"/>
      <c r="C32" s="1522" t="s">
        <v>1832</v>
      </c>
      <c r="D32" s="1523"/>
      <c r="E32" s="1524"/>
      <c r="F32" s="1086"/>
      <c r="G32" s="1086"/>
      <c r="H32" s="1086"/>
    </row>
    <row r="33" spans="1:8" ht="15.6">
      <c r="A33" s="1086"/>
      <c r="B33" s="1086"/>
      <c r="C33" s="1519" t="s">
        <v>1921</v>
      </c>
      <c r="D33" s="1520"/>
      <c r="E33" s="1521"/>
      <c r="F33" s="1086"/>
      <c r="G33" s="1086"/>
      <c r="H33" s="1086"/>
    </row>
    <row r="34" spans="1:8" ht="15.6">
      <c r="A34" s="1086"/>
      <c r="B34" s="1086"/>
      <c r="C34" s="1519" t="s">
        <v>1935</v>
      </c>
      <c r="D34" s="1520"/>
      <c r="E34" s="1521"/>
      <c r="F34" s="1086"/>
      <c r="G34" s="1086"/>
      <c r="H34" s="1086"/>
    </row>
    <row r="35" spans="1:8" ht="15.6">
      <c r="A35" s="1086"/>
      <c r="B35" s="1086"/>
      <c r="C35" s="1519" t="s">
        <v>1936</v>
      </c>
      <c r="D35" s="1520"/>
      <c r="E35" s="1521"/>
      <c r="F35" s="1086"/>
      <c r="G35" s="1086"/>
      <c r="H35" s="1086"/>
    </row>
    <row r="36" spans="1:8" ht="15.6">
      <c r="A36" s="1086"/>
      <c r="B36" s="1086"/>
      <c r="C36" s="1519" t="s">
        <v>1937</v>
      </c>
      <c r="D36" s="1520"/>
      <c r="E36" s="1521"/>
      <c r="F36" s="1086"/>
      <c r="G36" s="1086"/>
      <c r="H36" s="1086"/>
    </row>
    <row r="37" spans="1:8" ht="15.6">
      <c r="A37" s="1086"/>
      <c r="B37" s="1086"/>
      <c r="C37" s="1514" t="s">
        <v>1938</v>
      </c>
      <c r="D37" s="1515"/>
      <c r="E37" s="1516"/>
      <c r="F37" s="1086"/>
      <c r="G37" s="1086"/>
      <c r="H37" s="1086"/>
    </row>
    <row r="38" spans="1:8" ht="15.6">
      <c r="A38" s="1086"/>
      <c r="B38" s="1086"/>
      <c r="C38" s="1473">
        <v>2050</v>
      </c>
      <c r="D38" s="1474"/>
      <c r="E38" s="1475"/>
      <c r="F38" s="1086"/>
      <c r="G38" s="1086"/>
      <c r="H38" s="1086"/>
    </row>
    <row r="39" spans="1:8" ht="46.8">
      <c r="A39" s="1086"/>
      <c r="B39" s="1086"/>
      <c r="C39" s="1106" t="s">
        <v>1920</v>
      </c>
      <c r="D39" s="1209">
        <f>'22'!C164</f>
        <v>1.1626043155935691E-3</v>
      </c>
      <c r="E39" s="1126" t="s">
        <v>1939</v>
      </c>
      <c r="F39" s="1086"/>
      <c r="G39" s="1086"/>
      <c r="H39" s="1086"/>
    </row>
    <row r="40" spans="1:8" ht="28.8">
      <c r="A40" s="1086"/>
      <c r="B40" s="1216"/>
      <c r="C40" s="1131" t="s">
        <v>1831</v>
      </c>
      <c r="D40" s="1212">
        <f>(D20+D28)*D39</f>
        <v>4.049672311548503E-2</v>
      </c>
      <c r="E40" s="1126"/>
      <c r="F40" s="1086"/>
      <c r="G40" s="1086"/>
      <c r="H40" s="1086"/>
    </row>
    <row r="41" spans="1:8" ht="15.6">
      <c r="A41" s="1086"/>
      <c r="B41" s="1086"/>
      <c r="C41" s="1134" t="s">
        <v>1845</v>
      </c>
      <c r="D41" s="1183">
        <f>D40/D31</f>
        <v>9.4421680442252093E-3</v>
      </c>
      <c r="E41" s="1184"/>
      <c r="F41" s="1086"/>
      <c r="G41" s="1086"/>
      <c r="H41" s="1086"/>
    </row>
  </sheetData>
  <mergeCells count="17">
    <mergeCell ref="B5:D5"/>
    <mergeCell ref="F5:H5"/>
    <mergeCell ref="C7:D7"/>
    <mergeCell ref="G7:H7"/>
    <mergeCell ref="C8:D8"/>
    <mergeCell ref="G8:H8"/>
    <mergeCell ref="C13:E13"/>
    <mergeCell ref="C14:E14"/>
    <mergeCell ref="C15:E15"/>
    <mergeCell ref="C23:E23"/>
    <mergeCell ref="C32:E32"/>
    <mergeCell ref="C38:E38"/>
    <mergeCell ref="C33:E33"/>
    <mergeCell ref="C34:E34"/>
    <mergeCell ref="C35:E35"/>
    <mergeCell ref="C36:E36"/>
    <mergeCell ref="C37:E37"/>
  </mergeCells>
  <conditionalFormatting sqref="C8:D8">
    <cfRule type="containsText" dxfId="149" priority="30" operator="containsText" text="Calcul brouillon, odg">
      <formula>NOT(ISERROR(SEARCH("Calcul brouillon, odg",C8)))</formula>
    </cfRule>
  </conditionalFormatting>
  <conditionalFormatting sqref="C8">
    <cfRule type="containsText" dxfId="148" priority="29" operator="containsText" text="Calcul validé">
      <formula>NOT(ISERROR(SEARCH("Calcul validé",C8)))</formula>
    </cfRule>
  </conditionalFormatting>
  <conditionalFormatting sqref="C8">
    <cfRule type="containsText" dxfId="147" priority="28" operator="containsText" text="Bon ordre de grandeur">
      <formula>NOT(ISERROR(SEARCH("Bon ordre de grandeur",C8)))</formula>
    </cfRule>
  </conditionalFormatting>
  <conditionalFormatting sqref="C8">
    <cfRule type="containsText" dxfId="146" priority="27" operator="containsText" text="Calcul brouillon, ordre de grandeur">
      <formula>NOT(ISERROR(SEARCH("Calcul brouillon, ordre de grandeur",C8)))</formula>
    </cfRule>
  </conditionalFormatting>
  <conditionalFormatting sqref="C8">
    <cfRule type="containsText" dxfId="145" priority="26" operator="containsText" text="Pas ok">
      <formula>NOT(ISERROR(SEARCH("Pas ok",C8)))</formula>
    </cfRule>
  </conditionalFormatting>
  <conditionalFormatting sqref="C8">
    <cfRule type="containsText" dxfId="144" priority="25" operator="containsText" text="Calcul validé">
      <formula>NOT(ISERROR(SEARCH("Calcul validé",C8)))</formula>
    </cfRule>
  </conditionalFormatting>
  <conditionalFormatting sqref="C8">
    <cfRule type="containsText" dxfId="143" priority="24" operator="containsText" text="Calcul validé">
      <formula>NOT(ISERROR(SEARCH("Calcul validé",C8)))</formula>
    </cfRule>
  </conditionalFormatting>
  <conditionalFormatting sqref="C8">
    <cfRule type="containsText" dxfId="142" priority="23" operator="containsText" text="Bon ordre de grandeur">
      <formula>NOT(ISERROR(SEARCH("Bon ordre de grandeur",C8)))</formula>
    </cfRule>
  </conditionalFormatting>
  <conditionalFormatting sqref="C8">
    <cfRule type="containsText" dxfId="141" priority="22" operator="containsText" text="Calcul brouillon, ordre de grandeur">
      <formula>NOT(ISERROR(SEARCH("Calcul brouillon, ordre de grandeur",C8)))</formula>
    </cfRule>
  </conditionalFormatting>
  <conditionalFormatting sqref="C8">
    <cfRule type="containsText" dxfId="140" priority="21" operator="containsText" text="Pas ok">
      <formula>NOT(ISERROR(SEARCH("Pas ok",C8)))</formula>
    </cfRule>
  </conditionalFormatting>
  <conditionalFormatting sqref="D9:E9">
    <cfRule type="containsText" dxfId="139" priority="20" operator="containsText" text="Calcul brouillon, odg">
      <formula>NOT(ISERROR(SEARCH("Calcul brouillon, odg",D9)))</formula>
    </cfRule>
  </conditionalFormatting>
  <conditionalFormatting sqref="D9">
    <cfRule type="containsText" dxfId="138" priority="19" operator="containsText" text="Calcul validé">
      <formula>NOT(ISERROR(SEARCH("Calcul validé",D9)))</formula>
    </cfRule>
  </conditionalFormatting>
  <conditionalFormatting sqref="D9">
    <cfRule type="containsText" dxfId="137" priority="18" operator="containsText" text="Bon ordre de grandeur">
      <formula>NOT(ISERROR(SEARCH("Bon ordre de grandeur",D9)))</formula>
    </cfRule>
  </conditionalFormatting>
  <conditionalFormatting sqref="D9">
    <cfRule type="containsText" dxfId="136" priority="17" operator="containsText" text="Calcul brouillon, ordre de grandeur">
      <formula>NOT(ISERROR(SEARCH("Calcul brouillon, ordre de grandeur",D9)))</formula>
    </cfRule>
  </conditionalFormatting>
  <conditionalFormatting sqref="D9">
    <cfRule type="containsText" dxfId="135" priority="16" operator="containsText" text="Pas ok">
      <formula>NOT(ISERROR(SEARCH("Pas ok",D9)))</formula>
    </cfRule>
  </conditionalFormatting>
  <conditionalFormatting sqref="D9">
    <cfRule type="containsText" dxfId="134" priority="15" operator="containsText" text="Calcul validé">
      <formula>NOT(ISERROR(SEARCH("Calcul validé",D9)))</formula>
    </cfRule>
  </conditionalFormatting>
  <conditionalFormatting sqref="D9">
    <cfRule type="containsText" dxfId="133" priority="14" operator="containsText" text="Calcul validé">
      <formula>NOT(ISERROR(SEARCH("Calcul validé",D9)))</formula>
    </cfRule>
  </conditionalFormatting>
  <conditionalFormatting sqref="D9">
    <cfRule type="containsText" dxfId="132" priority="13" operator="containsText" text="Bon ordre de grandeur">
      <formula>NOT(ISERROR(SEARCH("Bon ordre de grandeur",D9)))</formula>
    </cfRule>
  </conditionalFormatting>
  <conditionalFormatting sqref="D9">
    <cfRule type="containsText" dxfId="131" priority="12" operator="containsText" text="Calcul brouillon, ordre de grandeur">
      <formula>NOT(ISERROR(SEARCH("Calcul brouillon, ordre de grandeur",D9)))</formula>
    </cfRule>
  </conditionalFormatting>
  <conditionalFormatting sqref="D9">
    <cfRule type="containsText" dxfId="130" priority="11" operator="containsText" text="Pas ok">
      <formula>NOT(ISERROR(SEARCH("Pas ok",D9)))</formula>
    </cfRule>
  </conditionalFormatting>
  <conditionalFormatting sqref="G8:H8">
    <cfRule type="containsText" dxfId="129" priority="10" operator="containsText" text="Calcul brouillon, odg">
      <formula>NOT(ISERROR(SEARCH("Calcul brouillon, odg",G8)))</formula>
    </cfRule>
  </conditionalFormatting>
  <conditionalFormatting sqref="G8">
    <cfRule type="containsText" dxfId="128" priority="9" operator="containsText" text="Calcul validé">
      <formula>NOT(ISERROR(SEARCH("Calcul validé",G8)))</formula>
    </cfRule>
  </conditionalFormatting>
  <conditionalFormatting sqref="G8">
    <cfRule type="containsText" dxfId="127" priority="8" operator="containsText" text="Bon ordre de grandeur">
      <formula>NOT(ISERROR(SEARCH("Bon ordre de grandeur",G8)))</formula>
    </cfRule>
  </conditionalFormatting>
  <conditionalFormatting sqref="G8">
    <cfRule type="containsText" dxfId="126" priority="7" operator="containsText" text="Calcul brouillon, ordre de grandeur">
      <formula>NOT(ISERROR(SEARCH("Calcul brouillon, ordre de grandeur",G8)))</formula>
    </cfRule>
  </conditionalFormatting>
  <conditionalFormatting sqref="G8">
    <cfRule type="containsText" dxfId="125" priority="6" operator="containsText" text="Pas ok">
      <formula>NOT(ISERROR(SEARCH("Pas ok",G8)))</formula>
    </cfRule>
  </conditionalFormatting>
  <conditionalFormatting sqref="G8">
    <cfRule type="containsText" dxfId="124" priority="5" operator="containsText" text="Calcul validé">
      <formula>NOT(ISERROR(SEARCH("Calcul validé",G8)))</formula>
    </cfRule>
  </conditionalFormatting>
  <conditionalFormatting sqref="G8">
    <cfRule type="containsText" dxfId="123" priority="4" operator="containsText" text="Calcul validé">
      <formula>NOT(ISERROR(SEARCH("Calcul validé",G8)))</formula>
    </cfRule>
  </conditionalFormatting>
  <conditionalFormatting sqref="G8">
    <cfRule type="containsText" dxfId="122" priority="3" operator="containsText" text="Bon ordre de grandeur">
      <formula>NOT(ISERROR(SEARCH("Bon ordre de grandeur",G8)))</formula>
    </cfRule>
  </conditionalFormatting>
  <conditionalFormatting sqref="G8">
    <cfRule type="containsText" dxfId="121" priority="2" operator="containsText" text="Calcul brouillon, ordre de grandeur">
      <formula>NOT(ISERROR(SEARCH("Calcul brouillon, ordre de grandeur",G8)))</formula>
    </cfRule>
  </conditionalFormatting>
  <conditionalFormatting sqref="G8">
    <cfRule type="containsText" dxfId="120" priority="1" operator="containsText" text="Pas ok">
      <formula>NOT(ISERROR(SEARCH("Pas ok",G8)))</formula>
    </cfRule>
  </conditionalFormatting>
  <pageMargins left="0.7" right="0.7" top="0.75" bottom="0.75" header="0.3" footer="0.3"/>
  <pageSetup paperSize="9" orientation="portrait"/>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54">
    <tabColor rgb="FF00B0F0"/>
  </sheetPr>
  <dimension ref="A1:H34"/>
  <sheetViews>
    <sheetView zoomScale="60" workbookViewId="0">
      <selection activeCell="C37" sqref="C37"/>
    </sheetView>
  </sheetViews>
  <sheetFormatPr baseColWidth="10" defaultRowHeight="14.4"/>
  <cols>
    <col min="2" max="2" width="49.44140625" customWidth="1"/>
    <col min="3" max="3" width="24.44140625" customWidth="1"/>
    <col min="4" max="4" width="25.77734375" customWidth="1"/>
    <col min="5" max="5" width="106.109375" customWidth="1"/>
    <col min="6" max="6" width="49.44140625" customWidth="1"/>
    <col min="7" max="7" width="46.44140625" customWidth="1"/>
    <col min="8" max="8" width="25.77734375" customWidth="1"/>
  </cols>
  <sheetData>
    <row r="1" spans="1:8" ht="15.6">
      <c r="A1" s="1086"/>
      <c r="B1" s="1086"/>
      <c r="C1" s="1086"/>
      <c r="D1" s="1086"/>
      <c r="E1" s="1086"/>
      <c r="F1" s="1086"/>
      <c r="G1" s="1086"/>
      <c r="H1" s="1086"/>
    </row>
    <row r="2" spans="1:8" ht="18">
      <c r="A2" s="1086"/>
      <c r="B2" s="57" t="s">
        <v>41</v>
      </c>
      <c r="C2" s="1086"/>
      <c r="D2" s="1086"/>
      <c r="E2" s="1086"/>
      <c r="F2" s="1086"/>
      <c r="G2" s="1086"/>
      <c r="H2" s="1086"/>
    </row>
    <row r="3" spans="1:8" ht="15.6">
      <c r="A3" s="1086"/>
      <c r="B3" s="1086"/>
      <c r="C3" s="1086"/>
      <c r="D3" s="1086"/>
      <c r="E3" s="1086"/>
      <c r="F3" s="1086"/>
      <c r="G3" s="1086"/>
      <c r="H3" s="1086"/>
    </row>
    <row r="4" spans="1:8" ht="15.6">
      <c r="A4" s="1086"/>
      <c r="B4" s="1086"/>
      <c r="C4" s="1086"/>
      <c r="D4" s="1086"/>
      <c r="E4" s="1086"/>
      <c r="F4" s="1086"/>
      <c r="G4" s="1086"/>
      <c r="H4" s="1086"/>
    </row>
    <row r="5" spans="1:8" ht="15.6">
      <c r="A5" s="1086"/>
      <c r="B5" s="1487" t="s">
        <v>1811</v>
      </c>
      <c r="C5" s="1488"/>
      <c r="D5" s="1489"/>
      <c r="E5" s="1086"/>
      <c r="F5" s="1487" t="s">
        <v>1812</v>
      </c>
      <c r="G5" s="1488"/>
      <c r="H5" s="1489"/>
    </row>
    <row r="6" spans="1:8" ht="15.6">
      <c r="A6" s="1086"/>
      <c r="B6" s="1088" t="s">
        <v>64</v>
      </c>
      <c r="C6" s="1089">
        <f>'22'!C13</f>
        <v>1.7668808161065837</v>
      </c>
      <c r="D6" s="1090" t="s">
        <v>65</v>
      </c>
      <c r="E6" s="1086"/>
      <c r="F6" s="1088" t="s">
        <v>64</v>
      </c>
      <c r="G6" s="1089">
        <f>D32</f>
        <v>1.7965919535253585E-2</v>
      </c>
      <c r="H6" s="1090" t="s">
        <v>65</v>
      </c>
    </row>
    <row r="7" spans="1:8" ht="15.6">
      <c r="A7" s="1086"/>
      <c r="B7" s="1091" t="s">
        <v>68</v>
      </c>
      <c r="C7" s="1490" t="s">
        <v>1465</v>
      </c>
      <c r="D7" s="1491"/>
      <c r="E7" s="1086"/>
      <c r="F7" s="1091" t="s">
        <v>1813</v>
      </c>
      <c r="G7" s="1492">
        <f>(G6-C6)/C6</f>
        <v>-0.98983184413375291</v>
      </c>
      <c r="H7" s="1491"/>
    </row>
    <row r="8" spans="1:8" ht="15.6">
      <c r="A8" s="1086"/>
      <c r="B8" s="1092" t="s">
        <v>28</v>
      </c>
      <c r="C8" s="1493" t="s">
        <v>98</v>
      </c>
      <c r="D8" s="1494"/>
      <c r="E8" s="1086"/>
      <c r="F8" s="1092" t="s">
        <v>28</v>
      </c>
      <c r="G8" s="1493" t="s">
        <v>98</v>
      </c>
      <c r="H8" s="1494"/>
    </row>
    <row r="9" spans="1:8" ht="15.6">
      <c r="A9" s="1086"/>
      <c r="B9" s="1086"/>
      <c r="C9" s="1086"/>
      <c r="D9" s="1093"/>
      <c r="E9" s="1093"/>
      <c r="F9" s="1086"/>
      <c r="G9" s="1086"/>
      <c r="H9" s="1086"/>
    </row>
    <row r="10" spans="1:8" ht="15.6">
      <c r="A10" s="1086"/>
      <c r="B10" s="1086"/>
      <c r="C10" s="1086"/>
      <c r="D10" s="1086"/>
      <c r="E10" s="1086"/>
      <c r="F10" s="1086"/>
      <c r="G10" s="1086"/>
      <c r="H10" s="1086"/>
    </row>
    <row r="11" spans="1:8" ht="15.6">
      <c r="A11" s="1086"/>
      <c r="B11" s="1086"/>
      <c r="C11" s="1086"/>
      <c r="D11" s="1086"/>
      <c r="E11" s="1086"/>
      <c r="F11" s="1086"/>
      <c r="G11" s="1086"/>
      <c r="H11" s="1086"/>
    </row>
    <row r="12" spans="1:8" ht="15.6">
      <c r="A12" s="1086"/>
      <c r="B12" s="1086"/>
      <c r="C12" s="1086"/>
      <c r="D12" s="1086"/>
      <c r="E12" s="1086"/>
      <c r="F12" s="1086"/>
      <c r="G12" s="1086"/>
      <c r="H12" s="1086"/>
    </row>
    <row r="13" spans="1:8" ht="15.6">
      <c r="A13" s="1086"/>
      <c r="B13" s="1086"/>
      <c r="C13" s="1481" t="s">
        <v>1940</v>
      </c>
      <c r="D13" s="1482"/>
      <c r="E13" s="1483"/>
      <c r="F13" s="1086"/>
      <c r="G13" s="1086"/>
      <c r="H13" s="1086"/>
    </row>
    <row r="14" spans="1:8" ht="15.6">
      <c r="A14" s="1086"/>
      <c r="B14" s="1086"/>
      <c r="C14" s="1473">
        <v>2020</v>
      </c>
      <c r="D14" s="1474"/>
      <c r="E14" s="1475"/>
      <c r="F14" s="1086"/>
      <c r="G14" s="1086"/>
      <c r="H14" s="1086"/>
    </row>
    <row r="15" spans="1:8" ht="46.8">
      <c r="A15" s="1086"/>
      <c r="B15" s="1086"/>
      <c r="C15" s="1205" t="s">
        <v>1927</v>
      </c>
      <c r="D15" s="1206">
        <f>'22'!C150</f>
        <v>6.167872533359497</v>
      </c>
      <c r="E15" s="1180"/>
      <c r="F15" s="1086"/>
      <c r="G15" s="1086"/>
      <c r="H15" s="1086"/>
    </row>
    <row r="16" spans="1:8" ht="31.2">
      <c r="A16" s="1086"/>
      <c r="B16" s="1086"/>
      <c r="C16" s="1205" t="s">
        <v>1928</v>
      </c>
      <c r="D16" s="1206">
        <f>'22'!C151</f>
        <v>2.9229650361067505</v>
      </c>
      <c r="E16" s="1180"/>
      <c r="F16" s="1086"/>
      <c r="G16" s="1086"/>
      <c r="H16" s="1086"/>
    </row>
    <row r="17" spans="1:8" ht="78">
      <c r="A17" s="1086"/>
      <c r="B17" s="1086"/>
      <c r="C17" s="1205" t="s">
        <v>1929</v>
      </c>
      <c r="D17" s="1206">
        <f>'22'!C153+'22'!C152</f>
        <v>1.8576582417582417</v>
      </c>
      <c r="E17" s="1180"/>
      <c r="F17" s="1086"/>
      <c r="G17" s="1086"/>
      <c r="H17" s="1086"/>
    </row>
    <row r="18" spans="1:8" ht="46.8">
      <c r="A18" s="1086"/>
      <c r="B18" s="1086"/>
      <c r="C18" s="1205" t="s">
        <v>1930</v>
      </c>
      <c r="D18" s="1206">
        <f>'22'!C154</f>
        <v>3.6365179878335949</v>
      </c>
      <c r="E18" s="1180"/>
      <c r="F18" s="1086"/>
      <c r="G18" s="1086"/>
      <c r="H18" s="1086"/>
    </row>
    <row r="19" spans="1:8" ht="31.2">
      <c r="A19" s="1086"/>
      <c r="B19" s="1086"/>
      <c r="C19" s="1205" t="s">
        <v>368</v>
      </c>
      <c r="D19" s="1206">
        <f>'22'!C155</f>
        <v>0.8681539677251161</v>
      </c>
      <c r="E19" s="1180"/>
      <c r="F19" s="1086"/>
      <c r="G19" s="1086"/>
      <c r="H19" s="1086"/>
    </row>
    <row r="20" spans="1:8" ht="31.2">
      <c r="A20" s="1086"/>
      <c r="B20" s="1207"/>
      <c r="C20" s="1205" t="s">
        <v>1919</v>
      </c>
      <c r="D20" s="1206">
        <f>SUM(D15:D19)</f>
        <v>15.453167766783201</v>
      </c>
      <c r="E20" s="1180"/>
      <c r="F20" s="1086"/>
      <c r="G20" s="1086"/>
      <c r="H20" s="1086"/>
    </row>
    <row r="21" spans="1:8" ht="31.2">
      <c r="A21" s="1086"/>
      <c r="B21" s="1086"/>
      <c r="C21" s="1106" t="s">
        <v>1920</v>
      </c>
      <c r="D21" s="1217">
        <f>'22'!C163</f>
        <v>0.114337774802686</v>
      </c>
      <c r="E21" s="219" t="s">
        <v>1931</v>
      </c>
      <c r="F21" s="1086"/>
      <c r="G21" s="1086"/>
      <c r="H21" s="1086"/>
    </row>
    <row r="22" spans="1:8" ht="28.8">
      <c r="A22" s="1086"/>
      <c r="B22" s="1086"/>
      <c r="C22" s="1131" t="s">
        <v>1831</v>
      </c>
      <c r="D22" s="1210">
        <f>D20*D21</f>
        <v>1.7668808161065839</v>
      </c>
      <c r="E22" s="1126"/>
      <c r="F22" s="1086"/>
      <c r="G22" s="1086"/>
      <c r="H22" s="1086"/>
    </row>
    <row r="23" spans="1:8" ht="16.05" customHeight="1">
      <c r="A23" s="1086"/>
      <c r="B23" s="1086"/>
      <c r="C23" s="1522" t="s">
        <v>1832</v>
      </c>
      <c r="D23" s="1523"/>
      <c r="E23" s="1524"/>
      <c r="F23" s="1086"/>
      <c r="G23" s="1086"/>
      <c r="H23" s="1086"/>
    </row>
    <row r="24" spans="1:8" ht="15.6">
      <c r="A24" s="1086"/>
      <c r="B24" s="1086"/>
      <c r="C24" s="1519" t="s">
        <v>1941</v>
      </c>
      <c r="D24" s="1520"/>
      <c r="E24" s="1521"/>
      <c r="F24" s="1086"/>
      <c r="G24" s="1086"/>
      <c r="H24" s="1086"/>
    </row>
    <row r="25" spans="1:8" ht="15.6">
      <c r="A25" s="1086"/>
      <c r="B25" s="1086"/>
      <c r="C25" s="1519" t="s">
        <v>1942</v>
      </c>
      <c r="D25" s="1520"/>
      <c r="E25" s="1521"/>
      <c r="F25" s="1086"/>
      <c r="G25" s="1086"/>
      <c r="H25" s="1086"/>
    </row>
    <row r="26" spans="1:8" ht="15.6">
      <c r="A26" s="1086"/>
      <c r="B26" s="1086"/>
      <c r="C26" s="1519" t="s">
        <v>1943</v>
      </c>
      <c r="D26" s="1520"/>
      <c r="E26" s="1521"/>
      <c r="F26" s="1086"/>
      <c r="G26" s="1086"/>
      <c r="H26" s="1086"/>
    </row>
    <row r="27" spans="1:8" ht="15.6">
      <c r="A27" s="1086"/>
      <c r="B27" s="1086"/>
      <c r="C27" s="1519" t="s">
        <v>1944</v>
      </c>
      <c r="D27" s="1520"/>
      <c r="E27" s="1521"/>
      <c r="F27" s="1086"/>
      <c r="G27" s="1086"/>
      <c r="H27" s="1086"/>
    </row>
    <row r="28" spans="1:8" ht="15.6">
      <c r="A28" s="1086"/>
      <c r="B28" s="1086"/>
      <c r="C28" s="1514" t="s">
        <v>1945</v>
      </c>
      <c r="D28" s="1515"/>
      <c r="E28" s="1516"/>
      <c r="F28" s="1086"/>
      <c r="G28" s="1086"/>
      <c r="H28" s="1086"/>
    </row>
    <row r="29" spans="1:8" ht="15.6">
      <c r="A29" s="1086"/>
      <c r="B29" s="1086"/>
      <c r="C29" s="1514" t="s">
        <v>1921</v>
      </c>
      <c r="D29" s="1515"/>
      <c r="E29" s="1516"/>
      <c r="F29" s="1086"/>
      <c r="G29" s="1086"/>
      <c r="H29" s="1086"/>
    </row>
    <row r="30" spans="1:8" ht="15.6">
      <c r="A30" s="1086"/>
      <c r="B30" s="1086"/>
      <c r="C30" s="1473">
        <v>2050</v>
      </c>
      <c r="D30" s="1474"/>
      <c r="E30" s="1475"/>
      <c r="F30" s="1086"/>
      <c r="G30" s="1086"/>
      <c r="H30" s="1086"/>
    </row>
    <row r="31" spans="1:8" ht="46.8">
      <c r="A31" s="1086"/>
      <c r="B31" s="1086"/>
      <c r="C31" s="1106" t="s">
        <v>1920</v>
      </c>
      <c r="D31" s="1213">
        <f>'22'!C164</f>
        <v>1.1626043155935691E-3</v>
      </c>
      <c r="E31" s="1126" t="s">
        <v>1939</v>
      </c>
      <c r="F31" s="1086"/>
      <c r="G31" s="1086"/>
      <c r="H31" s="1086"/>
    </row>
    <row r="32" spans="1:8" ht="28.8">
      <c r="A32" s="1086"/>
      <c r="B32" s="1086"/>
      <c r="C32" s="1131" t="s">
        <v>1831</v>
      </c>
      <c r="D32" s="1181">
        <f>D20*D31</f>
        <v>1.7965919535253585E-2</v>
      </c>
      <c r="E32" s="1126"/>
      <c r="F32" s="1086"/>
      <c r="G32" s="1086"/>
      <c r="H32" s="1086"/>
    </row>
    <row r="33" spans="1:8" ht="15.6">
      <c r="A33" s="1086"/>
      <c r="B33" s="1086"/>
      <c r="C33" s="1134" t="s">
        <v>1845</v>
      </c>
      <c r="D33" s="1183">
        <f>D32/D22</f>
        <v>1.0168155866247077E-2</v>
      </c>
      <c r="E33" s="1184"/>
      <c r="F33" s="1086"/>
      <c r="G33" s="1086"/>
      <c r="H33" s="1086"/>
    </row>
    <row r="34" spans="1:8" ht="15.6">
      <c r="A34" s="1086"/>
      <c r="B34" s="1086"/>
      <c r="C34" s="1086"/>
      <c r="D34" s="1086"/>
      <c r="E34" s="1086"/>
      <c r="F34" s="1086"/>
      <c r="G34" s="1086"/>
      <c r="H34" s="1086"/>
    </row>
  </sheetData>
  <mergeCells count="16">
    <mergeCell ref="B5:D5"/>
    <mergeCell ref="F5:H5"/>
    <mergeCell ref="C7:D7"/>
    <mergeCell ref="G7:H7"/>
    <mergeCell ref="C8:D8"/>
    <mergeCell ref="G8:H8"/>
    <mergeCell ref="C13:E13"/>
    <mergeCell ref="C14:E14"/>
    <mergeCell ref="C23:E23"/>
    <mergeCell ref="C24:E24"/>
    <mergeCell ref="C25:E25"/>
    <mergeCell ref="C26:E26"/>
    <mergeCell ref="C27:E27"/>
    <mergeCell ref="C28:E28"/>
    <mergeCell ref="C29:E29"/>
    <mergeCell ref="C30:E30"/>
  </mergeCells>
  <conditionalFormatting sqref="C8:D8">
    <cfRule type="containsText" dxfId="119" priority="30" operator="containsText" text="Calcul brouillon, odg">
      <formula>NOT(ISERROR(SEARCH("Calcul brouillon, odg",C8)))</formula>
    </cfRule>
  </conditionalFormatting>
  <conditionalFormatting sqref="C8">
    <cfRule type="containsText" dxfId="118" priority="29" operator="containsText" text="Calcul validé">
      <formula>NOT(ISERROR(SEARCH("Calcul validé",C8)))</formula>
    </cfRule>
  </conditionalFormatting>
  <conditionalFormatting sqref="C8">
    <cfRule type="containsText" dxfId="117" priority="28" operator="containsText" text="Bon ordre de grandeur">
      <formula>NOT(ISERROR(SEARCH("Bon ordre de grandeur",C8)))</formula>
    </cfRule>
  </conditionalFormatting>
  <conditionalFormatting sqref="C8">
    <cfRule type="containsText" dxfId="116" priority="27" operator="containsText" text="Calcul brouillon, ordre de grandeur">
      <formula>NOT(ISERROR(SEARCH("Calcul brouillon, ordre de grandeur",C8)))</formula>
    </cfRule>
  </conditionalFormatting>
  <conditionalFormatting sqref="C8">
    <cfRule type="containsText" dxfId="115" priority="26" operator="containsText" text="Pas ok">
      <formula>NOT(ISERROR(SEARCH("Pas ok",C8)))</formula>
    </cfRule>
  </conditionalFormatting>
  <conditionalFormatting sqref="C8">
    <cfRule type="containsText" dxfId="114" priority="25" operator="containsText" text="Calcul validé">
      <formula>NOT(ISERROR(SEARCH("Calcul validé",C8)))</formula>
    </cfRule>
  </conditionalFormatting>
  <conditionalFormatting sqref="C8">
    <cfRule type="containsText" dxfId="113" priority="24" operator="containsText" text="Calcul validé">
      <formula>NOT(ISERROR(SEARCH("Calcul validé",C8)))</formula>
    </cfRule>
  </conditionalFormatting>
  <conditionalFormatting sqref="C8">
    <cfRule type="containsText" dxfId="112" priority="23" operator="containsText" text="Bon ordre de grandeur">
      <formula>NOT(ISERROR(SEARCH("Bon ordre de grandeur",C8)))</formula>
    </cfRule>
  </conditionalFormatting>
  <conditionalFormatting sqref="C8">
    <cfRule type="containsText" dxfId="111" priority="22" operator="containsText" text="Calcul brouillon, ordre de grandeur">
      <formula>NOT(ISERROR(SEARCH("Calcul brouillon, ordre de grandeur",C8)))</formula>
    </cfRule>
  </conditionalFormatting>
  <conditionalFormatting sqref="C8">
    <cfRule type="containsText" dxfId="110" priority="21" operator="containsText" text="Pas ok">
      <formula>NOT(ISERROR(SEARCH("Pas ok",C8)))</formula>
    </cfRule>
  </conditionalFormatting>
  <conditionalFormatting sqref="D9:E9">
    <cfRule type="containsText" dxfId="109" priority="20" operator="containsText" text="Calcul brouillon, odg">
      <formula>NOT(ISERROR(SEARCH("Calcul brouillon, odg",D9)))</formula>
    </cfRule>
  </conditionalFormatting>
  <conditionalFormatting sqref="D9">
    <cfRule type="containsText" dxfId="108" priority="19" operator="containsText" text="Calcul validé">
      <formula>NOT(ISERROR(SEARCH("Calcul validé",D9)))</formula>
    </cfRule>
  </conditionalFormatting>
  <conditionalFormatting sqref="D9">
    <cfRule type="containsText" dxfId="107" priority="18" operator="containsText" text="Bon ordre de grandeur">
      <formula>NOT(ISERROR(SEARCH("Bon ordre de grandeur",D9)))</formula>
    </cfRule>
  </conditionalFormatting>
  <conditionalFormatting sqref="D9">
    <cfRule type="containsText" dxfId="106" priority="17" operator="containsText" text="Calcul brouillon, ordre de grandeur">
      <formula>NOT(ISERROR(SEARCH("Calcul brouillon, ordre de grandeur",D9)))</formula>
    </cfRule>
  </conditionalFormatting>
  <conditionalFormatting sqref="D9">
    <cfRule type="containsText" dxfId="105" priority="16" operator="containsText" text="Pas ok">
      <formula>NOT(ISERROR(SEARCH("Pas ok",D9)))</formula>
    </cfRule>
  </conditionalFormatting>
  <conditionalFormatting sqref="D9">
    <cfRule type="containsText" dxfId="104" priority="15" operator="containsText" text="Calcul validé">
      <formula>NOT(ISERROR(SEARCH("Calcul validé",D9)))</formula>
    </cfRule>
  </conditionalFormatting>
  <conditionalFormatting sqref="D9">
    <cfRule type="containsText" dxfId="103" priority="14" operator="containsText" text="Calcul validé">
      <formula>NOT(ISERROR(SEARCH("Calcul validé",D9)))</formula>
    </cfRule>
  </conditionalFormatting>
  <conditionalFormatting sqref="D9">
    <cfRule type="containsText" dxfId="102" priority="13" operator="containsText" text="Bon ordre de grandeur">
      <formula>NOT(ISERROR(SEARCH("Bon ordre de grandeur",D9)))</formula>
    </cfRule>
  </conditionalFormatting>
  <conditionalFormatting sqref="D9">
    <cfRule type="containsText" dxfId="101" priority="12" operator="containsText" text="Calcul brouillon, ordre de grandeur">
      <formula>NOT(ISERROR(SEARCH("Calcul brouillon, ordre de grandeur",D9)))</formula>
    </cfRule>
  </conditionalFormatting>
  <conditionalFormatting sqref="D9">
    <cfRule type="containsText" dxfId="100" priority="11" operator="containsText" text="Pas ok">
      <formula>NOT(ISERROR(SEARCH("Pas ok",D9)))</formula>
    </cfRule>
  </conditionalFormatting>
  <conditionalFormatting sqref="G8:H8">
    <cfRule type="containsText" dxfId="99" priority="10" operator="containsText" text="Calcul brouillon, odg">
      <formula>NOT(ISERROR(SEARCH("Calcul brouillon, odg",G8)))</formula>
    </cfRule>
  </conditionalFormatting>
  <conditionalFormatting sqref="G8">
    <cfRule type="containsText" dxfId="98" priority="9" operator="containsText" text="Calcul validé">
      <formula>NOT(ISERROR(SEARCH("Calcul validé",G8)))</formula>
    </cfRule>
  </conditionalFormatting>
  <conditionalFormatting sqref="G8">
    <cfRule type="containsText" dxfId="97" priority="8" operator="containsText" text="Bon ordre de grandeur">
      <formula>NOT(ISERROR(SEARCH("Bon ordre de grandeur",G8)))</formula>
    </cfRule>
  </conditionalFormatting>
  <conditionalFormatting sqref="G8">
    <cfRule type="containsText" dxfId="96" priority="7" operator="containsText" text="Calcul brouillon, ordre de grandeur">
      <formula>NOT(ISERROR(SEARCH("Calcul brouillon, ordre de grandeur",G8)))</formula>
    </cfRule>
  </conditionalFormatting>
  <conditionalFormatting sqref="G8">
    <cfRule type="containsText" dxfId="95" priority="6" operator="containsText" text="Pas ok">
      <formula>NOT(ISERROR(SEARCH("Pas ok",G8)))</formula>
    </cfRule>
  </conditionalFormatting>
  <conditionalFormatting sqref="G8">
    <cfRule type="containsText" dxfId="94" priority="5" operator="containsText" text="Calcul validé">
      <formula>NOT(ISERROR(SEARCH("Calcul validé",G8)))</formula>
    </cfRule>
  </conditionalFormatting>
  <conditionalFormatting sqref="G8">
    <cfRule type="containsText" dxfId="93" priority="4" operator="containsText" text="Calcul validé">
      <formula>NOT(ISERROR(SEARCH("Calcul validé",G8)))</formula>
    </cfRule>
  </conditionalFormatting>
  <conditionalFormatting sqref="G8">
    <cfRule type="containsText" dxfId="92" priority="3" operator="containsText" text="Bon ordre de grandeur">
      <formula>NOT(ISERROR(SEARCH("Bon ordre de grandeur",G8)))</formula>
    </cfRule>
  </conditionalFormatting>
  <conditionalFormatting sqref="G8">
    <cfRule type="containsText" dxfId="91" priority="2" operator="containsText" text="Calcul brouillon, ordre de grandeur">
      <formula>NOT(ISERROR(SEARCH("Calcul brouillon, ordre de grandeur",G8)))</formula>
    </cfRule>
  </conditionalFormatting>
  <conditionalFormatting sqref="G8">
    <cfRule type="containsText" dxfId="90" priority="1" operator="containsText" text="Pas ok">
      <formula>NOT(ISERROR(SEARCH("Pas ok",G8)))</formula>
    </cfRule>
  </conditionalFormatting>
  <pageMargins left="0.7" right="0.7" top="0.75" bottom="0.75" header="0.3" footer="0.3"/>
  <pageSetup paperSize="9" orientation="portrait"/>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55">
    <tabColor rgb="FF00B0F0"/>
  </sheetPr>
  <dimension ref="A1:H35"/>
  <sheetViews>
    <sheetView zoomScale="60" workbookViewId="0">
      <selection activeCell="C37" sqref="C37"/>
    </sheetView>
  </sheetViews>
  <sheetFormatPr baseColWidth="10" defaultColWidth="10.77734375" defaultRowHeight="14.4"/>
  <cols>
    <col min="2" max="2" width="49.44140625" customWidth="1"/>
    <col min="3" max="3" width="24.44140625" customWidth="1"/>
    <col min="4" max="4" width="25.77734375" customWidth="1"/>
    <col min="5" max="5" width="106.109375" customWidth="1"/>
    <col min="6" max="6" width="49.44140625" customWidth="1"/>
    <col min="7" max="7" width="46.44140625" customWidth="1"/>
    <col min="8" max="8" width="25.77734375" customWidth="1"/>
  </cols>
  <sheetData>
    <row r="1" spans="1:8" ht="15.6">
      <c r="A1" s="1086"/>
      <c r="B1" s="1086"/>
      <c r="C1" s="1086"/>
      <c r="D1" s="1086"/>
      <c r="E1" s="1086"/>
      <c r="F1" s="1086"/>
      <c r="G1" s="1086"/>
      <c r="H1" s="1086"/>
    </row>
    <row r="2" spans="1:8" ht="18">
      <c r="A2" s="1086"/>
      <c r="B2" s="57" t="s">
        <v>39</v>
      </c>
      <c r="C2" s="1086"/>
      <c r="D2" s="1086"/>
      <c r="E2" s="1086"/>
      <c r="F2" s="1086"/>
      <c r="G2" s="1086"/>
      <c r="H2" s="1086"/>
    </row>
    <row r="3" spans="1:8" ht="15.6">
      <c r="A3" s="1086"/>
      <c r="B3" s="1086"/>
      <c r="C3" s="1086"/>
      <c r="D3" s="1086"/>
      <c r="E3" s="1086"/>
      <c r="F3" s="1086"/>
      <c r="G3" s="1086"/>
      <c r="H3" s="1086"/>
    </row>
    <row r="4" spans="1:8" ht="15.6">
      <c r="A4" s="1086"/>
      <c r="B4" s="1086"/>
      <c r="C4" s="1086"/>
      <c r="D4" s="1086"/>
      <c r="E4" s="1086"/>
      <c r="F4" s="1086"/>
      <c r="G4" s="1086"/>
      <c r="H4" s="1086"/>
    </row>
    <row r="5" spans="1:8" ht="15.6">
      <c r="A5" s="1086"/>
      <c r="B5" s="1487" t="s">
        <v>1811</v>
      </c>
      <c r="C5" s="1488"/>
      <c r="D5" s="1489"/>
      <c r="E5" s="1086"/>
      <c r="F5" s="1487" t="s">
        <v>1812</v>
      </c>
      <c r="G5" s="1488"/>
      <c r="H5" s="1489"/>
    </row>
    <row r="6" spans="1:8" ht="15.6">
      <c r="A6" s="1086"/>
      <c r="B6" s="1088" t="s">
        <v>64</v>
      </c>
      <c r="C6" s="1089">
        <f>'2'!C6</f>
        <v>0.28033973337519469</v>
      </c>
      <c r="D6" s="1090" t="s">
        <v>65</v>
      </c>
      <c r="E6" s="1086"/>
      <c r="F6" s="1088" t="s">
        <v>64</v>
      </c>
      <c r="G6" s="1089">
        <f>D29</f>
        <v>0.12451276371363063</v>
      </c>
      <c r="H6" s="1090" t="s">
        <v>65</v>
      </c>
    </row>
    <row r="7" spans="1:8" ht="15.6">
      <c r="A7" s="1086"/>
      <c r="B7" s="1091" t="s">
        <v>68</v>
      </c>
      <c r="C7" s="1490" t="str">
        <f>'2'!C7</f>
        <v>v1.2</v>
      </c>
      <c r="D7" s="1491"/>
      <c r="E7" s="1086"/>
      <c r="F7" s="1091" t="s">
        <v>1813</v>
      </c>
      <c r="G7" s="1492">
        <f>(G6-C6)/C6</f>
        <v>-0.55585045967426927</v>
      </c>
      <c r="H7" s="1491"/>
    </row>
    <row r="8" spans="1:8" ht="15.6">
      <c r="A8" s="1086"/>
      <c r="B8" s="1092" t="s">
        <v>28</v>
      </c>
      <c r="C8" s="1493" t="s">
        <v>98</v>
      </c>
      <c r="D8" s="1494"/>
      <c r="E8" s="1086"/>
      <c r="F8" s="1092" t="s">
        <v>28</v>
      </c>
      <c r="G8" s="1493" t="s">
        <v>98</v>
      </c>
      <c r="H8" s="1494"/>
    </row>
    <row r="9" spans="1:8" ht="15.6">
      <c r="A9" s="1086"/>
      <c r="B9" s="1086"/>
      <c r="C9" s="1086"/>
      <c r="D9" s="1093"/>
      <c r="E9" s="1093"/>
      <c r="F9" s="1086"/>
      <c r="G9" s="1086"/>
      <c r="H9" s="1086"/>
    </row>
    <row r="10" spans="1:8" ht="15.6">
      <c r="A10" s="1086"/>
      <c r="B10" s="1086"/>
      <c r="C10" s="1086"/>
      <c r="D10" s="1086"/>
      <c r="E10" s="1086"/>
      <c r="F10" s="1086"/>
      <c r="G10" s="1086"/>
      <c r="H10" s="1086"/>
    </row>
    <row r="11" spans="1:8" ht="15.6">
      <c r="A11" s="1086"/>
      <c r="B11" s="1086"/>
      <c r="C11" s="1086"/>
      <c r="D11" s="1086"/>
      <c r="E11" s="1086"/>
      <c r="F11" s="1086"/>
      <c r="G11" s="1086"/>
      <c r="H11" s="1086"/>
    </row>
    <row r="12" spans="1:8" ht="15.6">
      <c r="A12" s="1086"/>
      <c r="B12" s="1086"/>
      <c r="C12" s="1086"/>
      <c r="D12" s="1086"/>
      <c r="E12" s="1086"/>
      <c r="F12" s="1086"/>
      <c r="G12" s="1086"/>
      <c r="H12" s="1086"/>
    </row>
    <row r="13" spans="1:8" ht="15.6">
      <c r="A13" s="1086"/>
      <c r="B13" s="1086"/>
      <c r="C13" s="1481" t="s">
        <v>1940</v>
      </c>
      <c r="D13" s="1482"/>
      <c r="E13" s="1483"/>
      <c r="F13" s="1086"/>
      <c r="G13" s="1086"/>
      <c r="H13" s="1086"/>
    </row>
    <row r="14" spans="1:8" ht="15.6">
      <c r="A14" s="1086"/>
      <c r="B14" s="1086"/>
      <c r="C14" s="1473">
        <v>2020</v>
      </c>
      <c r="D14" s="1474"/>
      <c r="E14" s="1475"/>
      <c r="F14" s="1086"/>
      <c r="G14" s="1086"/>
      <c r="H14" s="1086"/>
    </row>
    <row r="15" spans="1:8" ht="46.8">
      <c r="A15" s="1086"/>
      <c r="B15" s="1086"/>
      <c r="C15" s="1205" t="s">
        <v>1946</v>
      </c>
      <c r="D15" s="1218">
        <f>'2'!G106/10^9</f>
        <v>0.14162005303539824</v>
      </c>
      <c r="E15" s="1180"/>
      <c r="F15" s="1086"/>
      <c r="G15" s="1086"/>
      <c r="H15" s="1086"/>
    </row>
    <row r="16" spans="1:8" ht="46.8">
      <c r="A16" s="1086"/>
      <c r="B16" s="1086"/>
      <c r="C16" s="1205" t="s">
        <v>1947</v>
      </c>
      <c r="D16" s="1218">
        <f>('2'!H117+'2'!H118)/10^9</f>
        <v>0.19117841599999999</v>
      </c>
      <c r="E16" s="1180"/>
      <c r="F16" s="1086"/>
      <c r="G16" s="1086"/>
      <c r="H16" s="1086"/>
    </row>
    <row r="17" spans="1:8" ht="31.2">
      <c r="A17" s="1086"/>
      <c r="B17" s="1086"/>
      <c r="C17" s="1205" t="s">
        <v>1948</v>
      </c>
      <c r="D17" s="1218">
        <f>('2'!H119+'2'!H120)/10^9</f>
        <v>0.63413724400000004</v>
      </c>
      <c r="E17" s="1180"/>
      <c r="F17" s="1086"/>
      <c r="G17" s="1086"/>
      <c r="H17" s="1086"/>
    </row>
    <row r="18" spans="1:8" ht="31.2">
      <c r="A18" s="1086"/>
      <c r="B18" s="1207"/>
      <c r="C18" s="1106" t="s">
        <v>1949</v>
      </c>
      <c r="D18" s="1219">
        <f>'2'!C129</f>
        <v>0.40100000000000002</v>
      </c>
      <c r="E18" s="1180"/>
      <c r="F18" s="1086"/>
      <c r="G18" s="1086"/>
      <c r="H18" s="1086"/>
    </row>
    <row r="19" spans="1:8" ht="31.2">
      <c r="A19" s="1086"/>
      <c r="B19" s="1086"/>
      <c r="C19" s="1106" t="s">
        <v>1950</v>
      </c>
      <c r="D19" s="1220">
        <f>'2'!C128</f>
        <v>0.193</v>
      </c>
      <c r="E19" s="219"/>
      <c r="F19" s="1086"/>
      <c r="G19" s="1086"/>
      <c r="H19" s="1086"/>
    </row>
    <row r="20" spans="1:8" ht="31.2">
      <c r="A20" s="1086"/>
      <c r="B20" s="1086"/>
      <c r="C20" s="1106" t="s">
        <v>1951</v>
      </c>
      <c r="D20" s="1220">
        <f>'2'!C160</f>
        <v>2.4499059200000003E-2</v>
      </c>
      <c r="E20" s="1221"/>
      <c r="F20" s="1086"/>
      <c r="G20" s="1086"/>
      <c r="H20" s="1086"/>
    </row>
    <row r="21" spans="1:8" ht="28.8">
      <c r="A21" s="1086"/>
      <c r="B21" s="1086"/>
      <c r="C21" s="1131" t="s">
        <v>1831</v>
      </c>
      <c r="D21" s="1132">
        <f>(D15+D16)*D18+D17*D19+D20</f>
        <v>0.28033973337519474</v>
      </c>
      <c r="E21" s="1126"/>
      <c r="F21" s="1086"/>
      <c r="G21" s="1086"/>
      <c r="H21" s="1086"/>
    </row>
    <row r="22" spans="1:8" ht="16.05" customHeight="1">
      <c r="A22" s="1086"/>
      <c r="B22" s="1086"/>
      <c r="C22" s="1522" t="s">
        <v>1832</v>
      </c>
      <c r="D22" s="1523"/>
      <c r="E22" s="1524"/>
      <c r="F22" s="1086"/>
      <c r="G22" s="1086"/>
      <c r="H22" s="1086"/>
    </row>
    <row r="23" spans="1:8" ht="15.6">
      <c r="A23" s="1086"/>
      <c r="B23" s="1086"/>
      <c r="C23" s="1519" t="s">
        <v>1935</v>
      </c>
      <c r="D23" s="1520"/>
      <c r="E23" s="1521"/>
      <c r="F23" s="1086"/>
      <c r="G23" s="1086"/>
      <c r="H23" s="1086"/>
    </row>
    <row r="24" spans="1:8" ht="15.6">
      <c r="A24" s="1086"/>
      <c r="B24" s="1086"/>
      <c r="C24" s="1222" t="s">
        <v>1952</v>
      </c>
      <c r="D24" s="1223"/>
      <c r="E24" s="1224"/>
      <c r="F24" s="1086"/>
      <c r="G24" s="1086"/>
      <c r="H24" s="1086"/>
    </row>
    <row r="25" spans="1:8" ht="15.6">
      <c r="A25" s="1086"/>
      <c r="B25" s="1086"/>
      <c r="C25" s="1514" t="s">
        <v>1921</v>
      </c>
      <c r="D25" s="1515"/>
      <c r="E25" s="1516"/>
      <c r="F25" s="1086"/>
      <c r="G25" s="1086"/>
      <c r="H25" s="1086"/>
    </row>
    <row r="26" spans="1:8" ht="15.6">
      <c r="A26" s="1086"/>
      <c r="B26" s="1086"/>
      <c r="C26" s="1473">
        <v>2050</v>
      </c>
      <c r="D26" s="1474"/>
      <c r="E26" s="1475"/>
      <c r="F26" s="1086"/>
      <c r="G26" s="1086"/>
      <c r="H26" s="1086"/>
    </row>
    <row r="27" spans="1:8" ht="33" customHeight="1">
      <c r="A27" s="1086"/>
      <c r="B27" s="1086"/>
      <c r="C27" s="1106" t="s">
        <v>1953</v>
      </c>
      <c r="D27" s="1213">
        <v>0.10299999999999999</v>
      </c>
      <c r="E27" s="1126" t="s">
        <v>1923</v>
      </c>
      <c r="F27" s="1086"/>
      <c r="G27" s="1086"/>
      <c r="H27" s="1086"/>
    </row>
    <row r="28" spans="1:8" ht="31.2">
      <c r="A28" s="1086"/>
      <c r="B28" s="1086"/>
      <c r="C28" s="1106" t="s">
        <v>1954</v>
      </c>
      <c r="D28" s="1213">
        <f>D18*(1-0.74)</f>
        <v>0.10426000000000001</v>
      </c>
      <c r="E28" s="1126" t="s">
        <v>1955</v>
      </c>
      <c r="F28" s="1086"/>
      <c r="G28" s="1086"/>
      <c r="H28" s="1086"/>
    </row>
    <row r="29" spans="1:8" ht="28.8">
      <c r="A29" s="1086"/>
      <c r="B29" s="1086"/>
      <c r="C29" s="1131" t="s">
        <v>1831</v>
      </c>
      <c r="D29" s="1181">
        <f>D28*(D16+D15)+D27*D17+D20</f>
        <v>0.12451276371363063</v>
      </c>
      <c r="E29" s="1126"/>
      <c r="F29" s="1086"/>
      <c r="G29" s="1086"/>
      <c r="H29" s="1086"/>
    </row>
    <row r="30" spans="1:8" ht="15.6">
      <c r="A30" s="1086"/>
      <c r="B30" s="1086"/>
      <c r="C30" s="1134" t="s">
        <v>1845</v>
      </c>
      <c r="D30" s="1183">
        <f>D29/D21</f>
        <v>0.44414954032573062</v>
      </c>
      <c r="E30" s="1184"/>
      <c r="F30" s="1086"/>
      <c r="G30" s="1086"/>
      <c r="H30" s="1086"/>
    </row>
    <row r="31" spans="1:8" ht="15.6">
      <c r="A31" s="1086"/>
      <c r="B31" s="1086"/>
      <c r="C31" s="1086"/>
      <c r="D31" s="1086"/>
      <c r="E31" s="1086"/>
      <c r="F31" s="1086"/>
      <c r="G31" s="1086"/>
      <c r="H31" s="1086"/>
    </row>
    <row r="33" spans="2:4" ht="15.6">
      <c r="B33" s="1225"/>
    </row>
    <row r="35" spans="2:4">
      <c r="D35" s="1226"/>
    </row>
  </sheetData>
  <mergeCells count="12">
    <mergeCell ref="B5:D5"/>
    <mergeCell ref="F5:H5"/>
    <mergeCell ref="C7:D7"/>
    <mergeCell ref="G7:H7"/>
    <mergeCell ref="C8:D8"/>
    <mergeCell ref="G8:H8"/>
    <mergeCell ref="C26:E26"/>
    <mergeCell ref="C13:E13"/>
    <mergeCell ref="C14:E14"/>
    <mergeCell ref="C22:E22"/>
    <mergeCell ref="C23:E23"/>
    <mergeCell ref="C25:E25"/>
  </mergeCells>
  <conditionalFormatting sqref="C8:D8">
    <cfRule type="containsText" dxfId="89" priority="30" operator="containsText" text="Calcul brouillon, odg">
      <formula>NOT(ISERROR(SEARCH("Calcul brouillon, odg",C8)))</formula>
    </cfRule>
  </conditionalFormatting>
  <conditionalFormatting sqref="C8">
    <cfRule type="containsText" dxfId="88" priority="29" operator="containsText" text="Calcul validé">
      <formula>NOT(ISERROR(SEARCH("Calcul validé",C8)))</formula>
    </cfRule>
  </conditionalFormatting>
  <conditionalFormatting sqref="C8">
    <cfRule type="containsText" dxfId="87" priority="28" operator="containsText" text="Bon ordre de grandeur">
      <formula>NOT(ISERROR(SEARCH("Bon ordre de grandeur",C8)))</formula>
    </cfRule>
  </conditionalFormatting>
  <conditionalFormatting sqref="C8">
    <cfRule type="containsText" dxfId="86" priority="27" operator="containsText" text="Calcul brouillon, ordre de grandeur">
      <formula>NOT(ISERROR(SEARCH("Calcul brouillon, ordre de grandeur",C8)))</formula>
    </cfRule>
  </conditionalFormatting>
  <conditionalFormatting sqref="C8">
    <cfRule type="containsText" dxfId="85" priority="26" operator="containsText" text="Pas ok">
      <formula>NOT(ISERROR(SEARCH("Pas ok",C8)))</formula>
    </cfRule>
  </conditionalFormatting>
  <conditionalFormatting sqref="C8">
    <cfRule type="containsText" dxfId="84" priority="25" operator="containsText" text="Calcul validé">
      <formula>NOT(ISERROR(SEARCH("Calcul validé",C8)))</formula>
    </cfRule>
  </conditionalFormatting>
  <conditionalFormatting sqref="C8">
    <cfRule type="containsText" dxfId="83" priority="24" operator="containsText" text="Calcul validé">
      <formula>NOT(ISERROR(SEARCH("Calcul validé",C8)))</formula>
    </cfRule>
  </conditionalFormatting>
  <conditionalFormatting sqref="C8">
    <cfRule type="containsText" dxfId="82" priority="23" operator="containsText" text="Bon ordre de grandeur">
      <formula>NOT(ISERROR(SEARCH("Bon ordre de grandeur",C8)))</formula>
    </cfRule>
  </conditionalFormatting>
  <conditionalFormatting sqref="C8">
    <cfRule type="containsText" dxfId="81" priority="22" operator="containsText" text="Calcul brouillon, ordre de grandeur">
      <formula>NOT(ISERROR(SEARCH("Calcul brouillon, ordre de grandeur",C8)))</formula>
    </cfRule>
  </conditionalFormatting>
  <conditionalFormatting sqref="C8">
    <cfRule type="containsText" dxfId="80" priority="21" operator="containsText" text="Pas ok">
      <formula>NOT(ISERROR(SEARCH("Pas ok",C8)))</formula>
    </cfRule>
  </conditionalFormatting>
  <conditionalFormatting sqref="D9:E9">
    <cfRule type="containsText" dxfId="79" priority="20" operator="containsText" text="Calcul brouillon, odg">
      <formula>NOT(ISERROR(SEARCH("Calcul brouillon, odg",D9)))</formula>
    </cfRule>
  </conditionalFormatting>
  <conditionalFormatting sqref="D9">
    <cfRule type="containsText" dxfId="78" priority="19" operator="containsText" text="Calcul validé">
      <formula>NOT(ISERROR(SEARCH("Calcul validé",D9)))</formula>
    </cfRule>
  </conditionalFormatting>
  <conditionalFormatting sqref="D9">
    <cfRule type="containsText" dxfId="77" priority="18" operator="containsText" text="Bon ordre de grandeur">
      <formula>NOT(ISERROR(SEARCH("Bon ordre de grandeur",D9)))</formula>
    </cfRule>
  </conditionalFormatting>
  <conditionalFormatting sqref="D9">
    <cfRule type="containsText" dxfId="76" priority="17" operator="containsText" text="Calcul brouillon, ordre de grandeur">
      <formula>NOT(ISERROR(SEARCH("Calcul brouillon, ordre de grandeur",D9)))</formula>
    </cfRule>
  </conditionalFormatting>
  <conditionalFormatting sqref="D9">
    <cfRule type="containsText" dxfId="75" priority="16" operator="containsText" text="Pas ok">
      <formula>NOT(ISERROR(SEARCH("Pas ok",D9)))</formula>
    </cfRule>
  </conditionalFormatting>
  <conditionalFormatting sqref="D9">
    <cfRule type="containsText" dxfId="74" priority="15" operator="containsText" text="Calcul validé">
      <formula>NOT(ISERROR(SEARCH("Calcul validé",D9)))</formula>
    </cfRule>
  </conditionalFormatting>
  <conditionalFormatting sqref="D9">
    <cfRule type="containsText" dxfId="73" priority="14" operator="containsText" text="Calcul validé">
      <formula>NOT(ISERROR(SEARCH("Calcul validé",D9)))</formula>
    </cfRule>
  </conditionalFormatting>
  <conditionalFormatting sqref="D9">
    <cfRule type="containsText" dxfId="72" priority="13" operator="containsText" text="Bon ordre de grandeur">
      <formula>NOT(ISERROR(SEARCH("Bon ordre de grandeur",D9)))</formula>
    </cfRule>
  </conditionalFormatting>
  <conditionalFormatting sqref="D9">
    <cfRule type="containsText" dxfId="71" priority="12" operator="containsText" text="Calcul brouillon, ordre de grandeur">
      <formula>NOT(ISERROR(SEARCH("Calcul brouillon, ordre de grandeur",D9)))</formula>
    </cfRule>
  </conditionalFormatting>
  <conditionalFormatting sqref="D9">
    <cfRule type="containsText" dxfId="70" priority="11" operator="containsText" text="Pas ok">
      <formula>NOT(ISERROR(SEARCH("Pas ok",D9)))</formula>
    </cfRule>
  </conditionalFormatting>
  <conditionalFormatting sqref="G8:H8">
    <cfRule type="containsText" dxfId="69" priority="10" operator="containsText" text="Calcul brouillon, odg">
      <formula>NOT(ISERROR(SEARCH("Calcul brouillon, odg",G8)))</formula>
    </cfRule>
  </conditionalFormatting>
  <conditionalFormatting sqref="G8">
    <cfRule type="containsText" dxfId="68" priority="9" operator="containsText" text="Calcul validé">
      <formula>NOT(ISERROR(SEARCH("Calcul validé",G8)))</formula>
    </cfRule>
  </conditionalFormatting>
  <conditionalFormatting sqref="G8">
    <cfRule type="containsText" dxfId="67" priority="8" operator="containsText" text="Bon ordre de grandeur">
      <formula>NOT(ISERROR(SEARCH("Bon ordre de grandeur",G8)))</formula>
    </cfRule>
  </conditionalFormatting>
  <conditionalFormatting sqref="G8">
    <cfRule type="containsText" dxfId="66" priority="7" operator="containsText" text="Calcul brouillon, ordre de grandeur">
      <formula>NOT(ISERROR(SEARCH("Calcul brouillon, ordre de grandeur",G8)))</formula>
    </cfRule>
  </conditionalFormatting>
  <conditionalFormatting sqref="G8">
    <cfRule type="containsText" dxfId="65" priority="6" operator="containsText" text="Pas ok">
      <formula>NOT(ISERROR(SEARCH("Pas ok",G8)))</formula>
    </cfRule>
  </conditionalFormatting>
  <conditionalFormatting sqref="G8">
    <cfRule type="containsText" dxfId="64" priority="5" operator="containsText" text="Calcul validé">
      <formula>NOT(ISERROR(SEARCH("Calcul validé",G8)))</formula>
    </cfRule>
  </conditionalFormatting>
  <conditionalFormatting sqref="G8">
    <cfRule type="containsText" dxfId="63" priority="4" operator="containsText" text="Calcul validé">
      <formula>NOT(ISERROR(SEARCH("Calcul validé",G8)))</formula>
    </cfRule>
  </conditionalFormatting>
  <conditionalFormatting sqref="G8">
    <cfRule type="containsText" dxfId="62" priority="3" operator="containsText" text="Bon ordre de grandeur">
      <formula>NOT(ISERROR(SEARCH("Bon ordre de grandeur",G8)))</formula>
    </cfRule>
  </conditionalFormatting>
  <conditionalFormatting sqref="G8">
    <cfRule type="containsText" dxfId="61" priority="2" operator="containsText" text="Calcul brouillon, ordre de grandeur">
      <formula>NOT(ISERROR(SEARCH("Calcul brouillon, ordre de grandeur",G8)))</formula>
    </cfRule>
  </conditionalFormatting>
  <conditionalFormatting sqref="G8">
    <cfRule type="containsText" dxfId="60" priority="1" operator="containsText" text="Pas ok">
      <formula>NOT(ISERROR(SEARCH("Pas ok",G8)))</formula>
    </cfRule>
  </conditionalFormatting>
  <pageMargins left="0.7" right="0.7" top="0.75" bottom="0.75" header="0.3" footer="0.3"/>
  <pageSetup paperSize="9" orientation="portrait"/>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50">
    <tabColor rgb="FF00B050"/>
  </sheetPr>
  <dimension ref="B2:H38"/>
  <sheetViews>
    <sheetView topLeftCell="A15" zoomScale="75" workbookViewId="0">
      <selection activeCell="C37" sqref="C37:E37"/>
    </sheetView>
  </sheetViews>
  <sheetFormatPr baseColWidth="10" defaultColWidth="11.44140625" defaultRowHeight="15.6"/>
  <cols>
    <col min="1" max="1" width="11.44140625" style="1086"/>
    <col min="2" max="2" width="49.44140625" style="1086" customWidth="1"/>
    <col min="3" max="3" width="24.44140625" style="1086" customWidth="1"/>
    <col min="4" max="4" width="25.77734375" style="1086" customWidth="1"/>
    <col min="5" max="5" width="106.109375" style="1086" customWidth="1"/>
    <col min="6" max="6" width="49.44140625" style="1086" customWidth="1"/>
    <col min="7" max="7" width="46.44140625" style="1086" customWidth="1"/>
    <col min="8" max="8" width="25.77734375" style="1086" customWidth="1"/>
    <col min="9" max="16384" width="11.44140625" style="1086"/>
  </cols>
  <sheetData>
    <row r="2" spans="2:8" ht="18">
      <c r="B2" s="1087" t="s">
        <v>1956</v>
      </c>
    </row>
    <row r="5" spans="2:8">
      <c r="B5" s="1487" t="s">
        <v>1811</v>
      </c>
      <c r="C5" s="1488"/>
      <c r="D5" s="1489"/>
      <c r="F5" s="1487" t="s">
        <v>1812</v>
      </c>
      <c r="G5" s="1488"/>
      <c r="H5" s="1489"/>
    </row>
    <row r="6" spans="2:8">
      <c r="B6" s="1088" t="s">
        <v>64</v>
      </c>
      <c r="C6" s="1089">
        <f>'11'!C134</f>
        <v>0.422123648144</v>
      </c>
      <c r="D6" s="1090" t="s">
        <v>65</v>
      </c>
      <c r="F6" s="1088" t="s">
        <v>64</v>
      </c>
      <c r="G6" s="1089">
        <f>D33</f>
        <v>0.35382725867699005</v>
      </c>
      <c r="H6" s="1090" t="s">
        <v>65</v>
      </c>
    </row>
    <row r="7" spans="2:8">
      <c r="B7" s="1091" t="s">
        <v>68</v>
      </c>
      <c r="C7" s="1490" t="s">
        <v>351</v>
      </c>
      <c r="D7" s="1491"/>
      <c r="F7" s="1091" t="s">
        <v>1813</v>
      </c>
      <c r="G7" s="1492">
        <f>1-D34</f>
        <v>0.16179237947766412</v>
      </c>
      <c r="H7" s="1491"/>
    </row>
    <row r="8" spans="2:8">
      <c r="B8" s="1092" t="s">
        <v>28</v>
      </c>
      <c r="C8" s="1493" t="s">
        <v>98</v>
      </c>
      <c r="D8" s="1494"/>
      <c r="F8" s="1092" t="s">
        <v>28</v>
      </c>
      <c r="G8" s="1493" t="s">
        <v>98</v>
      </c>
      <c r="H8" s="1494"/>
    </row>
    <row r="9" spans="2:8">
      <c r="D9" s="1093"/>
      <c r="E9" s="1093"/>
    </row>
    <row r="13" spans="2:8">
      <c r="C13" s="1481" t="s">
        <v>1957</v>
      </c>
      <c r="D13" s="1482"/>
      <c r="E13" s="1483"/>
    </row>
    <row r="14" spans="2:8">
      <c r="C14" s="1094" t="s">
        <v>1958</v>
      </c>
      <c r="D14" s="1208">
        <f>'11'!C29</f>
        <v>575904.43700000003</v>
      </c>
      <c r="E14" s="1096"/>
    </row>
    <row r="15" spans="2:8">
      <c r="C15" s="1097" t="s">
        <v>1959</v>
      </c>
      <c r="D15" s="1208">
        <f>'11'!C30</f>
        <v>172717.85800000001</v>
      </c>
      <c r="E15" s="1099"/>
    </row>
    <row r="16" spans="2:8">
      <c r="C16" s="1473">
        <v>2020</v>
      </c>
      <c r="D16" s="1528"/>
      <c r="E16" s="1475"/>
    </row>
    <row r="17" spans="3:5" ht="46.8">
      <c r="C17" s="1106" t="s">
        <v>1960</v>
      </c>
      <c r="D17" s="1107">
        <f>'11'!E62</f>
        <v>374</v>
      </c>
      <c r="E17" s="1126" t="s">
        <v>1961</v>
      </c>
    </row>
    <row r="18" spans="3:5" ht="46.8">
      <c r="C18" s="1106" t="s">
        <v>1962</v>
      </c>
      <c r="D18" s="1107">
        <f>'11'!E63</f>
        <v>943</v>
      </c>
      <c r="E18" s="1126" t="s">
        <v>1961</v>
      </c>
    </row>
    <row r="19" spans="3:5" ht="46.8">
      <c r="C19" s="1106" t="s">
        <v>1963</v>
      </c>
      <c r="D19" s="1227">
        <f>'11'!H131</f>
        <v>4.3862448612000005E-2</v>
      </c>
      <c r="E19" s="1126"/>
    </row>
    <row r="20" spans="3:5" ht="28.8">
      <c r="C20" s="1131" t="s">
        <v>1831</v>
      </c>
      <c r="D20" s="1132">
        <f>(D14*D17+D15*D18)/10^9+D19</f>
        <v>0.42212364814400005</v>
      </c>
      <c r="E20" s="1126"/>
    </row>
    <row r="21" spans="3:5">
      <c r="C21" s="1473" t="s">
        <v>1832</v>
      </c>
      <c r="D21" s="1474"/>
      <c r="E21" s="1475"/>
    </row>
    <row r="22" spans="3:5">
      <c r="C22" s="1519" t="s">
        <v>1964</v>
      </c>
      <c r="D22" s="1520"/>
      <c r="E22" s="1521"/>
    </row>
    <row r="23" spans="3:5">
      <c r="C23" s="1519" t="s">
        <v>1965</v>
      </c>
      <c r="D23" s="1520"/>
      <c r="E23" s="1521"/>
    </row>
    <row r="24" spans="3:5">
      <c r="C24" s="1519" t="s">
        <v>1966</v>
      </c>
      <c r="D24" s="1520"/>
      <c r="E24" s="1521"/>
    </row>
    <row r="25" spans="3:5">
      <c r="C25" s="1519" t="s">
        <v>1967</v>
      </c>
      <c r="D25" s="1520"/>
      <c r="E25" s="1521"/>
    </row>
    <row r="26" spans="3:5">
      <c r="C26" s="1519" t="s">
        <v>1968</v>
      </c>
      <c r="D26" s="1520"/>
      <c r="E26" s="1521"/>
    </row>
    <row r="27" spans="3:5">
      <c r="C27" s="1519" t="s">
        <v>1969</v>
      </c>
      <c r="D27" s="1520"/>
      <c r="E27" s="1521"/>
    </row>
    <row r="28" spans="3:5">
      <c r="C28" s="1473">
        <v>2050</v>
      </c>
      <c r="D28" s="1474"/>
      <c r="E28" s="1475"/>
    </row>
    <row r="29" spans="3:5" ht="46.8">
      <c r="C29" s="1106" t="s">
        <v>1970</v>
      </c>
      <c r="D29" s="1182">
        <v>0.15</v>
      </c>
      <c r="E29" s="1126" t="s">
        <v>1971</v>
      </c>
    </row>
    <row r="30" spans="3:5" ht="78">
      <c r="C30" s="1106" t="s">
        <v>1972</v>
      </c>
      <c r="D30" s="1182">
        <f>0.3*0.15</f>
        <v>4.4999999999999998E-2</v>
      </c>
      <c r="E30" s="1126" t="s">
        <v>1973</v>
      </c>
    </row>
    <row r="31" spans="3:5">
      <c r="C31" s="1094" t="s">
        <v>1958</v>
      </c>
      <c r="D31" s="1228">
        <f>D29*D15+(1-D30)*D14</f>
        <v>575896.416035</v>
      </c>
      <c r="E31" s="1126"/>
    </row>
    <row r="32" spans="3:5">
      <c r="C32" s="1097" t="s">
        <v>1959</v>
      </c>
      <c r="D32" s="1228">
        <f>(1-D29)*D15</f>
        <v>146810.17929999999</v>
      </c>
      <c r="E32" s="1126"/>
    </row>
    <row r="33" spans="3:5" ht="28.8">
      <c r="C33" s="1131" t="s">
        <v>1831</v>
      </c>
      <c r="D33" s="1181">
        <f>(D32*D18+D17*D31)/10^9</f>
        <v>0.35382725867699005</v>
      </c>
      <c r="E33" s="1126"/>
    </row>
    <row r="34" spans="3:5">
      <c r="C34" s="1134" t="s">
        <v>1845</v>
      </c>
      <c r="D34" s="1183">
        <f>D33/D20</f>
        <v>0.83820762052233588</v>
      </c>
      <c r="E34" s="1184"/>
    </row>
    <row r="35" spans="3:5">
      <c r="C35" s="1473" t="s">
        <v>1974</v>
      </c>
      <c r="D35" s="1474"/>
      <c r="E35" s="1475"/>
    </row>
    <row r="36" spans="3:5">
      <c r="C36" s="1519" t="s">
        <v>1975</v>
      </c>
      <c r="D36" s="1520"/>
      <c r="E36" s="1521"/>
    </row>
    <row r="37" spans="3:5">
      <c r="C37" s="1519" t="s">
        <v>1976</v>
      </c>
      <c r="D37" s="1520"/>
      <c r="E37" s="1521"/>
    </row>
    <row r="38" spans="3:5">
      <c r="C38" s="1519" t="s">
        <v>1966</v>
      </c>
      <c r="D38" s="1520"/>
      <c r="E38" s="1521"/>
    </row>
  </sheetData>
  <mergeCells count="20">
    <mergeCell ref="B5:D5"/>
    <mergeCell ref="F5:H5"/>
    <mergeCell ref="C7:D7"/>
    <mergeCell ref="G7:H7"/>
    <mergeCell ref="C8:D8"/>
    <mergeCell ref="G8:H8"/>
    <mergeCell ref="C13:E13"/>
    <mergeCell ref="C16:E16"/>
    <mergeCell ref="C21:E21"/>
    <mergeCell ref="C22:E22"/>
    <mergeCell ref="C23:E23"/>
    <mergeCell ref="C35:E35"/>
    <mergeCell ref="C36:E36"/>
    <mergeCell ref="C37:E37"/>
    <mergeCell ref="C38:E38"/>
    <mergeCell ref="C24:E24"/>
    <mergeCell ref="C25:E25"/>
    <mergeCell ref="C26:E26"/>
    <mergeCell ref="C27:E27"/>
    <mergeCell ref="C28:E28"/>
  </mergeCells>
  <conditionalFormatting sqref="C8:D8">
    <cfRule type="containsText" dxfId="59" priority="30" operator="containsText" text="Calcul brouillon, odg">
      <formula>NOT(ISERROR(SEARCH("Calcul brouillon, odg",C8)))</formula>
    </cfRule>
  </conditionalFormatting>
  <conditionalFormatting sqref="C8">
    <cfRule type="containsText" dxfId="58" priority="29" operator="containsText" text="Calcul validé">
      <formula>NOT(ISERROR(SEARCH("Calcul validé",C8)))</formula>
    </cfRule>
  </conditionalFormatting>
  <conditionalFormatting sqref="C8">
    <cfRule type="containsText" dxfId="57" priority="28" operator="containsText" text="Bon ordre de grandeur">
      <formula>NOT(ISERROR(SEARCH("Bon ordre de grandeur",C8)))</formula>
    </cfRule>
  </conditionalFormatting>
  <conditionalFormatting sqref="C8">
    <cfRule type="containsText" dxfId="56" priority="27" operator="containsText" text="Calcul brouillon, ordre de grandeur">
      <formula>NOT(ISERROR(SEARCH("Calcul brouillon, ordre de grandeur",C8)))</formula>
    </cfRule>
  </conditionalFormatting>
  <conditionalFormatting sqref="C8">
    <cfRule type="containsText" dxfId="55" priority="26" operator="containsText" text="Pas ok">
      <formula>NOT(ISERROR(SEARCH("Pas ok",C8)))</formula>
    </cfRule>
  </conditionalFormatting>
  <conditionalFormatting sqref="C8">
    <cfRule type="containsText" dxfId="54" priority="25" operator="containsText" text="Calcul validé">
      <formula>NOT(ISERROR(SEARCH("Calcul validé",C8)))</formula>
    </cfRule>
  </conditionalFormatting>
  <conditionalFormatting sqref="C8">
    <cfRule type="containsText" dxfId="53" priority="24" operator="containsText" text="Calcul validé">
      <formula>NOT(ISERROR(SEARCH("Calcul validé",C8)))</formula>
    </cfRule>
  </conditionalFormatting>
  <conditionalFormatting sqref="C8">
    <cfRule type="containsText" dxfId="52" priority="23" operator="containsText" text="Bon ordre de grandeur">
      <formula>NOT(ISERROR(SEARCH("Bon ordre de grandeur",C8)))</formula>
    </cfRule>
  </conditionalFormatting>
  <conditionalFormatting sqref="C8">
    <cfRule type="containsText" dxfId="51" priority="22" operator="containsText" text="Calcul brouillon, ordre de grandeur">
      <formula>NOT(ISERROR(SEARCH("Calcul brouillon, ordre de grandeur",C8)))</formula>
    </cfRule>
  </conditionalFormatting>
  <conditionalFormatting sqref="C8">
    <cfRule type="containsText" dxfId="50" priority="21" operator="containsText" text="Pas ok">
      <formula>NOT(ISERROR(SEARCH("Pas ok",C8)))</formula>
    </cfRule>
  </conditionalFormatting>
  <conditionalFormatting sqref="D9:E9">
    <cfRule type="containsText" dxfId="49" priority="20" operator="containsText" text="Calcul brouillon, odg">
      <formula>NOT(ISERROR(SEARCH("Calcul brouillon, odg",D9)))</formula>
    </cfRule>
  </conditionalFormatting>
  <conditionalFormatting sqref="D9">
    <cfRule type="containsText" dxfId="48" priority="19" operator="containsText" text="Calcul validé">
      <formula>NOT(ISERROR(SEARCH("Calcul validé",D9)))</formula>
    </cfRule>
  </conditionalFormatting>
  <conditionalFormatting sqref="D9">
    <cfRule type="containsText" dxfId="47" priority="18" operator="containsText" text="Bon ordre de grandeur">
      <formula>NOT(ISERROR(SEARCH("Bon ordre de grandeur",D9)))</formula>
    </cfRule>
  </conditionalFormatting>
  <conditionalFormatting sqref="D9">
    <cfRule type="containsText" dxfId="46" priority="17" operator="containsText" text="Calcul brouillon, ordre de grandeur">
      <formula>NOT(ISERROR(SEARCH("Calcul brouillon, ordre de grandeur",D9)))</formula>
    </cfRule>
  </conditionalFormatting>
  <conditionalFormatting sqref="D9">
    <cfRule type="containsText" dxfId="45" priority="16" operator="containsText" text="Pas ok">
      <formula>NOT(ISERROR(SEARCH("Pas ok",D9)))</formula>
    </cfRule>
  </conditionalFormatting>
  <conditionalFormatting sqref="D9">
    <cfRule type="containsText" dxfId="44" priority="15" operator="containsText" text="Calcul validé">
      <formula>NOT(ISERROR(SEARCH("Calcul validé",D9)))</formula>
    </cfRule>
  </conditionalFormatting>
  <conditionalFormatting sqref="D9">
    <cfRule type="containsText" dxfId="43" priority="14" operator="containsText" text="Calcul validé">
      <formula>NOT(ISERROR(SEARCH("Calcul validé",D9)))</formula>
    </cfRule>
  </conditionalFormatting>
  <conditionalFormatting sqref="D9">
    <cfRule type="containsText" dxfId="42" priority="13" operator="containsText" text="Bon ordre de grandeur">
      <formula>NOT(ISERROR(SEARCH("Bon ordre de grandeur",D9)))</formula>
    </cfRule>
  </conditionalFormatting>
  <conditionalFormatting sqref="D9">
    <cfRule type="containsText" dxfId="41" priority="12" operator="containsText" text="Calcul brouillon, ordre de grandeur">
      <formula>NOT(ISERROR(SEARCH("Calcul brouillon, ordre de grandeur",D9)))</formula>
    </cfRule>
  </conditionalFormatting>
  <conditionalFormatting sqref="D9">
    <cfRule type="containsText" dxfId="40" priority="11" operator="containsText" text="Pas ok">
      <formula>NOT(ISERROR(SEARCH("Pas ok",D9)))</formula>
    </cfRule>
  </conditionalFormatting>
  <conditionalFormatting sqref="G8:H8">
    <cfRule type="containsText" dxfId="39" priority="10" operator="containsText" text="Calcul brouillon, odg">
      <formula>NOT(ISERROR(SEARCH("Calcul brouillon, odg",G8)))</formula>
    </cfRule>
  </conditionalFormatting>
  <conditionalFormatting sqref="G8">
    <cfRule type="containsText" dxfId="38" priority="9" operator="containsText" text="Calcul validé">
      <formula>NOT(ISERROR(SEARCH("Calcul validé",G8)))</formula>
    </cfRule>
  </conditionalFormatting>
  <conditionalFormatting sqref="G8">
    <cfRule type="containsText" dxfId="37" priority="8" operator="containsText" text="Bon ordre de grandeur">
      <formula>NOT(ISERROR(SEARCH("Bon ordre de grandeur",G8)))</formula>
    </cfRule>
  </conditionalFormatting>
  <conditionalFormatting sqref="G8">
    <cfRule type="containsText" dxfId="36" priority="7" operator="containsText" text="Calcul brouillon, ordre de grandeur">
      <formula>NOT(ISERROR(SEARCH("Calcul brouillon, ordre de grandeur",G8)))</formula>
    </cfRule>
  </conditionalFormatting>
  <conditionalFormatting sqref="G8">
    <cfRule type="containsText" dxfId="35" priority="6" operator="containsText" text="Pas ok">
      <formula>NOT(ISERROR(SEARCH("Pas ok",G8)))</formula>
    </cfRule>
  </conditionalFormatting>
  <conditionalFormatting sqref="G8">
    <cfRule type="containsText" dxfId="34" priority="5" operator="containsText" text="Calcul validé">
      <formula>NOT(ISERROR(SEARCH("Calcul validé",G8)))</formula>
    </cfRule>
  </conditionalFormatting>
  <conditionalFormatting sqref="G8">
    <cfRule type="containsText" dxfId="33" priority="4" operator="containsText" text="Calcul validé">
      <formula>NOT(ISERROR(SEARCH("Calcul validé",G8)))</formula>
    </cfRule>
  </conditionalFormatting>
  <conditionalFormatting sqref="G8">
    <cfRule type="containsText" dxfId="32" priority="3" operator="containsText" text="Bon ordre de grandeur">
      <formula>NOT(ISERROR(SEARCH("Bon ordre de grandeur",G8)))</formula>
    </cfRule>
  </conditionalFormatting>
  <conditionalFormatting sqref="G8">
    <cfRule type="containsText" dxfId="31" priority="2" operator="containsText" text="Calcul brouillon, ordre de grandeur">
      <formula>NOT(ISERROR(SEARCH("Calcul brouillon, ordre de grandeur",G8)))</formula>
    </cfRule>
  </conditionalFormatting>
  <conditionalFormatting sqref="G8">
    <cfRule type="containsText" dxfId="30" priority="1" operator="containsText" text="Pas ok">
      <formula>NOT(ISERROR(SEARCH("Pas ok",G8)))</formula>
    </cfRule>
  </conditionalFormatting>
  <pageMargins left="0.7" right="0.7" top="0.75" bottom="0.75" header="0.3" footer="0.3"/>
  <pageSetup paperSize="9" orientation="portrait"/>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51">
    <tabColor rgb="FF92D050"/>
  </sheetPr>
  <dimension ref="B2:K46"/>
  <sheetViews>
    <sheetView zoomScale="55" workbookViewId="0">
      <selection activeCell="C37" sqref="C37"/>
    </sheetView>
  </sheetViews>
  <sheetFormatPr baseColWidth="10" defaultColWidth="11.44140625" defaultRowHeight="15.6"/>
  <cols>
    <col min="1" max="1" width="11.44140625" style="1086"/>
    <col min="2" max="2" width="49.44140625" style="1086" customWidth="1"/>
    <col min="3" max="3" width="24.44140625" style="1086" customWidth="1"/>
    <col min="4" max="4" width="25.77734375" style="1086" customWidth="1"/>
    <col min="5" max="5" width="114.77734375" style="1086" customWidth="1"/>
    <col min="6" max="6" width="49.44140625" style="1086" customWidth="1"/>
    <col min="7" max="7" width="46.44140625" style="1086" customWidth="1"/>
    <col min="8" max="8" width="25.77734375" style="1086" customWidth="1"/>
    <col min="9" max="9" width="20.109375" style="1086" bestFit="1" customWidth="1"/>
    <col min="10" max="10" width="17" style="1086" customWidth="1"/>
    <col min="11" max="11" width="60.44140625" style="1086" customWidth="1"/>
    <col min="12" max="16384" width="11.44140625" style="1086"/>
  </cols>
  <sheetData>
    <row r="2" spans="2:11" ht="18">
      <c r="B2" s="1087" t="s">
        <v>1977</v>
      </c>
    </row>
    <row r="5" spans="2:11">
      <c r="B5" s="1487" t="s">
        <v>1811</v>
      </c>
      <c r="C5" s="1488"/>
      <c r="D5" s="1489"/>
      <c r="F5" s="1487" t="s">
        <v>1812</v>
      </c>
      <c r="G5" s="1488"/>
      <c r="H5" s="1489"/>
    </row>
    <row r="6" spans="2:11">
      <c r="B6" s="1088" t="s">
        <v>64</v>
      </c>
      <c r="C6" s="1089">
        <f>'4'!C6</f>
        <v>1.042020053415007</v>
      </c>
      <c r="D6" s="1090" t="s">
        <v>65</v>
      </c>
      <c r="F6" s="1088" t="s">
        <v>64</v>
      </c>
      <c r="G6" s="1089">
        <f>D41</f>
        <v>0.13598152761013882</v>
      </c>
      <c r="H6" s="1090" t="s">
        <v>65</v>
      </c>
    </row>
    <row r="7" spans="2:11">
      <c r="B7" s="1091" t="s">
        <v>68</v>
      </c>
      <c r="C7" s="1490" t="str">
        <f>'4'!C7</f>
        <v>v1.1</v>
      </c>
      <c r="D7" s="1491"/>
      <c r="F7" s="1091" t="s">
        <v>1813</v>
      </c>
      <c r="G7" s="1492">
        <f>(G6-C6)/C6</f>
        <v>-0.86950200510586406</v>
      </c>
      <c r="H7" s="1491"/>
    </row>
    <row r="8" spans="2:11">
      <c r="B8" s="1092" t="s">
        <v>28</v>
      </c>
      <c r="C8" s="1493" t="s">
        <v>98</v>
      </c>
      <c r="D8" s="1494"/>
      <c r="F8" s="1092" t="s">
        <v>28</v>
      </c>
      <c r="G8" s="1493" t="s">
        <v>98</v>
      </c>
      <c r="H8" s="1494"/>
    </row>
    <row r="9" spans="2:11">
      <c r="D9" s="1093"/>
      <c r="E9" s="1093"/>
    </row>
    <row r="13" spans="2:11">
      <c r="C13" s="1481" t="s">
        <v>1978</v>
      </c>
      <c r="D13" s="1482"/>
      <c r="E13" s="1483"/>
    </row>
    <row r="14" spans="2:11">
      <c r="C14" s="1473">
        <v>2020</v>
      </c>
      <c r="D14" s="1474"/>
      <c r="E14" s="1475"/>
      <c r="G14" s="1086" t="s">
        <v>1979</v>
      </c>
    </row>
    <row r="15" spans="2:11" ht="31.2">
      <c r="C15" s="1205" t="s">
        <v>1980</v>
      </c>
      <c r="D15" s="1208">
        <f>'4'!C43</f>
        <v>59953.825929648228</v>
      </c>
      <c r="E15" s="1180"/>
    </row>
    <row r="16" spans="2:11" ht="31.2">
      <c r="C16" s="1205" t="s">
        <v>1981</v>
      </c>
      <c r="D16" s="1208">
        <f>'4'!C44</f>
        <v>730.2952261306533</v>
      </c>
      <c r="E16" s="1180"/>
      <c r="G16" s="1229"/>
      <c r="H16" s="1229" t="s">
        <v>1982</v>
      </c>
      <c r="I16" s="1229" t="s">
        <v>1625</v>
      </c>
      <c r="J16" s="1229" t="s">
        <v>1627</v>
      </c>
      <c r="K16" s="1229" t="s">
        <v>130</v>
      </c>
    </row>
    <row r="17" spans="2:11" ht="87" customHeight="1">
      <c r="C17" s="1205" t="s">
        <v>1983</v>
      </c>
      <c r="D17" s="1208">
        <f>'4'!C45</f>
        <v>140196.38655749193</v>
      </c>
      <c r="E17" s="1180"/>
      <c r="G17" s="1229" t="s">
        <v>1984</v>
      </c>
      <c r="H17" s="1230">
        <f>1.3</f>
        <v>1.3</v>
      </c>
      <c r="I17" s="1230">
        <f>1/2.6</f>
        <v>0.38461538461538458</v>
      </c>
      <c r="J17" s="1230">
        <v>1</v>
      </c>
      <c r="K17" s="220" t="s">
        <v>1985</v>
      </c>
    </row>
    <row r="18" spans="2:11" ht="43.2">
      <c r="C18" s="1205" t="s">
        <v>1986</v>
      </c>
      <c r="D18" s="1208">
        <f>'4'!C46</f>
        <v>141796.90064597988</v>
      </c>
      <c r="E18" s="1180"/>
      <c r="G18" s="1229" t="s">
        <v>1987</v>
      </c>
      <c r="H18" s="1231">
        <v>1.502</v>
      </c>
      <c r="I18" s="1231">
        <v>1.4650000000000001</v>
      </c>
      <c r="J18" s="1231">
        <v>1.52</v>
      </c>
      <c r="K18" s="1232" t="s">
        <v>1988</v>
      </c>
    </row>
    <row r="19" spans="2:11" ht="101.55" customHeight="1">
      <c r="B19" s="1207"/>
      <c r="C19" s="1205" t="s">
        <v>1989</v>
      </c>
      <c r="D19" s="1208">
        <f>'4'!C47</f>
        <v>343510.64703517588</v>
      </c>
      <c r="E19" s="1180"/>
      <c r="G19" s="1229" t="s">
        <v>1990</v>
      </c>
      <c r="H19" s="1233">
        <f>H17*H18/$J$18</f>
        <v>1.2846052631578948</v>
      </c>
      <c r="I19" s="1233">
        <f t="shared" ref="I19:J19" si="0">I17*I18/$J$18</f>
        <v>0.3706983805668016</v>
      </c>
      <c r="J19" s="1233">
        <f t="shared" si="0"/>
        <v>1</v>
      </c>
      <c r="K19" s="1204"/>
    </row>
    <row r="20" spans="2:11">
      <c r="C20" s="1106" t="s">
        <v>1991</v>
      </c>
      <c r="D20" s="1107">
        <v>2540</v>
      </c>
      <c r="E20" s="1126"/>
      <c r="H20" s="1234"/>
    </row>
    <row r="21" spans="2:11">
      <c r="C21" s="1106" t="s">
        <v>1992</v>
      </c>
      <c r="D21" s="1107">
        <v>510</v>
      </c>
      <c r="E21" s="1126"/>
    </row>
    <row r="22" spans="2:11">
      <c r="C22" s="1106" t="s">
        <v>1993</v>
      </c>
      <c r="D22" s="1107">
        <v>265</v>
      </c>
      <c r="E22" s="1126"/>
    </row>
    <row r="23" spans="2:11">
      <c r="C23" s="1106" t="s">
        <v>1994</v>
      </c>
      <c r="D23" s="1107">
        <v>265</v>
      </c>
      <c r="E23" s="1126"/>
    </row>
    <row r="24" spans="2:11">
      <c r="C24" s="1106" t="s">
        <v>1995</v>
      </c>
      <c r="D24" s="1107">
        <v>130</v>
      </c>
      <c r="E24" s="1126"/>
    </row>
    <row r="25" spans="2:11" ht="31.2">
      <c r="C25" s="1106" t="s">
        <v>1996</v>
      </c>
      <c r="D25" s="1107">
        <f>(D15*D20+D16*D21+D17*D22+D18*D23+D19*D24)/10^9</f>
        <v>0.27203977365012605</v>
      </c>
      <c r="E25" s="1126"/>
    </row>
    <row r="26" spans="2:11" ht="31.2">
      <c r="C26" s="1106" t="s">
        <v>1997</v>
      </c>
      <c r="D26" s="1107">
        <f>'4'!C264</f>
        <v>0.31</v>
      </c>
      <c r="E26" s="1126"/>
    </row>
    <row r="27" spans="2:11" ht="31.2">
      <c r="C27" s="1106" t="s">
        <v>1998</v>
      </c>
      <c r="D27" s="1107">
        <f>'4'!E277</f>
        <v>0.45998027976488076</v>
      </c>
      <c r="E27" s="1126"/>
    </row>
    <row r="28" spans="2:11" ht="28.8">
      <c r="C28" s="1131" t="s">
        <v>1831</v>
      </c>
      <c r="D28" s="1210">
        <f>D25+D26+D27</f>
        <v>1.0420200534150068</v>
      </c>
      <c r="E28" s="1126"/>
    </row>
    <row r="29" spans="2:11">
      <c r="C29" s="1473" t="s">
        <v>1832</v>
      </c>
      <c r="D29" s="1474"/>
      <c r="E29" s="1475"/>
    </row>
    <row r="30" spans="2:11">
      <c r="C30" s="1519" t="s">
        <v>1999</v>
      </c>
      <c r="D30" s="1520"/>
      <c r="E30" s="1521"/>
    </row>
    <row r="31" spans="2:11">
      <c r="C31" s="1119" t="s">
        <v>2000</v>
      </c>
      <c r="D31" s="1120"/>
      <c r="E31" s="1121"/>
    </row>
    <row r="32" spans="2:11">
      <c r="C32" s="1119" t="s">
        <v>2001</v>
      </c>
      <c r="D32" s="1235"/>
      <c r="E32" s="1236"/>
    </row>
    <row r="33" spans="2:6">
      <c r="C33" s="1473">
        <v>2050</v>
      </c>
      <c r="D33" s="1474"/>
      <c r="E33" s="1475"/>
    </row>
    <row r="34" spans="2:6" ht="31.2">
      <c r="C34" s="1205" t="s">
        <v>1980</v>
      </c>
      <c r="D34" s="1228">
        <v>0</v>
      </c>
      <c r="E34" s="1126" t="s">
        <v>2002</v>
      </c>
    </row>
    <row r="35" spans="2:6" ht="31.2">
      <c r="C35" s="1205" t="s">
        <v>1981</v>
      </c>
      <c r="D35" s="1228">
        <v>0</v>
      </c>
      <c r="E35" s="1126" t="s">
        <v>2003</v>
      </c>
    </row>
    <row r="36" spans="2:6" ht="31.2">
      <c r="C36" s="1205" t="s">
        <v>1983</v>
      </c>
      <c r="D36" s="1228">
        <f>D17</f>
        <v>140196.38655749193</v>
      </c>
      <c r="E36" s="1126" t="s">
        <v>2004</v>
      </c>
    </row>
    <row r="37" spans="2:6" ht="31.2">
      <c r="C37" s="1205" t="s">
        <v>1986</v>
      </c>
      <c r="D37" s="1228">
        <f>D18*0.9</f>
        <v>127617.21058138189</v>
      </c>
      <c r="E37" s="1126" t="s">
        <v>2005</v>
      </c>
      <c r="F37" s="1237" t="s">
        <v>2006</v>
      </c>
    </row>
    <row r="38" spans="2:6" ht="31.2">
      <c r="B38" s="1207"/>
      <c r="C38" s="1205" t="s">
        <v>1989</v>
      </c>
      <c r="D38" s="1228">
        <f>D19+D15*I19+D16*H19+0.1*D18</f>
        <v>380853.26437182492</v>
      </c>
      <c r="E38" s="1126"/>
      <c r="F38" s="1237"/>
    </row>
    <row r="39" spans="2:6" ht="49.5" customHeight="1">
      <c r="B39" s="1207"/>
      <c r="C39" s="1205" t="s">
        <v>2007</v>
      </c>
      <c r="D39" s="1238">
        <v>-0.95</v>
      </c>
      <c r="E39" s="1126" t="s">
        <v>2008</v>
      </c>
      <c r="F39" s="1239" t="s">
        <v>2009</v>
      </c>
    </row>
    <row r="40" spans="2:6" ht="49.5" customHeight="1">
      <c r="B40" s="1207"/>
      <c r="C40" s="1205" t="s">
        <v>2010</v>
      </c>
      <c r="D40" s="1238">
        <v>-1</v>
      </c>
      <c r="E40" s="1126" t="s">
        <v>2011</v>
      </c>
    </row>
    <row r="41" spans="2:6" ht="28.8">
      <c r="C41" s="1131" t="s">
        <v>1831</v>
      </c>
      <c r="D41" s="1181">
        <f>(D34*D20+D35*D21+D36*D22+D37*D23+D38*D24)/10^9 + D26*(1+D39)+D27*(1+D40)</f>
        <v>0.13598152761013882</v>
      </c>
      <c r="E41" s="1126"/>
    </row>
    <row r="42" spans="2:6">
      <c r="C42" s="1134" t="s">
        <v>1845</v>
      </c>
      <c r="D42" s="1183">
        <f>D41/D28</f>
        <v>0.13049799489413594</v>
      </c>
      <c r="E42" s="1184"/>
    </row>
    <row r="43" spans="2:6" ht="16.05" customHeight="1"/>
    <row r="44" spans="2:6" ht="16.05" customHeight="1"/>
    <row r="45" spans="2:6" ht="16.05" customHeight="1"/>
    <row r="46" spans="2:6" ht="16.05" customHeight="1"/>
  </sheetData>
  <mergeCells count="11">
    <mergeCell ref="B5:D5"/>
    <mergeCell ref="F5:H5"/>
    <mergeCell ref="C7:D7"/>
    <mergeCell ref="G7:H7"/>
    <mergeCell ref="C8:D8"/>
    <mergeCell ref="G8:H8"/>
    <mergeCell ref="C13:E13"/>
    <mergeCell ref="C14:E14"/>
    <mergeCell ref="C29:E29"/>
    <mergeCell ref="C30:E30"/>
    <mergeCell ref="C33:E33"/>
  </mergeCells>
  <conditionalFormatting sqref="C8:D8">
    <cfRule type="containsText" dxfId="29" priority="30" operator="containsText" text="Calcul brouillon, odg">
      <formula>NOT(ISERROR(SEARCH("Calcul brouillon, odg",C8)))</formula>
    </cfRule>
  </conditionalFormatting>
  <conditionalFormatting sqref="C8">
    <cfRule type="containsText" dxfId="28" priority="29" operator="containsText" text="Calcul validé">
      <formula>NOT(ISERROR(SEARCH("Calcul validé",C8)))</formula>
    </cfRule>
  </conditionalFormatting>
  <conditionalFormatting sqref="C8">
    <cfRule type="containsText" dxfId="27" priority="28" operator="containsText" text="Bon ordre de grandeur">
      <formula>NOT(ISERROR(SEARCH("Bon ordre de grandeur",C8)))</formula>
    </cfRule>
  </conditionalFormatting>
  <conditionalFormatting sqref="C8">
    <cfRule type="containsText" dxfId="26" priority="27" operator="containsText" text="Calcul brouillon, ordre de grandeur">
      <formula>NOT(ISERROR(SEARCH("Calcul brouillon, ordre de grandeur",C8)))</formula>
    </cfRule>
  </conditionalFormatting>
  <conditionalFormatting sqref="C8">
    <cfRule type="containsText" dxfId="25" priority="26" operator="containsText" text="Pas ok">
      <formula>NOT(ISERROR(SEARCH("Pas ok",C8)))</formula>
    </cfRule>
  </conditionalFormatting>
  <conditionalFormatting sqref="C8">
    <cfRule type="containsText" dxfId="24" priority="25" operator="containsText" text="Calcul validé">
      <formula>NOT(ISERROR(SEARCH("Calcul validé",C8)))</formula>
    </cfRule>
  </conditionalFormatting>
  <conditionalFormatting sqref="C8">
    <cfRule type="containsText" dxfId="23" priority="24" operator="containsText" text="Calcul validé">
      <formula>NOT(ISERROR(SEARCH("Calcul validé",C8)))</formula>
    </cfRule>
  </conditionalFormatting>
  <conditionalFormatting sqref="C8">
    <cfRule type="containsText" dxfId="22" priority="23" operator="containsText" text="Bon ordre de grandeur">
      <formula>NOT(ISERROR(SEARCH("Bon ordre de grandeur",C8)))</formula>
    </cfRule>
  </conditionalFormatting>
  <conditionalFormatting sqref="C8">
    <cfRule type="containsText" dxfId="21" priority="22" operator="containsText" text="Calcul brouillon, ordre de grandeur">
      <formula>NOT(ISERROR(SEARCH("Calcul brouillon, ordre de grandeur",C8)))</formula>
    </cfRule>
  </conditionalFormatting>
  <conditionalFormatting sqref="C8">
    <cfRule type="containsText" dxfId="20" priority="21" operator="containsText" text="Pas ok">
      <formula>NOT(ISERROR(SEARCH("Pas ok",C8)))</formula>
    </cfRule>
  </conditionalFormatting>
  <conditionalFormatting sqref="D9:E9">
    <cfRule type="containsText" dxfId="19" priority="20" operator="containsText" text="Calcul brouillon, odg">
      <formula>NOT(ISERROR(SEARCH("Calcul brouillon, odg",D9)))</formula>
    </cfRule>
  </conditionalFormatting>
  <conditionalFormatting sqref="D9">
    <cfRule type="containsText" dxfId="18" priority="19" operator="containsText" text="Calcul validé">
      <formula>NOT(ISERROR(SEARCH("Calcul validé",D9)))</formula>
    </cfRule>
  </conditionalFormatting>
  <conditionalFormatting sqref="D9">
    <cfRule type="containsText" dxfId="17" priority="18" operator="containsText" text="Bon ordre de grandeur">
      <formula>NOT(ISERROR(SEARCH("Bon ordre de grandeur",D9)))</formula>
    </cfRule>
  </conditionalFormatting>
  <conditionalFormatting sqref="D9">
    <cfRule type="containsText" dxfId="16" priority="17" operator="containsText" text="Calcul brouillon, ordre de grandeur">
      <formula>NOT(ISERROR(SEARCH("Calcul brouillon, ordre de grandeur",D9)))</formula>
    </cfRule>
  </conditionalFormatting>
  <conditionalFormatting sqref="D9">
    <cfRule type="containsText" dxfId="15" priority="16" operator="containsText" text="Pas ok">
      <formula>NOT(ISERROR(SEARCH("Pas ok",D9)))</formula>
    </cfRule>
  </conditionalFormatting>
  <conditionalFormatting sqref="D9">
    <cfRule type="containsText" dxfId="14" priority="15" operator="containsText" text="Calcul validé">
      <formula>NOT(ISERROR(SEARCH("Calcul validé",D9)))</formula>
    </cfRule>
  </conditionalFormatting>
  <conditionalFormatting sqref="D9">
    <cfRule type="containsText" dxfId="13" priority="14" operator="containsText" text="Calcul validé">
      <formula>NOT(ISERROR(SEARCH("Calcul validé",D9)))</formula>
    </cfRule>
  </conditionalFormatting>
  <conditionalFormatting sqref="D9">
    <cfRule type="containsText" dxfId="12" priority="13" operator="containsText" text="Bon ordre de grandeur">
      <formula>NOT(ISERROR(SEARCH("Bon ordre de grandeur",D9)))</formula>
    </cfRule>
  </conditionalFormatting>
  <conditionalFormatting sqref="D9">
    <cfRule type="containsText" dxfId="11" priority="12" operator="containsText" text="Calcul brouillon, ordre de grandeur">
      <formula>NOT(ISERROR(SEARCH("Calcul brouillon, ordre de grandeur",D9)))</formula>
    </cfRule>
  </conditionalFormatting>
  <conditionalFormatting sqref="D9">
    <cfRule type="containsText" dxfId="10" priority="11" operator="containsText" text="Pas ok">
      <formula>NOT(ISERROR(SEARCH("Pas ok",D9)))</formula>
    </cfRule>
  </conditionalFormatting>
  <conditionalFormatting sqref="G8:H8">
    <cfRule type="containsText" dxfId="9" priority="10" operator="containsText" text="Calcul brouillon, odg">
      <formula>NOT(ISERROR(SEARCH("Calcul brouillon, odg",G8)))</formula>
    </cfRule>
  </conditionalFormatting>
  <conditionalFormatting sqref="G8">
    <cfRule type="containsText" dxfId="8" priority="9" operator="containsText" text="Calcul validé">
      <formula>NOT(ISERROR(SEARCH("Calcul validé",G8)))</formula>
    </cfRule>
  </conditionalFormatting>
  <conditionalFormatting sqref="G8">
    <cfRule type="containsText" dxfId="7" priority="8" operator="containsText" text="Bon ordre de grandeur">
      <formula>NOT(ISERROR(SEARCH("Bon ordre de grandeur",G8)))</formula>
    </cfRule>
  </conditionalFormatting>
  <conditionalFormatting sqref="G8">
    <cfRule type="containsText" dxfId="6" priority="7" operator="containsText" text="Calcul brouillon, ordre de grandeur">
      <formula>NOT(ISERROR(SEARCH("Calcul brouillon, ordre de grandeur",G8)))</formula>
    </cfRule>
  </conditionalFormatting>
  <conditionalFormatting sqref="G8">
    <cfRule type="containsText" dxfId="5" priority="6" operator="containsText" text="Pas ok">
      <formula>NOT(ISERROR(SEARCH("Pas ok",G8)))</formula>
    </cfRule>
  </conditionalFormatting>
  <conditionalFormatting sqref="G8">
    <cfRule type="containsText" dxfId="4" priority="5" operator="containsText" text="Calcul validé">
      <formula>NOT(ISERROR(SEARCH("Calcul validé",G8)))</formula>
    </cfRule>
  </conditionalFormatting>
  <conditionalFormatting sqref="G8">
    <cfRule type="containsText" dxfId="3" priority="4" operator="containsText" text="Calcul validé">
      <formula>NOT(ISERROR(SEARCH("Calcul validé",G8)))</formula>
    </cfRule>
  </conditionalFormatting>
  <conditionalFormatting sqref="G8">
    <cfRule type="containsText" dxfId="2" priority="3" operator="containsText" text="Bon ordre de grandeur">
      <formula>NOT(ISERROR(SEARCH("Bon ordre de grandeur",G8)))</formula>
    </cfRule>
  </conditionalFormatting>
  <conditionalFormatting sqref="G8">
    <cfRule type="containsText" dxfId="1" priority="2" operator="containsText" text="Calcul brouillon, ordre de grandeur">
      <formula>NOT(ISERROR(SEARCH("Calcul brouillon, ordre de grandeur",G8)))</formula>
    </cfRule>
  </conditionalFormatting>
  <conditionalFormatting sqref="G8">
    <cfRule type="containsText" dxfId="0" priority="1" operator="containsText" text="Pas ok">
      <formula>NOT(ISERROR(SEARCH("Pas ok",G8)))</formula>
    </cfRule>
  </conditionalFormatting>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0">
    <tabColor rgb="FFC00000"/>
  </sheetPr>
  <dimension ref="A2:V224"/>
  <sheetViews>
    <sheetView zoomScale="87" workbookViewId="0">
      <pane ySplit="2" topLeftCell="A3" activePane="bottomLeft" state="frozen"/>
      <selection activeCell="A19" sqref="A19:XFD19"/>
      <selection pane="bottomLeft"/>
    </sheetView>
  </sheetViews>
  <sheetFormatPr baseColWidth="10" defaultRowHeight="14.4"/>
  <cols>
    <col min="2" max="2" width="43.109375" customWidth="1"/>
    <col min="3" max="3" width="37.44140625" customWidth="1"/>
    <col min="4" max="4" width="30.77734375" customWidth="1"/>
    <col min="5" max="5" width="38.77734375" customWidth="1"/>
    <col min="6" max="6" width="17.109375" customWidth="1"/>
    <col min="7" max="9" width="13.6640625" bestFit="1" customWidth="1"/>
    <col min="10" max="10" width="18.44140625" customWidth="1"/>
    <col min="11" max="11" width="12.109375" bestFit="1" customWidth="1"/>
    <col min="12" max="12" width="10.77734375" customWidth="1"/>
    <col min="13" max="13" width="30.44140625" customWidth="1"/>
    <col min="14" max="14" width="29.44140625" customWidth="1"/>
    <col min="15" max="15" width="21" customWidth="1"/>
    <col min="16" max="16" width="45" customWidth="1"/>
    <col min="17" max="17" width="16.44140625" customWidth="1"/>
    <col min="18" max="18" width="51.109375" customWidth="1"/>
    <col min="19" max="19" width="12.77734375" customWidth="1"/>
  </cols>
  <sheetData>
    <row r="2" spans="2:17" ht="18">
      <c r="B2" s="57" t="s">
        <v>30</v>
      </c>
    </row>
    <row r="5" spans="2:17">
      <c r="B5" s="1297" t="s">
        <v>90</v>
      </c>
      <c r="C5" s="1298"/>
      <c r="D5" s="1299"/>
      <c r="F5" s="1300" t="s">
        <v>63</v>
      </c>
      <c r="G5" s="1301"/>
      <c r="H5" s="1301"/>
      <c r="I5" s="1301"/>
      <c r="J5" s="1301"/>
      <c r="K5" s="1301"/>
      <c r="L5" s="1301"/>
      <c r="M5" s="1301"/>
      <c r="N5" s="1301"/>
      <c r="O5" s="1301"/>
      <c r="P5" s="1301"/>
      <c r="Q5" s="1302"/>
    </row>
    <row r="6" spans="2:17" ht="45" customHeight="1">
      <c r="B6" s="58" t="s">
        <v>64</v>
      </c>
      <c r="C6" s="59">
        <f>C11</f>
        <v>4.2942955461075494</v>
      </c>
      <c r="D6" s="60" t="s">
        <v>65</v>
      </c>
      <c r="F6" s="1303" t="s">
        <v>66</v>
      </c>
      <c r="G6" s="1304"/>
      <c r="H6" s="1305" t="s">
        <v>91</v>
      </c>
      <c r="I6" s="1306"/>
      <c r="J6" s="1306"/>
      <c r="K6" s="1306"/>
      <c r="L6" s="1306"/>
      <c r="M6" s="1306"/>
      <c r="N6" s="1306"/>
      <c r="O6" s="1306"/>
      <c r="P6" s="1306"/>
      <c r="Q6" s="1307"/>
    </row>
    <row r="7" spans="2:17" ht="29.25" customHeight="1">
      <c r="B7" s="61" t="s">
        <v>68</v>
      </c>
      <c r="C7" s="1287" t="str">
        <f>C10</f>
        <v>v1.0.f</v>
      </c>
      <c r="D7" s="1288"/>
      <c r="F7" s="1308" t="s">
        <v>69</v>
      </c>
      <c r="G7" s="1309"/>
      <c r="H7" s="1312" t="s">
        <v>92</v>
      </c>
      <c r="I7" s="1313"/>
      <c r="J7" s="1313"/>
      <c r="K7" s="1313"/>
      <c r="L7" s="1313"/>
      <c r="M7" s="1313"/>
      <c r="N7" s="1313"/>
      <c r="O7" s="1313"/>
      <c r="P7" s="1313"/>
      <c r="Q7" s="1314"/>
    </row>
    <row r="8" spans="2:17">
      <c r="B8" s="63" t="s">
        <v>28</v>
      </c>
      <c r="C8" s="1318" t="str">
        <f>C12</f>
        <v>Bon ordre de grandeur</v>
      </c>
      <c r="D8" s="1319"/>
      <c r="F8" s="1310"/>
      <c r="G8" s="1311"/>
      <c r="H8" s="1315"/>
      <c r="I8" s="1316"/>
      <c r="J8" s="1316"/>
      <c r="K8" s="1316"/>
      <c r="L8" s="1316"/>
      <c r="M8" s="1316"/>
      <c r="N8" s="1316"/>
      <c r="O8" s="1316"/>
      <c r="P8" s="1316"/>
      <c r="Q8" s="1317"/>
    </row>
    <row r="10" spans="2:17">
      <c r="B10" s="64" t="s">
        <v>93</v>
      </c>
      <c r="C10" s="1287" t="s">
        <v>94</v>
      </c>
      <c r="D10" s="1288"/>
      <c r="E10" s="65"/>
      <c r="F10" s="65"/>
      <c r="G10" s="65"/>
      <c r="H10" s="65"/>
      <c r="I10" s="65"/>
      <c r="J10" s="65"/>
      <c r="K10" s="65"/>
      <c r="L10" s="65"/>
      <c r="M10" s="65"/>
      <c r="N10" s="65"/>
      <c r="O10" s="65"/>
      <c r="P10" s="65"/>
      <c r="Q10" s="66"/>
    </row>
    <row r="11" spans="2:17">
      <c r="B11" s="67" t="s">
        <v>95</v>
      </c>
      <c r="C11" s="68">
        <f>C224</f>
        <v>4.2942955461075494</v>
      </c>
      <c r="D11" s="69" t="s">
        <v>96</v>
      </c>
      <c r="E11" s="70"/>
      <c r="F11" s="70"/>
      <c r="G11" s="70"/>
      <c r="H11" s="70"/>
      <c r="I11" s="70"/>
      <c r="J11" s="70"/>
      <c r="K11" s="70"/>
      <c r="L11" s="70"/>
      <c r="M11" s="70"/>
      <c r="N11" s="70"/>
      <c r="O11" s="70"/>
      <c r="P11" s="70"/>
      <c r="Q11" s="71"/>
    </row>
    <row r="12" spans="2:17" ht="21" customHeight="1">
      <c r="B12" s="72" t="s">
        <v>97</v>
      </c>
      <c r="C12" s="1289" t="s">
        <v>98</v>
      </c>
      <c r="D12" s="1290"/>
      <c r="E12" s="70"/>
      <c r="F12" s="70"/>
      <c r="G12" s="70"/>
      <c r="H12" s="70"/>
      <c r="I12" s="70"/>
      <c r="J12" s="70"/>
      <c r="K12" s="70"/>
      <c r="L12" s="70"/>
      <c r="M12" s="70"/>
      <c r="N12" s="70"/>
      <c r="O12" s="70"/>
      <c r="P12" s="70"/>
      <c r="Q12" s="71"/>
    </row>
    <row r="13" spans="2:17">
      <c r="B13" s="73"/>
      <c r="C13" s="74"/>
      <c r="D13" s="74"/>
      <c r="E13" s="74"/>
      <c r="F13" s="74"/>
      <c r="G13" s="74"/>
      <c r="H13" s="74"/>
      <c r="I13" s="74"/>
      <c r="J13" s="74"/>
      <c r="K13" s="74"/>
      <c r="L13" s="74"/>
      <c r="M13" s="74"/>
      <c r="N13" s="74"/>
      <c r="O13" s="74"/>
      <c r="P13" s="74"/>
      <c r="Q13" s="75"/>
    </row>
    <row r="14" spans="2:17">
      <c r="B14" s="1291" t="s">
        <v>71</v>
      </c>
      <c r="C14" s="1292"/>
      <c r="D14" s="1292"/>
      <c r="E14" s="1292"/>
      <c r="F14" s="1292"/>
      <c r="G14" s="1292"/>
      <c r="H14" s="1292"/>
      <c r="I14" s="1292"/>
      <c r="J14" s="1292"/>
      <c r="K14" s="1292"/>
      <c r="L14" s="1292"/>
      <c r="M14" s="1292"/>
      <c r="N14" s="1292"/>
      <c r="O14" s="1292"/>
      <c r="P14" s="1292"/>
      <c r="Q14" s="1293"/>
    </row>
    <row r="15" spans="2:17" ht="64.95" customHeight="1">
      <c r="B15" s="76" t="s">
        <v>72</v>
      </c>
      <c r="C15" s="1294" t="s">
        <v>99</v>
      </c>
      <c r="D15" s="1295"/>
      <c r="E15" s="1295"/>
      <c r="F15" s="1295"/>
      <c r="G15" s="1295"/>
      <c r="H15" s="1295"/>
      <c r="I15" s="1295"/>
      <c r="J15" s="1295"/>
      <c r="K15" s="1295"/>
      <c r="L15" s="1295"/>
      <c r="M15" s="1295"/>
      <c r="N15" s="1295"/>
      <c r="O15" s="1295"/>
      <c r="P15" s="1295"/>
      <c r="Q15" s="1296"/>
    </row>
    <row r="16" spans="2:17" ht="79.05" customHeight="1">
      <c r="B16" s="77" t="s">
        <v>74</v>
      </c>
      <c r="C16" s="1275" t="s">
        <v>100</v>
      </c>
      <c r="D16" s="1276"/>
      <c r="E16" s="1276"/>
      <c r="F16" s="1276"/>
      <c r="G16" s="1276"/>
      <c r="H16" s="1276"/>
      <c r="I16" s="1276"/>
      <c r="J16" s="1276"/>
      <c r="K16" s="1276"/>
      <c r="L16" s="1276"/>
      <c r="M16" s="1276"/>
      <c r="N16" s="1276"/>
      <c r="O16" s="1276"/>
      <c r="P16" s="1276"/>
      <c r="Q16" s="1277"/>
    </row>
    <row r="17" spans="2:19" s="78" customFormat="1" ht="46.95" customHeight="1">
      <c r="B17" s="77" t="s">
        <v>76</v>
      </c>
      <c r="C17" s="1275" t="s">
        <v>101</v>
      </c>
      <c r="D17" s="1276"/>
      <c r="E17" s="1276"/>
      <c r="F17" s="1276"/>
      <c r="G17" s="1276"/>
      <c r="H17" s="1276"/>
      <c r="I17" s="1276"/>
      <c r="J17" s="1276"/>
      <c r="K17" s="1276"/>
      <c r="L17" s="1276"/>
      <c r="M17" s="1276"/>
      <c r="N17" s="1276"/>
      <c r="O17" s="1276"/>
      <c r="P17" s="1276"/>
      <c r="Q17" s="1277"/>
    </row>
    <row r="18" spans="2:19">
      <c r="B18" s="77" t="s">
        <v>78</v>
      </c>
      <c r="C18" s="1275"/>
      <c r="D18" s="1276"/>
      <c r="E18" s="1276"/>
      <c r="F18" s="1276"/>
      <c r="G18" s="1276"/>
      <c r="H18" s="1276"/>
      <c r="I18" s="1276"/>
      <c r="J18" s="1276"/>
      <c r="K18" s="1276"/>
      <c r="L18" s="1276"/>
      <c r="M18" s="1276"/>
      <c r="N18" s="1276"/>
      <c r="O18" s="1276"/>
      <c r="P18" s="1276"/>
      <c r="Q18" s="1277"/>
    </row>
    <row r="19" spans="2:19">
      <c r="B19" s="77" t="s">
        <v>82</v>
      </c>
      <c r="C19" s="1275" t="s">
        <v>102</v>
      </c>
      <c r="D19" s="1276"/>
      <c r="E19" s="1276"/>
      <c r="F19" s="1276"/>
      <c r="G19" s="1276"/>
      <c r="H19" s="1276"/>
      <c r="I19" s="1276"/>
      <c r="J19" s="1276"/>
      <c r="K19" s="1276"/>
      <c r="L19" s="1276"/>
      <c r="M19" s="1276"/>
      <c r="N19" s="1276"/>
      <c r="O19" s="1276"/>
      <c r="P19" s="1276"/>
      <c r="Q19" s="1277"/>
    </row>
    <row r="20" spans="2:19">
      <c r="B20" s="77" t="s">
        <v>84</v>
      </c>
      <c r="C20" s="1275" t="s">
        <v>103</v>
      </c>
      <c r="D20" s="1276"/>
      <c r="E20" s="1276"/>
      <c r="F20" s="1276"/>
      <c r="G20" s="1276"/>
      <c r="H20" s="1276"/>
      <c r="I20" s="1276"/>
      <c r="J20" s="1276"/>
      <c r="K20" s="1276"/>
      <c r="L20" s="1276"/>
      <c r="M20" s="1276"/>
      <c r="N20" s="1276"/>
      <c r="O20" s="1276"/>
      <c r="P20" s="1276"/>
      <c r="Q20" s="1277"/>
    </row>
    <row r="21" spans="2:19">
      <c r="B21" s="77" t="s">
        <v>86</v>
      </c>
      <c r="C21" s="1275" t="s">
        <v>98</v>
      </c>
      <c r="D21" s="1276"/>
      <c r="E21" s="1276"/>
      <c r="F21" s="1276"/>
      <c r="G21" s="1276"/>
      <c r="H21" s="1276"/>
      <c r="I21" s="1276"/>
      <c r="J21" s="1276"/>
      <c r="K21" s="1276"/>
      <c r="L21" s="1276"/>
      <c r="M21" s="1276"/>
      <c r="N21" s="1276"/>
      <c r="O21" s="1276"/>
      <c r="P21" s="1276"/>
      <c r="Q21" s="1277"/>
    </row>
    <row r="22" spans="2:19">
      <c r="B22" s="79" t="s">
        <v>88</v>
      </c>
      <c r="C22" s="1279">
        <v>44578</v>
      </c>
      <c r="D22" s="1280"/>
      <c r="E22" s="1280"/>
      <c r="F22" s="1280"/>
      <c r="G22" s="1280"/>
      <c r="H22" s="1280"/>
      <c r="I22" s="1280"/>
      <c r="J22" s="1280"/>
      <c r="K22" s="1280"/>
      <c r="L22" s="1280"/>
      <c r="M22" s="1280"/>
      <c r="N22" s="1280"/>
      <c r="O22" s="1280"/>
      <c r="P22" s="1280"/>
      <c r="Q22" s="1281"/>
    </row>
    <row r="25" spans="2:19">
      <c r="B25" s="80"/>
      <c r="C25" s="80"/>
      <c r="D25" s="81"/>
      <c r="E25" s="81"/>
      <c r="F25" s="81"/>
      <c r="G25" s="81"/>
      <c r="H25" s="81"/>
      <c r="I25" s="81"/>
      <c r="J25" s="81"/>
      <c r="K25" s="81"/>
      <c r="L25" s="81"/>
      <c r="M25" s="81"/>
      <c r="N25" s="81"/>
      <c r="O25" s="81"/>
      <c r="P25" s="81"/>
      <c r="Q25" s="81"/>
    </row>
    <row r="26" spans="2:19">
      <c r="B26" s="82" t="s">
        <v>104</v>
      </c>
      <c r="C26" s="80"/>
      <c r="J26" s="81"/>
      <c r="K26" s="81"/>
      <c r="L26" s="81"/>
      <c r="M26" s="81"/>
      <c r="N26" s="81"/>
      <c r="O26" s="81"/>
      <c r="P26" s="81"/>
      <c r="Q26" s="81"/>
    </row>
    <row r="27" spans="2:19">
      <c r="B27" s="82"/>
      <c r="C27" s="80"/>
      <c r="D27" s="1282" t="s">
        <v>105</v>
      </c>
      <c r="E27" s="1283"/>
      <c r="F27" s="1283"/>
      <c r="G27" s="1284" t="s">
        <v>106</v>
      </c>
      <c r="H27" s="1285"/>
      <c r="I27" s="1286"/>
      <c r="J27" s="81"/>
      <c r="K27" s="81"/>
      <c r="L27" s="81"/>
      <c r="M27" s="81"/>
      <c r="N27" s="81"/>
      <c r="O27" s="81"/>
      <c r="P27" s="81"/>
      <c r="Q27" s="81"/>
    </row>
    <row r="28" spans="2:19" ht="28.8">
      <c r="B28" s="83"/>
      <c r="C28" s="84" t="s">
        <v>107</v>
      </c>
      <c r="D28" s="85" t="s">
        <v>108</v>
      </c>
      <c r="E28" s="85" t="s">
        <v>109</v>
      </c>
      <c r="F28" s="85" t="s">
        <v>110</v>
      </c>
      <c r="G28" s="85" t="s">
        <v>108</v>
      </c>
      <c r="H28" s="85" t="s">
        <v>109</v>
      </c>
      <c r="I28" s="85" t="s">
        <v>111</v>
      </c>
      <c r="J28" s="86"/>
      <c r="K28" s="86"/>
      <c r="L28" s="86"/>
      <c r="M28" s="86"/>
      <c r="N28" s="86"/>
      <c r="O28" s="86"/>
      <c r="P28" s="86"/>
      <c r="Q28" s="86"/>
      <c r="R28" s="86"/>
      <c r="S28" s="86"/>
    </row>
    <row r="29" spans="2:19">
      <c r="B29" s="87" t="s">
        <v>112</v>
      </c>
      <c r="C29" s="88">
        <f>$C$201*$C110/$C$117</f>
        <v>6.8162838289279257E-2</v>
      </c>
      <c r="D29" s="88">
        <f>$C$173*10^(-6)*$C110/$C$117</f>
        <v>163.0898255683382</v>
      </c>
      <c r="E29" s="88">
        <f>$C$172*10^(-6)*$C110/$C$117</f>
        <v>93.10407823421896</v>
      </c>
      <c r="F29" s="88">
        <f>$C$174*10^(-6)*$C110/$C$117</f>
        <v>32.791194609034228</v>
      </c>
      <c r="G29" s="88">
        <f>$C$191*10^(-9)*$C110/$C$117</f>
        <v>3.702139040401279E-2</v>
      </c>
      <c r="H29" s="88">
        <f>$C$190*10^(-9)*$C110/$C$117</f>
        <v>3.0165721347886955E-2</v>
      </c>
      <c r="I29" s="88">
        <f>$C$198*10^(-9)*$C110/$C$117</f>
        <v>9.7572653737951751E-4</v>
      </c>
      <c r="J29" s="86"/>
      <c r="K29" s="86"/>
      <c r="L29" s="86"/>
      <c r="M29" s="86"/>
      <c r="N29" s="86"/>
      <c r="O29" s="86"/>
      <c r="P29" s="86"/>
      <c r="Q29" s="86"/>
      <c r="R29" s="86"/>
      <c r="S29" s="86"/>
    </row>
    <row r="30" spans="2:19">
      <c r="B30" s="87" t="s">
        <v>113</v>
      </c>
      <c r="C30" s="88">
        <f>$K90*$C111/$C116</f>
        <v>0.63595345572898232</v>
      </c>
      <c r="D30" s="88">
        <f>SUM(F69:F73)*$C111/$C116</f>
        <v>1781.1462899831306</v>
      </c>
      <c r="E30" s="88">
        <f>SUM(D79:D83)*$C111/$C116</f>
        <v>750.14086711643836</v>
      </c>
      <c r="F30" s="88">
        <f>(SUM(D74:D78)+SUM(D84:D88))*$C111/$C116</f>
        <v>80.189127522925332</v>
      </c>
      <c r="G30" s="88">
        <f>SUM(K69:K73)*$C111/$C116/10^9</f>
        <v>0.40432020782617067</v>
      </c>
      <c r="H30" s="88">
        <f>SUM(K79:K83)*$C111/$C116/10^9</f>
        <v>0.24304564094572598</v>
      </c>
      <c r="I30" s="88">
        <f>(SUM(K74:K78)+SUM(K84:K88))*$C111/$C116/10^9</f>
        <v>1.3587375166160149E-2</v>
      </c>
      <c r="J30" s="86"/>
      <c r="K30" s="86"/>
      <c r="L30" s="86"/>
      <c r="M30" s="86"/>
      <c r="N30" s="86"/>
      <c r="O30" s="86"/>
      <c r="P30" s="86"/>
      <c r="Q30" s="86"/>
      <c r="R30" s="86"/>
      <c r="S30" s="86"/>
    </row>
    <row r="31" spans="2:19">
      <c r="B31" s="87" t="s">
        <v>114</v>
      </c>
      <c r="C31" s="88">
        <f>$K90*$C112/$C116</f>
        <v>1.7236478074902113</v>
      </c>
      <c r="D31" s="88">
        <f>SUM(F69:F73)*$C112/$C116</f>
        <v>4827.5056450940747</v>
      </c>
      <c r="E31" s="88">
        <f>SUM(D79:D83)*$C112/$C116</f>
        <v>2033.1341063819457</v>
      </c>
      <c r="F31" s="88">
        <f>(SUM(D74:D78)+SUM(D84:D88))*$C112/$C116</f>
        <v>217.33951218333505</v>
      </c>
      <c r="G31" s="88">
        <f>SUM(K69:K73)*$C112/$C116/10^9</f>
        <v>1.0958437814363549</v>
      </c>
      <c r="H31" s="88">
        <f>SUM(K79:K83)*$C112/$C116/10^9</f>
        <v>0.65873545046775028</v>
      </c>
      <c r="I31" s="89">
        <f>(SUM(K74:K78)+SUM(K84:K88))*$C112/$C116/10^9</f>
        <v>3.6826357658286679E-2</v>
      </c>
      <c r="J31" s="86"/>
      <c r="K31" s="86"/>
      <c r="L31" s="86"/>
      <c r="M31" s="86"/>
      <c r="N31" s="86"/>
      <c r="O31" s="86"/>
      <c r="P31" s="86"/>
      <c r="Q31" s="86"/>
      <c r="R31" s="86"/>
      <c r="S31" s="86"/>
    </row>
    <row r="32" spans="2:19">
      <c r="B32" s="87" t="s">
        <v>115</v>
      </c>
      <c r="C32" s="88">
        <f t="shared" ref="C32:C34" si="0">$C$201*$C113/$C$117</f>
        <v>1.0510698384237374</v>
      </c>
      <c r="D32" s="88">
        <f t="shared" ref="D32:D34" si="1">$C$173*10^(-6)*$C113/$C$117</f>
        <v>2514.8424113617016</v>
      </c>
      <c r="E32" s="88">
        <f t="shared" ref="E32:E34" si="2">$C$172*10^(-6)*$C113/$C$117</f>
        <v>1435.6633456330549</v>
      </c>
      <c r="F32" s="88">
        <f t="shared" ref="F32:F34" si="3">$C$174*10^(-6)*$C113/$C$117</f>
        <v>505.63967822419397</v>
      </c>
      <c r="G32" s="88">
        <f t="shared" ref="G32:G34" si="4">$C$191*10^(-9)*$C113/$C$117</f>
        <v>0.57086922737910639</v>
      </c>
      <c r="H32" s="88">
        <f t="shared" ref="H32:H34" si="5">$C$190*10^(-9)*$C113/$C$117</f>
        <v>0.46515492398510982</v>
      </c>
      <c r="I32" s="88">
        <f t="shared" ref="I32:I34" si="6">$C$198*10^(-9)*$C113/$C$117</f>
        <v>1.5045687059521156E-2</v>
      </c>
      <c r="J32" s="86"/>
      <c r="K32" s="86"/>
      <c r="L32" s="86"/>
      <c r="M32" s="86"/>
      <c r="N32" s="86"/>
      <c r="O32" s="86"/>
      <c r="P32" s="86"/>
      <c r="Q32" s="86"/>
      <c r="R32" s="86"/>
      <c r="S32" s="86"/>
    </row>
    <row r="33" spans="2:19">
      <c r="B33" s="87" t="s">
        <v>116</v>
      </c>
      <c r="C33" s="88">
        <f t="shared" si="0"/>
        <v>0.18436120733481315</v>
      </c>
      <c r="D33" s="88">
        <f t="shared" si="1"/>
        <v>441.11187122517401</v>
      </c>
      <c r="E33" s="88">
        <f t="shared" si="2"/>
        <v>251.82021027659005</v>
      </c>
      <c r="F33" s="88">
        <f t="shared" si="3"/>
        <v>88.690911056489838</v>
      </c>
      <c r="G33" s="88">
        <f t="shared" si="4"/>
        <v>0.10013239476811452</v>
      </c>
      <c r="H33" s="88">
        <f t="shared" si="5"/>
        <v>8.1589748129615197E-2</v>
      </c>
      <c r="I33" s="88">
        <f t="shared" si="6"/>
        <v>2.6390644370834142E-3</v>
      </c>
      <c r="J33" s="86"/>
      <c r="K33" s="86"/>
      <c r="L33" s="86"/>
      <c r="M33" s="86"/>
      <c r="N33" s="86"/>
      <c r="O33" s="86"/>
      <c r="P33" s="86"/>
      <c r="Q33" s="86"/>
      <c r="R33" s="86"/>
      <c r="S33" s="86"/>
    </row>
    <row r="34" spans="2:19">
      <c r="B34" s="87" t="s">
        <v>117</v>
      </c>
      <c r="C34" s="88">
        <f t="shared" si="0"/>
        <v>0.49135901576543778</v>
      </c>
      <c r="D34" s="88">
        <f t="shared" si="1"/>
        <v>1175.6502250173967</v>
      </c>
      <c r="E34" s="88">
        <f t="shared" si="2"/>
        <v>671.15057695755274</v>
      </c>
      <c r="F34" s="88">
        <f t="shared" si="3"/>
        <v>236.3787881086833</v>
      </c>
      <c r="G34" s="88">
        <f t="shared" si="4"/>
        <v>0.26687260107894917</v>
      </c>
      <c r="H34" s="88">
        <f t="shared" si="5"/>
        <v>0.21745278693424716</v>
      </c>
      <c r="I34" s="88">
        <f t="shared" si="6"/>
        <v>7.0336277522414148E-3</v>
      </c>
      <c r="J34" s="86"/>
      <c r="K34" s="86"/>
      <c r="L34" s="86"/>
      <c r="M34" s="86"/>
      <c r="N34" s="86"/>
      <c r="O34" s="86"/>
      <c r="P34" s="86"/>
      <c r="Q34" s="86"/>
      <c r="R34" s="86"/>
      <c r="S34" s="86"/>
    </row>
    <row r="35" spans="2:19">
      <c r="B35" s="90" t="s">
        <v>118</v>
      </c>
      <c r="C35" s="91">
        <f>C220</f>
        <v>0.13974138307508768</v>
      </c>
      <c r="D35" s="91"/>
      <c r="E35" s="91"/>
      <c r="F35" s="91"/>
      <c r="G35" s="91"/>
      <c r="H35" s="91"/>
      <c r="I35" s="91"/>
      <c r="J35" s="86"/>
      <c r="K35" s="86"/>
      <c r="L35" s="86"/>
      <c r="M35" s="86"/>
      <c r="N35" s="86"/>
      <c r="O35" s="86"/>
      <c r="P35" s="86"/>
      <c r="Q35" s="86"/>
      <c r="R35" s="86"/>
      <c r="S35" s="86"/>
    </row>
    <row r="36" spans="2:19">
      <c r="B36" s="92" t="s">
        <v>119</v>
      </c>
      <c r="C36" s="93">
        <f>SUM(C29:C35)</f>
        <v>4.2942955461075494</v>
      </c>
      <c r="D36" s="94">
        <f t="shared" ref="D36:I36" si="7">SUM(D29:D34)</f>
        <v>10903.346268249816</v>
      </c>
      <c r="E36" s="94">
        <f t="shared" si="7"/>
        <v>5235.0131845998003</v>
      </c>
      <c r="F36" s="94">
        <f t="shared" si="7"/>
        <v>1161.0292117046617</v>
      </c>
      <c r="G36" s="95">
        <f t="shared" si="7"/>
        <v>2.4750596028927081</v>
      </c>
      <c r="H36" s="95">
        <f t="shared" si="7"/>
        <v>1.6961442718103354</v>
      </c>
      <c r="I36" s="95">
        <f t="shared" si="7"/>
        <v>7.6107838610672315E-2</v>
      </c>
      <c r="J36" s="81"/>
      <c r="K36" s="81"/>
      <c r="L36" s="81"/>
      <c r="M36" s="81"/>
      <c r="N36" s="81"/>
      <c r="O36" s="81"/>
      <c r="P36" s="81"/>
      <c r="Q36" s="81"/>
    </row>
    <row r="37" spans="2:19">
      <c r="B37" s="80"/>
      <c r="C37" s="80"/>
      <c r="D37" s="81"/>
      <c r="E37" s="81"/>
      <c r="F37" s="81"/>
      <c r="G37" s="81"/>
      <c r="H37" s="81"/>
      <c r="I37" s="81"/>
      <c r="J37" s="81"/>
      <c r="K37" s="81"/>
      <c r="L37" s="81"/>
      <c r="M37" s="81"/>
      <c r="N37" s="81"/>
      <c r="O37" s="81"/>
      <c r="P37" s="81"/>
      <c r="Q37" s="81"/>
    </row>
    <row r="38" spans="2:19">
      <c r="B38" s="80"/>
      <c r="C38" s="80"/>
      <c r="D38" s="81"/>
      <c r="E38" s="81"/>
      <c r="F38" s="81"/>
      <c r="G38" s="81"/>
      <c r="H38" s="81"/>
      <c r="I38" s="81"/>
      <c r="J38" s="81"/>
      <c r="K38" s="81"/>
      <c r="L38" s="81"/>
      <c r="M38" s="81"/>
      <c r="N38" s="81"/>
      <c r="O38" s="81"/>
      <c r="P38" s="81"/>
      <c r="Q38" s="81"/>
    </row>
    <row r="39" spans="2:19">
      <c r="B39" s="80"/>
      <c r="D39" s="81"/>
      <c r="E39" s="81"/>
      <c r="F39" s="81"/>
      <c r="G39" s="81"/>
      <c r="H39" s="81"/>
      <c r="I39" s="81"/>
      <c r="J39" s="81"/>
      <c r="K39" s="81"/>
      <c r="L39" s="81"/>
      <c r="M39" s="81"/>
      <c r="N39" s="81"/>
      <c r="O39" s="81"/>
      <c r="P39" s="81"/>
      <c r="Q39" s="81"/>
    </row>
    <row r="40" spans="2:19">
      <c r="B40" s="80"/>
      <c r="D40" s="81"/>
      <c r="E40" s="81"/>
      <c r="F40" s="81"/>
      <c r="G40" s="81"/>
      <c r="H40" s="96"/>
      <c r="I40" s="81"/>
      <c r="J40" s="81"/>
      <c r="K40" s="81"/>
      <c r="L40" s="81"/>
      <c r="M40" s="81"/>
      <c r="N40" s="81"/>
      <c r="O40" s="81"/>
      <c r="P40" s="81"/>
      <c r="Q40" s="81"/>
    </row>
    <row r="41" spans="2:19">
      <c r="D41" s="81"/>
      <c r="E41" s="81"/>
      <c r="F41" s="81"/>
      <c r="G41" s="81"/>
      <c r="H41" s="81"/>
      <c r="I41" s="81"/>
      <c r="J41" s="81"/>
      <c r="K41" s="81"/>
      <c r="L41" s="81"/>
      <c r="M41" s="81"/>
      <c r="N41" s="81"/>
      <c r="O41" s="81"/>
      <c r="P41" s="81"/>
      <c r="Q41" s="81"/>
    </row>
    <row r="42" spans="2:19">
      <c r="D42" s="81"/>
      <c r="E42" s="81"/>
      <c r="F42" s="81"/>
      <c r="G42" s="81"/>
      <c r="H42" s="81"/>
      <c r="I42" s="81"/>
      <c r="J42" s="81"/>
      <c r="K42" s="81"/>
      <c r="L42" s="81"/>
      <c r="M42" s="81"/>
      <c r="N42" s="81"/>
      <c r="O42" s="81"/>
      <c r="P42" s="81"/>
      <c r="Q42" s="81"/>
    </row>
    <row r="43" spans="2:19">
      <c r="D43" s="81"/>
      <c r="E43" s="81"/>
      <c r="F43" s="81"/>
      <c r="G43" s="81"/>
      <c r="H43" s="81"/>
      <c r="I43" s="81"/>
      <c r="J43" s="81"/>
      <c r="K43" s="81"/>
      <c r="L43" s="81"/>
      <c r="M43" s="81"/>
      <c r="N43" s="81"/>
      <c r="O43" s="81"/>
      <c r="P43" s="81"/>
      <c r="Q43" s="81"/>
    </row>
    <row r="44" spans="2:19">
      <c r="D44" s="81"/>
      <c r="E44" s="81"/>
      <c r="F44" s="81"/>
      <c r="G44" s="81"/>
      <c r="H44" s="81"/>
      <c r="I44" s="81"/>
      <c r="J44" s="81"/>
      <c r="K44" s="81"/>
      <c r="L44" s="81"/>
      <c r="M44" s="81"/>
      <c r="N44" s="81"/>
      <c r="O44" s="81"/>
      <c r="P44" s="81"/>
      <c r="Q44" s="81"/>
    </row>
    <row r="45" spans="2:19">
      <c r="D45" s="81"/>
      <c r="E45" s="81"/>
      <c r="F45" s="81"/>
      <c r="G45" s="81"/>
      <c r="H45" s="81"/>
      <c r="I45" s="81"/>
      <c r="J45" s="81"/>
      <c r="K45" s="81"/>
      <c r="L45" s="81"/>
      <c r="M45" s="81"/>
      <c r="N45" s="81"/>
      <c r="O45" s="81"/>
      <c r="P45" s="81"/>
      <c r="Q45" s="81"/>
    </row>
    <row r="46" spans="2:19">
      <c r="D46" s="81"/>
      <c r="E46" s="81"/>
      <c r="F46" s="81"/>
      <c r="G46" s="81"/>
      <c r="H46" s="81"/>
      <c r="I46" s="81"/>
      <c r="J46" s="81"/>
      <c r="K46" s="81"/>
      <c r="L46" s="81"/>
      <c r="M46" s="81"/>
      <c r="N46" s="81"/>
      <c r="O46" s="81"/>
      <c r="P46" s="81"/>
      <c r="Q46" s="81"/>
    </row>
    <row r="47" spans="2:19">
      <c r="D47" s="81"/>
      <c r="E47" s="81"/>
      <c r="F47" s="81"/>
      <c r="G47" s="81"/>
      <c r="H47" s="81"/>
      <c r="I47" s="81"/>
      <c r="J47" s="81"/>
      <c r="K47" s="81"/>
      <c r="L47" s="81"/>
      <c r="M47" s="81"/>
      <c r="N47" s="81"/>
      <c r="O47" s="81"/>
      <c r="P47" s="81"/>
      <c r="Q47" s="81"/>
    </row>
    <row r="48" spans="2:19">
      <c r="D48" s="81"/>
      <c r="E48" s="81"/>
      <c r="F48" s="81"/>
      <c r="G48" s="81"/>
      <c r="H48" s="81"/>
      <c r="I48" s="81"/>
      <c r="J48" s="81"/>
      <c r="K48" s="81"/>
      <c r="L48" s="81"/>
      <c r="M48" s="81"/>
      <c r="N48" s="81"/>
      <c r="O48" s="81"/>
      <c r="P48" s="81"/>
      <c r="Q48" s="81"/>
    </row>
    <row r="49" spans="1:17">
      <c r="D49" s="81"/>
      <c r="E49" s="81"/>
      <c r="F49" s="81"/>
      <c r="G49" s="81"/>
      <c r="H49" s="81"/>
      <c r="I49" s="81"/>
      <c r="J49" s="81"/>
      <c r="K49" s="81"/>
      <c r="L49" s="81"/>
      <c r="M49" s="81"/>
      <c r="N49" s="81"/>
      <c r="O49" s="81"/>
      <c r="P49" s="81"/>
      <c r="Q49" s="81"/>
    </row>
    <row r="50" spans="1:17">
      <c r="D50" s="81"/>
      <c r="E50" s="81"/>
      <c r="F50" s="81"/>
      <c r="G50" s="81"/>
      <c r="H50" s="81"/>
      <c r="I50" s="81"/>
      <c r="J50" s="81"/>
      <c r="K50" s="81"/>
      <c r="L50" s="81"/>
      <c r="M50" s="81"/>
      <c r="N50" s="81"/>
      <c r="O50" s="81"/>
      <c r="P50" s="81"/>
      <c r="Q50" s="81"/>
    </row>
    <row r="59" spans="1:17">
      <c r="A59" s="97"/>
      <c r="B59" s="98" t="s">
        <v>120</v>
      </c>
    </row>
    <row r="61" spans="1:17">
      <c r="B61" t="s">
        <v>121</v>
      </c>
    </row>
    <row r="63" spans="1:17">
      <c r="B63" s="99" t="s">
        <v>122</v>
      </c>
    </row>
    <row r="65" spans="2:19">
      <c r="B65" s="100" t="s">
        <v>123</v>
      </c>
    </row>
    <row r="67" spans="2:19">
      <c r="B67" t="s">
        <v>124</v>
      </c>
    </row>
    <row r="68" spans="2:19" ht="31.2">
      <c r="B68" s="101" t="s">
        <v>125</v>
      </c>
      <c r="C68" s="102" t="s">
        <v>126</v>
      </c>
      <c r="D68" s="102">
        <v>2019</v>
      </c>
      <c r="E68" s="102" t="s">
        <v>127</v>
      </c>
      <c r="F68" s="102">
        <v>2019</v>
      </c>
      <c r="G68" s="102" t="s">
        <v>127</v>
      </c>
      <c r="H68" s="102" t="s">
        <v>128</v>
      </c>
      <c r="I68" s="102" t="s">
        <v>129</v>
      </c>
      <c r="J68" s="102" t="s">
        <v>130</v>
      </c>
      <c r="K68" s="102" t="s">
        <v>131</v>
      </c>
      <c r="L68" s="103" t="s">
        <v>132</v>
      </c>
      <c r="M68" s="97" t="s">
        <v>133</v>
      </c>
      <c r="N68" s="104" t="s">
        <v>134</v>
      </c>
      <c r="O68" s="104"/>
      <c r="P68" s="104"/>
      <c r="Q68" s="105"/>
    </row>
    <row r="69" spans="2:19">
      <c r="B69" s="106" t="s">
        <v>135</v>
      </c>
      <c r="C69" s="107" t="s">
        <v>136</v>
      </c>
      <c r="D69" s="108">
        <v>4514.2836599966377</v>
      </c>
      <c r="E69" s="109" t="s">
        <v>137</v>
      </c>
      <c r="F69" s="110">
        <f>D69/C94</f>
        <v>4063.2616201589899</v>
      </c>
      <c r="G69" s="109" t="s">
        <v>138</v>
      </c>
      <c r="H69" s="110">
        <v>0.22700000000000001</v>
      </c>
      <c r="I69" s="110" t="s">
        <v>139</v>
      </c>
      <c r="J69" s="110" t="s">
        <v>140</v>
      </c>
      <c r="K69" s="110">
        <f t="shared" ref="K69:K73" si="8">F69*10^6*H69</f>
        <v>922360387.77609074</v>
      </c>
      <c r="L69" s="111" t="s">
        <v>141</v>
      </c>
      <c r="N69" s="112" t="s">
        <v>142</v>
      </c>
      <c r="O69" s="113" t="s">
        <v>143</v>
      </c>
      <c r="P69" s="113" t="s">
        <v>144</v>
      </c>
      <c r="Q69" s="113" t="s">
        <v>129</v>
      </c>
      <c r="R69" s="114" t="s">
        <v>130</v>
      </c>
    </row>
    <row r="70" spans="2:19">
      <c r="B70" s="106" t="s">
        <v>135</v>
      </c>
      <c r="C70" s="107" t="s">
        <v>145</v>
      </c>
      <c r="D70" s="108">
        <v>1935.3767502775379</v>
      </c>
      <c r="E70" s="109" t="s">
        <v>137</v>
      </c>
      <c r="F70" s="110">
        <f>D70/C94</f>
        <v>1742.013276577442</v>
      </c>
      <c r="G70" s="109" t="s">
        <v>138</v>
      </c>
      <c r="H70" s="110">
        <v>0.22700000000000001</v>
      </c>
      <c r="I70" s="110" t="s">
        <v>139</v>
      </c>
      <c r="J70" s="110" t="s">
        <v>140</v>
      </c>
      <c r="K70" s="110">
        <f t="shared" si="8"/>
        <v>395437013.78307933</v>
      </c>
      <c r="L70" s="111" t="s">
        <v>141</v>
      </c>
      <c r="N70" s="87" t="s">
        <v>146</v>
      </c>
      <c r="O70" s="110">
        <v>45</v>
      </c>
      <c r="P70" s="110">
        <v>1.23E-2</v>
      </c>
      <c r="Q70" s="110" t="s">
        <v>139</v>
      </c>
      <c r="R70" s="115" t="s">
        <v>147</v>
      </c>
    </row>
    <row r="71" spans="2:19">
      <c r="B71" s="106" t="s">
        <v>135</v>
      </c>
      <c r="C71" s="107" t="s">
        <v>148</v>
      </c>
      <c r="D71" s="108">
        <v>381.39401125194945</v>
      </c>
      <c r="E71" s="109" t="s">
        <v>137</v>
      </c>
      <c r="F71" s="110">
        <f>D71/C94</f>
        <v>343.28893902065658</v>
      </c>
      <c r="G71" s="109" t="s">
        <v>138</v>
      </c>
      <c r="H71" s="110">
        <v>0.22700000000000001</v>
      </c>
      <c r="I71" s="110" t="s">
        <v>139</v>
      </c>
      <c r="J71" s="110" t="s">
        <v>140</v>
      </c>
      <c r="K71" s="110">
        <f t="shared" si="8"/>
        <v>77926589.15768905</v>
      </c>
      <c r="L71" s="111" t="s">
        <v>141</v>
      </c>
      <c r="N71" s="87" t="s">
        <v>149</v>
      </c>
      <c r="O71" s="110">
        <v>9.5</v>
      </c>
      <c r="P71" s="110">
        <v>1.23E-2</v>
      </c>
      <c r="Q71" s="110" t="s">
        <v>139</v>
      </c>
      <c r="R71" s="115" t="s">
        <v>147</v>
      </c>
    </row>
    <row r="72" spans="2:19">
      <c r="B72" s="106" t="s">
        <v>135</v>
      </c>
      <c r="C72" s="107" t="s">
        <v>150</v>
      </c>
      <c r="D72" s="108">
        <v>0</v>
      </c>
      <c r="E72" s="109" t="s">
        <v>137</v>
      </c>
      <c r="F72" s="110">
        <f>D72/C94</f>
        <v>0</v>
      </c>
      <c r="G72" s="109" t="s">
        <v>138</v>
      </c>
      <c r="H72" s="110">
        <v>0.22700000000000001</v>
      </c>
      <c r="I72" s="110" t="s">
        <v>139</v>
      </c>
      <c r="J72" s="110" t="s">
        <v>140</v>
      </c>
      <c r="K72" s="110">
        <f t="shared" si="8"/>
        <v>0</v>
      </c>
      <c r="L72" s="111" t="s">
        <v>141</v>
      </c>
      <c r="N72" s="87" t="s">
        <v>151</v>
      </c>
      <c r="O72" s="110">
        <v>17</v>
      </c>
      <c r="P72" s="110">
        <v>1.49E-2</v>
      </c>
      <c r="Q72" s="110" t="s">
        <v>139</v>
      </c>
      <c r="R72" s="115" t="s">
        <v>152</v>
      </c>
    </row>
    <row r="73" spans="2:19">
      <c r="B73" s="106" t="s">
        <v>135</v>
      </c>
      <c r="C73" s="107" t="s">
        <v>153</v>
      </c>
      <c r="D73" s="108">
        <v>511.15787834464976</v>
      </c>
      <c r="E73" s="109" t="s">
        <v>137</v>
      </c>
      <c r="F73" s="110">
        <f>D73/C94</f>
        <v>460.08809932011678</v>
      </c>
      <c r="G73" s="109" t="s">
        <v>138</v>
      </c>
      <c r="H73" s="110">
        <v>0.22700000000000001</v>
      </c>
      <c r="I73" s="110" t="s">
        <v>139</v>
      </c>
      <c r="J73" s="110" t="s">
        <v>140</v>
      </c>
      <c r="K73" s="110">
        <f t="shared" si="8"/>
        <v>104439998.5456665</v>
      </c>
      <c r="L73" s="111" t="s">
        <v>141</v>
      </c>
      <c r="N73" s="87" t="s">
        <v>154</v>
      </c>
      <c r="O73" s="110">
        <v>17</v>
      </c>
      <c r="P73" s="110"/>
      <c r="Q73" s="110"/>
      <c r="R73" s="116"/>
    </row>
    <row r="74" spans="2:19">
      <c r="B74" s="117" t="s">
        <v>155</v>
      </c>
      <c r="C74" s="107" t="s">
        <v>136</v>
      </c>
      <c r="D74" s="108">
        <v>82.337811188433889</v>
      </c>
      <c r="E74" s="109" t="s">
        <v>138</v>
      </c>
      <c r="F74" s="110"/>
      <c r="G74" s="110"/>
      <c r="H74" s="110">
        <v>0.27200000000000002</v>
      </c>
      <c r="I74" s="110" t="s">
        <v>139</v>
      </c>
      <c r="J74" s="110" t="s">
        <v>156</v>
      </c>
      <c r="K74" s="110">
        <f t="shared" ref="K74:K88" si="9">D74*10^6*H74</f>
        <v>22395884.643254019</v>
      </c>
      <c r="L74" s="111" t="s">
        <v>141</v>
      </c>
      <c r="N74" s="87" t="s">
        <v>157</v>
      </c>
      <c r="O74" s="110">
        <v>7</v>
      </c>
      <c r="P74" s="110">
        <v>1.09E-2</v>
      </c>
      <c r="Q74" s="110" t="s">
        <v>139</v>
      </c>
      <c r="R74" s="115" t="s">
        <v>158</v>
      </c>
    </row>
    <row r="75" spans="2:19">
      <c r="B75" s="117" t="s">
        <v>155</v>
      </c>
      <c r="C75" s="107" t="s">
        <v>145</v>
      </c>
      <c r="D75" s="108">
        <v>35.644103107084568</v>
      </c>
      <c r="E75" s="109" t="s">
        <v>138</v>
      </c>
      <c r="F75" s="110"/>
      <c r="G75" s="110"/>
      <c r="H75" s="110">
        <v>0.27200000000000002</v>
      </c>
      <c r="I75" s="110" t="s">
        <v>139</v>
      </c>
      <c r="J75" s="110" t="s">
        <v>156</v>
      </c>
      <c r="K75" s="110">
        <f t="shared" si="9"/>
        <v>9695196.0451270025</v>
      </c>
      <c r="L75" s="111" t="s">
        <v>141</v>
      </c>
      <c r="N75" s="87" t="s">
        <v>159</v>
      </c>
      <c r="O75" s="110">
        <v>4</v>
      </c>
      <c r="P75" s="110">
        <v>1.7399999999999999E-2</v>
      </c>
      <c r="Q75" s="110" t="s">
        <v>139</v>
      </c>
      <c r="R75" s="115" t="s">
        <v>160</v>
      </c>
    </row>
    <row r="76" spans="2:19">
      <c r="B76" s="117" t="s">
        <v>155</v>
      </c>
      <c r="C76" s="107" t="s">
        <v>148</v>
      </c>
      <c r="D76" s="108">
        <v>45.561600250922837</v>
      </c>
      <c r="E76" s="109" t="s">
        <v>138</v>
      </c>
      <c r="F76" s="110"/>
      <c r="G76" s="110"/>
      <c r="H76" s="110">
        <v>0.27200000000000002</v>
      </c>
      <c r="I76" s="110" t="s">
        <v>139</v>
      </c>
      <c r="J76" s="110" t="s">
        <v>156</v>
      </c>
      <c r="K76" s="110">
        <f t="shared" si="9"/>
        <v>12392755.268251013</v>
      </c>
      <c r="L76" s="111" t="s">
        <v>141</v>
      </c>
      <c r="N76" s="90" t="s">
        <v>161</v>
      </c>
      <c r="O76" s="110">
        <v>0.5</v>
      </c>
      <c r="P76" s="110">
        <v>1.1299999999999999E-2</v>
      </c>
      <c r="Q76" s="110" t="s">
        <v>139</v>
      </c>
      <c r="R76" s="115" t="s">
        <v>162</v>
      </c>
    </row>
    <row r="77" spans="2:19">
      <c r="B77" s="117" t="s">
        <v>155</v>
      </c>
      <c r="C77" s="107" t="s">
        <v>150</v>
      </c>
      <c r="D77" s="108">
        <v>0</v>
      </c>
      <c r="E77" s="109" t="s">
        <v>138</v>
      </c>
      <c r="F77" s="110"/>
      <c r="G77" s="110"/>
      <c r="H77" s="110">
        <v>0.27200000000000002</v>
      </c>
      <c r="I77" s="110" t="s">
        <v>139</v>
      </c>
      <c r="J77" s="110" t="s">
        <v>156</v>
      </c>
      <c r="K77" s="110">
        <f t="shared" si="9"/>
        <v>0</v>
      </c>
      <c r="L77" s="111" t="s">
        <v>141</v>
      </c>
      <c r="N77" s="118"/>
      <c r="O77" s="119" t="s">
        <v>163</v>
      </c>
      <c r="P77" s="120">
        <f>(P70*O70 + P71*O71+P72*O72+P74*O74+P75*O75+P76*O76)/(SUM(O70:O76)-O73)</f>
        <v>1.2954216867469878E-2</v>
      </c>
      <c r="Q77" s="120"/>
      <c r="R77" s="121"/>
    </row>
    <row r="78" spans="2:19">
      <c r="B78" s="117" t="s">
        <v>155</v>
      </c>
      <c r="C78" s="107" t="s">
        <v>153</v>
      </c>
      <c r="D78" s="108">
        <v>14.976947601884248</v>
      </c>
      <c r="E78" s="109" t="s">
        <v>138</v>
      </c>
      <c r="F78" s="110"/>
      <c r="G78" s="110"/>
      <c r="H78" s="110">
        <v>0.27200000000000002</v>
      </c>
      <c r="I78" s="110" t="s">
        <v>139</v>
      </c>
      <c r="J78" s="110" t="s">
        <v>156</v>
      </c>
      <c r="K78" s="110">
        <f t="shared" si="9"/>
        <v>4073729.7477125158</v>
      </c>
      <c r="L78" s="111" t="s">
        <v>141</v>
      </c>
    </row>
    <row r="79" spans="2:19">
      <c r="B79" s="117" t="s">
        <v>109</v>
      </c>
      <c r="C79" s="107" t="s">
        <v>136</v>
      </c>
      <c r="D79" s="108">
        <v>1685.8943191103779</v>
      </c>
      <c r="E79" s="109" t="s">
        <v>138</v>
      </c>
      <c r="F79" s="110"/>
      <c r="G79" s="110"/>
      <c r="H79" s="110">
        <v>0.32400000000000001</v>
      </c>
      <c r="I79" s="110" t="s">
        <v>139</v>
      </c>
      <c r="J79" s="110" t="s">
        <v>164</v>
      </c>
      <c r="K79" s="110">
        <f t="shared" si="9"/>
        <v>546229759.39176238</v>
      </c>
      <c r="L79" s="111" t="s">
        <v>141</v>
      </c>
      <c r="N79" s="98" t="s">
        <v>165</v>
      </c>
    </row>
    <row r="80" spans="2:19">
      <c r="B80" s="117" t="s">
        <v>109</v>
      </c>
      <c r="C80" s="107" t="s">
        <v>145</v>
      </c>
      <c r="D80" s="108">
        <v>348.60594302496582</v>
      </c>
      <c r="E80" s="109" t="s">
        <v>138</v>
      </c>
      <c r="F80" s="110"/>
      <c r="G80" s="110"/>
      <c r="H80" s="110">
        <v>0.32400000000000001</v>
      </c>
      <c r="I80" s="110" t="s">
        <v>139</v>
      </c>
      <c r="J80" s="110" t="s">
        <v>164</v>
      </c>
      <c r="K80" s="110">
        <f t="shared" si="9"/>
        <v>112948325.54008894</v>
      </c>
      <c r="L80" s="111" t="s">
        <v>141</v>
      </c>
      <c r="N80" s="122" t="s">
        <v>166</v>
      </c>
      <c r="O80" s="123" t="s">
        <v>167</v>
      </c>
      <c r="P80" s="123" t="s">
        <v>130</v>
      </c>
      <c r="Q80" s="123" t="s">
        <v>144</v>
      </c>
      <c r="R80" s="123" t="s">
        <v>129</v>
      </c>
      <c r="S80" s="124" t="s">
        <v>130</v>
      </c>
    </row>
    <row r="81" spans="2:19">
      <c r="B81" s="117" t="s">
        <v>109</v>
      </c>
      <c r="C81" s="107" t="s">
        <v>148</v>
      </c>
      <c r="D81" s="108">
        <v>7.4039168507501216</v>
      </c>
      <c r="E81" s="109" t="s">
        <v>138</v>
      </c>
      <c r="F81" s="110"/>
      <c r="G81" s="110"/>
      <c r="H81" s="110">
        <v>0.32400000000000001</v>
      </c>
      <c r="I81" s="110" t="s">
        <v>139</v>
      </c>
      <c r="J81" s="110" t="s">
        <v>164</v>
      </c>
      <c r="K81" s="110">
        <f t="shared" si="9"/>
        <v>2398869.0596430395</v>
      </c>
      <c r="L81" s="111" t="s">
        <v>141</v>
      </c>
      <c r="N81" s="125" t="s">
        <v>168</v>
      </c>
      <c r="O81" s="126">
        <v>33</v>
      </c>
      <c r="P81" s="127" t="s">
        <v>169</v>
      </c>
      <c r="Q81" s="126">
        <f>P77</f>
        <v>1.2954216867469878E-2</v>
      </c>
      <c r="R81" s="126" t="s">
        <v>170</v>
      </c>
      <c r="S81" s="128"/>
    </row>
    <row r="82" spans="2:19">
      <c r="B82" s="117" t="s">
        <v>109</v>
      </c>
      <c r="C82" s="107" t="s">
        <v>150</v>
      </c>
      <c r="D82" s="108">
        <v>0</v>
      </c>
      <c r="E82" s="109" t="s">
        <v>138</v>
      </c>
      <c r="F82" s="110"/>
      <c r="G82" s="110"/>
      <c r="H82" s="110">
        <v>0.32400000000000001</v>
      </c>
      <c r="I82" s="110" t="s">
        <v>139</v>
      </c>
      <c r="J82" s="110" t="s">
        <v>164</v>
      </c>
      <c r="K82" s="110">
        <f t="shared" si="9"/>
        <v>0</v>
      </c>
      <c r="L82" s="111" t="s">
        <v>141</v>
      </c>
      <c r="N82" s="125" t="s">
        <v>171</v>
      </c>
      <c r="O82" s="126">
        <v>1.7</v>
      </c>
      <c r="P82" s="127" t="s">
        <v>169</v>
      </c>
      <c r="Q82" s="126">
        <v>3.7999999999999999E-2</v>
      </c>
      <c r="R82" s="126" t="s">
        <v>170</v>
      </c>
      <c r="S82" s="129" t="s">
        <v>172</v>
      </c>
    </row>
    <row r="83" spans="2:19">
      <c r="B83" s="117" t="s">
        <v>109</v>
      </c>
      <c r="C83" s="107" t="s">
        <v>153</v>
      </c>
      <c r="D83" s="108">
        <v>741.37079451228999</v>
      </c>
      <c r="E83" s="109" t="s">
        <v>138</v>
      </c>
      <c r="F83" s="110"/>
      <c r="G83" s="110"/>
      <c r="H83" s="110">
        <v>0.32400000000000001</v>
      </c>
      <c r="I83" s="110" t="s">
        <v>139</v>
      </c>
      <c r="J83" s="110" t="s">
        <v>164</v>
      </c>
      <c r="K83" s="110">
        <f t="shared" si="9"/>
        <v>240204137.42198196</v>
      </c>
      <c r="L83" s="111" t="s">
        <v>141</v>
      </c>
      <c r="N83" s="125" t="s">
        <v>173</v>
      </c>
      <c r="O83" s="126">
        <v>0.1</v>
      </c>
      <c r="P83" s="127" t="s">
        <v>169</v>
      </c>
      <c r="Q83" s="126">
        <v>1.2999999999999999E-2</v>
      </c>
      <c r="R83" s="126" t="s">
        <v>170</v>
      </c>
      <c r="S83" s="129" t="s">
        <v>172</v>
      </c>
    </row>
    <row r="84" spans="2:19">
      <c r="B84" s="106" t="s">
        <v>174</v>
      </c>
      <c r="C84" s="107" t="s">
        <v>136</v>
      </c>
      <c r="D84" s="108">
        <v>97.256917409799897</v>
      </c>
      <c r="E84" s="109" t="s">
        <v>138</v>
      </c>
      <c r="F84" s="110"/>
      <c r="G84" s="110"/>
      <c r="H84" s="130">
        <f t="shared" ref="H84:H88" si="10">Q$86</f>
        <v>1.5596971218206157E-2</v>
      </c>
      <c r="I84" s="130" t="s">
        <v>139</v>
      </c>
      <c r="J84" s="130" t="s">
        <v>175</v>
      </c>
      <c r="K84" s="131">
        <f t="shared" si="9"/>
        <v>1516913.3416121025</v>
      </c>
      <c r="L84" s="111" t="s">
        <v>141</v>
      </c>
      <c r="N84" s="125" t="s">
        <v>176</v>
      </c>
      <c r="O84" s="126">
        <v>4.4000000000000004</v>
      </c>
      <c r="P84" s="127" t="s">
        <v>169</v>
      </c>
      <c r="Q84" s="126">
        <v>3.1E-2</v>
      </c>
      <c r="R84" s="126" t="s">
        <v>170</v>
      </c>
      <c r="S84" s="129" t="s">
        <v>172</v>
      </c>
    </row>
    <row r="85" spans="2:19">
      <c r="B85" s="106" t="s">
        <v>174</v>
      </c>
      <c r="C85" s="107" t="s">
        <v>145</v>
      </c>
      <c r="D85" s="108">
        <v>14.224530983018735</v>
      </c>
      <c r="E85" s="109" t="s">
        <v>138</v>
      </c>
      <c r="F85" s="110"/>
      <c r="G85" s="110"/>
      <c r="H85" s="130">
        <f t="shared" si="10"/>
        <v>1.5596971218206157E-2</v>
      </c>
      <c r="I85" s="130" t="s">
        <v>139</v>
      </c>
      <c r="J85" s="130" t="s">
        <v>175</v>
      </c>
      <c r="K85" s="131">
        <f t="shared" si="9"/>
        <v>221859.60033462496</v>
      </c>
      <c r="L85" s="111" t="s">
        <v>141</v>
      </c>
      <c r="N85" s="132" t="s">
        <v>177</v>
      </c>
      <c r="O85" s="133">
        <v>4</v>
      </c>
      <c r="P85" s="127" t="s">
        <v>169</v>
      </c>
      <c r="Q85" s="133">
        <v>1.0999999999999999E-2</v>
      </c>
      <c r="R85" s="126" t="s">
        <v>170</v>
      </c>
      <c r="S85" s="129" t="s">
        <v>172</v>
      </c>
    </row>
    <row r="86" spans="2:19">
      <c r="B86" s="106" t="s">
        <v>174</v>
      </c>
      <c r="C86" s="107" t="s">
        <v>148</v>
      </c>
      <c r="D86" s="108">
        <v>2.5220791346087981</v>
      </c>
      <c r="E86" s="109" t="s">
        <v>138</v>
      </c>
      <c r="F86" s="110"/>
      <c r="G86" s="110"/>
      <c r="H86" s="130">
        <f t="shared" si="10"/>
        <v>1.5596971218206157E-2</v>
      </c>
      <c r="I86" s="130" t="s">
        <v>139</v>
      </c>
      <c r="J86" s="130" t="s">
        <v>175</v>
      </c>
      <c r="K86" s="131">
        <f t="shared" si="9"/>
        <v>39336.79567253172</v>
      </c>
      <c r="L86" s="111" t="s">
        <v>141</v>
      </c>
      <c r="O86" s="134"/>
      <c r="P86" s="135" t="s">
        <v>163</v>
      </c>
      <c r="Q86" s="136">
        <f>(Q81*O81+Q82*O82+Q83*O83+Q84*O84+Q85*O85)/SUM(O81:O85)</f>
        <v>1.5596971218206157E-2</v>
      </c>
      <c r="R86" s="137" t="s">
        <v>170</v>
      </c>
      <c r="S86" s="138"/>
    </row>
    <row r="87" spans="2:19">
      <c r="B87" s="106" t="s">
        <v>174</v>
      </c>
      <c r="C87" s="107" t="s">
        <v>150</v>
      </c>
      <c r="D87" s="108">
        <v>0</v>
      </c>
      <c r="E87" s="109" t="s">
        <v>138</v>
      </c>
      <c r="F87" s="110"/>
      <c r="G87" s="110"/>
      <c r="H87" s="130">
        <f t="shared" si="10"/>
        <v>1.5596971218206157E-2</v>
      </c>
      <c r="I87" s="130" t="s">
        <v>139</v>
      </c>
      <c r="J87" s="130" t="s">
        <v>175</v>
      </c>
      <c r="K87" s="131">
        <f t="shared" si="9"/>
        <v>0</v>
      </c>
      <c r="L87" s="111" t="s">
        <v>141</v>
      </c>
    </row>
    <row r="88" spans="2:19">
      <c r="B88" s="106" t="s">
        <v>174</v>
      </c>
      <c r="C88" s="107" t="s">
        <v>153</v>
      </c>
      <c r="D88" s="108">
        <v>5.0046500305073893</v>
      </c>
      <c r="E88" s="109" t="s">
        <v>138</v>
      </c>
      <c r="F88" s="91"/>
      <c r="G88" s="91"/>
      <c r="H88" s="139">
        <f t="shared" si="10"/>
        <v>1.5596971218206157E-2</v>
      </c>
      <c r="I88" s="139" t="s">
        <v>139</v>
      </c>
      <c r="J88" s="139" t="s">
        <v>175</v>
      </c>
      <c r="K88" s="131">
        <f t="shared" si="9"/>
        <v>78057.382483018315</v>
      </c>
      <c r="L88" s="140" t="s">
        <v>141</v>
      </c>
    </row>
    <row r="89" spans="2:19">
      <c r="F89" s="1269" t="s">
        <v>178</v>
      </c>
      <c r="G89" s="1270"/>
      <c r="H89" s="1270"/>
      <c r="I89" s="1270"/>
      <c r="J89" s="1271"/>
      <c r="K89" s="141">
        <f>SUM(K69:K88)-(K71+K76+K81+K86)</f>
        <v>2359601263.2191935</v>
      </c>
      <c r="L89" s="142" t="s">
        <v>141</v>
      </c>
    </row>
    <row r="90" spans="2:19">
      <c r="K90" s="143">
        <f>K89/10^9</f>
        <v>2.3596012632191936</v>
      </c>
      <c r="L90" s="144" t="s">
        <v>179</v>
      </c>
    </row>
    <row r="92" spans="2:19">
      <c r="B92" t="s">
        <v>180</v>
      </c>
      <c r="H92" s="1266"/>
      <c r="I92" s="1266"/>
      <c r="J92" s="1266"/>
    </row>
    <row r="93" spans="2:19">
      <c r="B93" s="146" t="s">
        <v>181</v>
      </c>
      <c r="C93" s="147" t="s">
        <v>182</v>
      </c>
      <c r="D93" s="148" t="s">
        <v>130</v>
      </c>
      <c r="K93" s="98"/>
      <c r="L93" s="98"/>
    </row>
    <row r="94" spans="2:19">
      <c r="B94" s="117" t="s">
        <v>135</v>
      </c>
      <c r="C94" s="110">
        <v>1.111</v>
      </c>
      <c r="D94" s="111" t="s">
        <v>183</v>
      </c>
    </row>
    <row r="95" spans="2:19">
      <c r="B95" s="117" t="s">
        <v>155</v>
      </c>
      <c r="C95" s="110">
        <v>1.087</v>
      </c>
      <c r="D95" s="111" t="s">
        <v>184</v>
      </c>
      <c r="H95" s="1266"/>
      <c r="I95" s="1266"/>
      <c r="J95" s="1266"/>
    </row>
    <row r="96" spans="2:19">
      <c r="B96" s="117" t="s">
        <v>185</v>
      </c>
      <c r="C96" s="110">
        <v>1.08</v>
      </c>
      <c r="D96" s="111" t="s">
        <v>186</v>
      </c>
      <c r="K96" s="98"/>
      <c r="L96" s="98"/>
    </row>
    <row r="97" spans="2:5">
      <c r="B97" s="117" t="s">
        <v>187</v>
      </c>
      <c r="C97" s="110">
        <v>1.075</v>
      </c>
      <c r="D97" s="111" t="s">
        <v>184</v>
      </c>
      <c r="E97" t="s">
        <v>188</v>
      </c>
    </row>
    <row r="98" spans="2:5">
      <c r="B98" s="117" t="s">
        <v>189</v>
      </c>
      <c r="C98" s="110">
        <v>1.0649999999999999</v>
      </c>
      <c r="D98" s="111" t="s">
        <v>184</v>
      </c>
    </row>
    <row r="99" spans="2:5">
      <c r="B99" s="149" t="s">
        <v>190</v>
      </c>
      <c r="C99" s="150">
        <v>1.052</v>
      </c>
      <c r="D99" s="151" t="s">
        <v>184</v>
      </c>
    </row>
    <row r="103" spans="2:5">
      <c r="B103" s="98" t="s">
        <v>191</v>
      </c>
    </row>
    <row r="104" spans="2:5">
      <c r="B104" s="98"/>
    </row>
    <row r="105" spans="2:5">
      <c r="B105" s="152" t="s">
        <v>192</v>
      </c>
    </row>
    <row r="106" spans="2:5">
      <c r="B106" t="s">
        <v>193</v>
      </c>
    </row>
    <row r="107" spans="2:5">
      <c r="B107" t="s">
        <v>194</v>
      </c>
    </row>
    <row r="109" spans="2:5">
      <c r="B109" s="122" t="s">
        <v>195</v>
      </c>
      <c r="C109" s="124" t="s">
        <v>196</v>
      </c>
    </row>
    <row r="110" spans="2:5">
      <c r="B110" s="153" t="s">
        <v>112</v>
      </c>
      <c r="C110" s="154">
        <f>'10.bâtiments'!D84</f>
        <v>2159100</v>
      </c>
    </row>
    <row r="111" spans="2:5">
      <c r="B111" s="153" t="s">
        <v>113</v>
      </c>
      <c r="C111" s="155">
        <f>'10.bâtiments'!C107 - '10.bâtiments'!D84</f>
        <v>17073700</v>
      </c>
    </row>
    <row r="112" spans="2:5">
      <c r="B112" s="153" t="s">
        <v>114</v>
      </c>
      <c r="C112" s="155">
        <f>'10.bâtiments'!C108</f>
        <v>46275470.800000004</v>
      </c>
    </row>
    <row r="113" spans="2:11">
      <c r="B113" s="125" t="s">
        <v>115</v>
      </c>
      <c r="C113" s="156">
        <f>'10.bâtiments'!C172</f>
        <v>33293286.27</v>
      </c>
    </row>
    <row r="114" spans="2:11">
      <c r="B114" s="157" t="s">
        <v>116</v>
      </c>
      <c r="C114" s="158">
        <f>'10.bâtiments'!C231</f>
        <v>5839755.1033200091</v>
      </c>
    </row>
    <row r="115" spans="2:11">
      <c r="B115" s="157" t="s">
        <v>117</v>
      </c>
      <c r="C115" s="158">
        <f>'10.bâtiments'!C232</f>
        <v>15564100.286387507</v>
      </c>
    </row>
    <row r="116" spans="2:11">
      <c r="B116" s="157" t="s">
        <v>197</v>
      </c>
      <c r="C116" s="159">
        <f>C111+C112</f>
        <v>63349170.800000004</v>
      </c>
    </row>
    <row r="117" spans="2:11">
      <c r="B117" s="160" t="s">
        <v>198</v>
      </c>
      <c r="C117" s="161">
        <f>C110+C113+C115+C114</f>
        <v>56856241.659707509</v>
      </c>
    </row>
    <row r="119" spans="2:11">
      <c r="B119" s="100" t="s">
        <v>123</v>
      </c>
    </row>
    <row r="120" spans="2:11">
      <c r="B120" s="152" t="s">
        <v>192</v>
      </c>
    </row>
    <row r="121" spans="2:11">
      <c r="B121" t="s">
        <v>199</v>
      </c>
    </row>
    <row r="122" spans="2:11">
      <c r="B122" t="s">
        <v>200</v>
      </c>
    </row>
    <row r="125" spans="2:11">
      <c r="B125" t="s">
        <v>201</v>
      </c>
      <c r="C125" s="162"/>
      <c r="D125" s="162"/>
      <c r="E125" s="163"/>
      <c r="F125" s="163"/>
      <c r="G125" s="163"/>
      <c r="H125" s="163"/>
      <c r="I125" s="163"/>
    </row>
    <row r="126" spans="2:11">
      <c r="B126" s="164" t="s">
        <v>202</v>
      </c>
      <c r="C126" s="165">
        <v>1990</v>
      </c>
      <c r="D126" s="165">
        <v>1995</v>
      </c>
      <c r="E126" s="165">
        <v>2000</v>
      </c>
      <c r="F126" s="165">
        <v>2005</v>
      </c>
      <c r="G126" s="165">
        <v>2010</v>
      </c>
      <c r="H126" s="165">
        <v>2015</v>
      </c>
      <c r="I126" s="165">
        <v>2019</v>
      </c>
      <c r="J126" s="166" t="s">
        <v>203</v>
      </c>
      <c r="K126" s="97" t="s">
        <v>133</v>
      </c>
    </row>
    <row r="127" spans="2:11">
      <c r="B127" s="167" t="s">
        <v>108</v>
      </c>
      <c r="C127" s="168">
        <v>229.6356267560958</v>
      </c>
      <c r="D127" s="168">
        <v>289.33865479345792</v>
      </c>
      <c r="E127" s="168">
        <v>336.44970877330246</v>
      </c>
      <c r="F127" s="168">
        <v>380.89044036941493</v>
      </c>
      <c r="G127" s="168">
        <v>421.06416311557632</v>
      </c>
      <c r="H127" s="168">
        <v>445.69816358857673</v>
      </c>
      <c r="I127" s="168">
        <v>460.10968033353231</v>
      </c>
      <c r="J127" s="116">
        <f>I127/SUM(I127:I130)</f>
        <v>0.46058550132207932</v>
      </c>
    </row>
    <row r="128" spans="2:11">
      <c r="B128" s="167" t="s">
        <v>109</v>
      </c>
      <c r="C128" s="168">
        <v>230.61337606416075</v>
      </c>
      <c r="D128" s="168">
        <v>208.25220073926832</v>
      </c>
      <c r="E128" s="168">
        <v>203.43383570400403</v>
      </c>
      <c r="F128" s="168">
        <v>190.04457438851662</v>
      </c>
      <c r="G128" s="168">
        <v>167.60696318393644</v>
      </c>
      <c r="H128" s="168">
        <v>149.10998202578946</v>
      </c>
      <c r="I128" s="168">
        <v>147.52451777974488</v>
      </c>
      <c r="J128" s="116">
        <f>I128/SUM(I127:I130)</f>
        <v>0.14767707979894429</v>
      </c>
    </row>
    <row r="129" spans="2:10">
      <c r="B129" s="167" t="s">
        <v>111</v>
      </c>
      <c r="C129" s="168">
        <v>75.01269585467486</v>
      </c>
      <c r="D129" s="168">
        <v>80.438824950418081</v>
      </c>
      <c r="E129" s="168">
        <v>84.925528893672961</v>
      </c>
      <c r="F129" s="168">
        <v>87.949250269454765</v>
      </c>
      <c r="G129" s="168">
        <v>92.600417725870287</v>
      </c>
      <c r="H129" s="168">
        <v>96.550992924510098</v>
      </c>
      <c r="I129" s="168">
        <v>100.09122409738616</v>
      </c>
      <c r="J129" s="116">
        <f>I129/SUM(I127:I130)</f>
        <v>0.10019473312410426</v>
      </c>
    </row>
    <row r="130" spans="2:10">
      <c r="B130" s="167" t="s">
        <v>204</v>
      </c>
      <c r="C130" s="168">
        <v>127.54868140350177</v>
      </c>
      <c r="D130" s="168">
        <v>154.80306245298658</v>
      </c>
      <c r="E130" s="168">
        <v>175.28204049776733</v>
      </c>
      <c r="F130" s="168">
        <v>201.21854653957649</v>
      </c>
      <c r="G130" s="168">
        <v>239.22452624132072</v>
      </c>
      <c r="H130" s="168">
        <v>272.31578294002134</v>
      </c>
      <c r="I130" s="168">
        <v>291.24149926823412</v>
      </c>
      <c r="J130" s="116">
        <f>I130/SUM(I127:I130)</f>
        <v>0.29154268575487202</v>
      </c>
    </row>
    <row r="131" spans="2:10">
      <c r="B131" s="169" t="s">
        <v>205</v>
      </c>
      <c r="C131" s="170">
        <v>662.81038007843324</v>
      </c>
      <c r="D131" s="170">
        <v>732.8327429361309</v>
      </c>
      <c r="E131" s="170">
        <v>800.09111386874679</v>
      </c>
      <c r="F131" s="170">
        <v>860.10281156696283</v>
      </c>
      <c r="G131" s="170">
        <v>920.49607026670378</v>
      </c>
      <c r="H131" s="170">
        <v>963.67492147889755</v>
      </c>
      <c r="I131" s="170">
        <v>998.96692147889758</v>
      </c>
      <c r="J131" s="171">
        <f>SUM(J127:J130)</f>
        <v>0.99999999999999978</v>
      </c>
    </row>
    <row r="132" spans="2:10">
      <c r="C132" s="172"/>
      <c r="D132" s="163"/>
      <c r="E132" s="163"/>
      <c r="F132" s="163"/>
      <c r="G132" s="163"/>
      <c r="H132" s="163"/>
      <c r="I132" s="173"/>
    </row>
    <row r="133" spans="2:10">
      <c r="C133" s="172"/>
      <c r="D133" s="163"/>
      <c r="E133" s="163"/>
      <c r="F133" s="163"/>
      <c r="G133" s="163"/>
      <c r="H133" s="163"/>
      <c r="I133" s="173"/>
    </row>
    <row r="134" spans="2:10">
      <c r="B134" s="174" t="s">
        <v>206</v>
      </c>
    </row>
    <row r="136" spans="2:10">
      <c r="B136" s="164" t="s">
        <v>202</v>
      </c>
      <c r="C136" s="166" t="s">
        <v>207</v>
      </c>
    </row>
    <row r="137" spans="2:10">
      <c r="B137" s="167" t="s">
        <v>108</v>
      </c>
      <c r="C137" s="175">
        <f>C117*J127</f>
        <v>26187160.568125673</v>
      </c>
      <c r="I137" s="176"/>
    </row>
    <row r="138" spans="2:10">
      <c r="B138" s="167" t="s">
        <v>109</v>
      </c>
      <c r="C138" s="175">
        <f>C117*J128</f>
        <v>8396363.7366486862</v>
      </c>
      <c r="I138" s="176"/>
    </row>
    <row r="139" spans="2:10">
      <c r="B139" s="167" t="s">
        <v>111</v>
      </c>
      <c r="C139" s="175">
        <f>C117*J129</f>
        <v>5696695.9595339727</v>
      </c>
    </row>
    <row r="140" spans="2:10">
      <c r="B140" s="169" t="s">
        <v>204</v>
      </c>
      <c r="C140" s="177">
        <f>C117*J130</f>
        <v>16576021.39539917</v>
      </c>
    </row>
    <row r="141" spans="2:10">
      <c r="B141" s="178"/>
      <c r="C141" s="178"/>
    </row>
    <row r="142" spans="2:10">
      <c r="B142" s="100" t="s">
        <v>123</v>
      </c>
      <c r="C142" s="178"/>
    </row>
    <row r="143" spans="2:10">
      <c r="B143" s="179" t="s">
        <v>208</v>
      </c>
    </row>
    <row r="144" spans="2:10">
      <c r="E144" t="s">
        <v>209</v>
      </c>
    </row>
    <row r="145" spans="2:9">
      <c r="B145" s="180" t="s">
        <v>210</v>
      </c>
      <c r="C145" s="1272" t="s">
        <v>211</v>
      </c>
      <c r="D145" s="1273"/>
      <c r="E145" s="1273"/>
      <c r="F145" s="1274"/>
    </row>
    <row r="146" spans="2:9">
      <c r="B146" s="181"/>
      <c r="C146" s="182" t="s">
        <v>136</v>
      </c>
      <c r="D146" s="183" t="s">
        <v>212</v>
      </c>
      <c r="E146" s="184" t="s">
        <v>213</v>
      </c>
      <c r="F146" s="185" t="s">
        <v>214</v>
      </c>
    </row>
    <row r="147" spans="2:9">
      <c r="B147" s="186" t="s">
        <v>215</v>
      </c>
      <c r="C147" s="187">
        <v>126</v>
      </c>
      <c r="D147" s="188">
        <v>38</v>
      </c>
      <c r="E147" s="189">
        <f>C147+D147</f>
        <v>164</v>
      </c>
      <c r="F147" s="190">
        <v>0.3</v>
      </c>
      <c r="G147" s="191"/>
    </row>
    <row r="149" spans="2:9">
      <c r="D149" t="s">
        <v>216</v>
      </c>
    </row>
    <row r="150" spans="2:9">
      <c r="B150" s="192" t="s">
        <v>217</v>
      </c>
      <c r="C150" s="193" t="s">
        <v>211</v>
      </c>
      <c r="D150" s="194" t="s">
        <v>214</v>
      </c>
    </row>
    <row r="151" spans="2:9">
      <c r="B151" s="195" t="s">
        <v>218</v>
      </c>
      <c r="C151" s="196">
        <v>292</v>
      </c>
      <c r="D151" s="197">
        <v>0.3</v>
      </c>
      <c r="F151" s="163"/>
      <c r="G151" s="163"/>
      <c r="H151" s="163"/>
      <c r="I151" s="163"/>
    </row>
    <row r="152" spans="2:9">
      <c r="B152" s="198"/>
      <c r="C152" s="199"/>
      <c r="D152" s="200"/>
      <c r="F152" s="201"/>
      <c r="G152" s="201"/>
      <c r="H152" s="163"/>
      <c r="I152" s="202"/>
    </row>
    <row r="153" spans="2:9">
      <c r="F153" s="203"/>
      <c r="G153" s="203"/>
      <c r="H153" s="203"/>
      <c r="I153" s="203"/>
    </row>
    <row r="154" spans="2:9">
      <c r="F154" s="163"/>
      <c r="G154" s="163"/>
      <c r="H154" s="163"/>
      <c r="I154" s="173"/>
    </row>
    <row r="155" spans="2:9">
      <c r="B155" s="100" t="s">
        <v>123</v>
      </c>
    </row>
    <row r="156" spans="2:9">
      <c r="B156" t="s">
        <v>219</v>
      </c>
    </row>
    <row r="157" spans="2:9">
      <c r="B157" t="s">
        <v>220</v>
      </c>
    </row>
    <row r="158" spans="2:9" ht="15.6">
      <c r="B158" s="204"/>
      <c r="C158" s="162"/>
      <c r="D158" s="162"/>
      <c r="E158" s="163"/>
    </row>
    <row r="159" spans="2:9" ht="27.6">
      <c r="B159" s="205" t="s">
        <v>221</v>
      </c>
      <c r="C159" s="206">
        <v>15.171746899264669</v>
      </c>
      <c r="D159" s="207" t="s">
        <v>222</v>
      </c>
      <c r="E159" s="208" t="s">
        <v>133</v>
      </c>
    </row>
    <row r="160" spans="2:9">
      <c r="B160" s="209"/>
      <c r="C160" s="203"/>
      <c r="D160" s="203"/>
      <c r="E160" s="203"/>
    </row>
    <row r="161" spans="2:5">
      <c r="B161" s="162"/>
      <c r="C161" s="210"/>
      <c r="D161" s="163"/>
      <c r="E161" s="163"/>
    </row>
    <row r="162" spans="2:5">
      <c r="B162" s="179" t="s">
        <v>223</v>
      </c>
    </row>
    <row r="164" spans="2:5">
      <c r="B164" s="211"/>
      <c r="C164" s="194" t="s">
        <v>224</v>
      </c>
    </row>
    <row r="165" spans="2:5">
      <c r="B165" s="169" t="s">
        <v>111</v>
      </c>
      <c r="C165" s="212">
        <f>C159/I129</f>
        <v>0.15157919224269806</v>
      </c>
    </row>
    <row r="168" spans="2:5">
      <c r="B168" s="100" t="s">
        <v>123</v>
      </c>
    </row>
    <row r="169" spans="2:5" ht="21">
      <c r="B169" s="213" t="s">
        <v>225</v>
      </c>
      <c r="C169" s="214"/>
    </row>
    <row r="171" spans="2:5">
      <c r="B171" s="215"/>
      <c r="C171" s="216" t="s">
        <v>226</v>
      </c>
      <c r="D171" s="217" t="s">
        <v>227</v>
      </c>
    </row>
    <row r="172" spans="2:5">
      <c r="B172" s="218" t="s">
        <v>109</v>
      </c>
      <c r="C172" s="219">
        <f>C151*C138</f>
        <v>2451738211.1014166</v>
      </c>
      <c r="D172" s="220" t="s">
        <v>228</v>
      </c>
    </row>
    <row r="173" spans="2:5" ht="28.8">
      <c r="B173" s="218" t="s">
        <v>108</v>
      </c>
      <c r="C173" s="219">
        <f>E147*C137</f>
        <v>4294694333.1726103</v>
      </c>
      <c r="D173" s="220" t="s">
        <v>229</v>
      </c>
    </row>
    <row r="174" spans="2:5">
      <c r="B174" s="221" t="s">
        <v>111</v>
      </c>
      <c r="C174" s="222">
        <f>C165*C139*10^3</f>
        <v>863500571.99840128</v>
      </c>
      <c r="D174" s="223" t="s">
        <v>230</v>
      </c>
    </row>
    <row r="175" spans="2:5">
      <c r="B175" s="178"/>
    </row>
    <row r="177" spans="2:9">
      <c r="B177" t="s">
        <v>231</v>
      </c>
    </row>
    <row r="179" spans="2:9">
      <c r="B179" s="224" t="s">
        <v>232</v>
      </c>
      <c r="C179" s="224"/>
      <c r="D179" s="224"/>
      <c r="E179" s="213"/>
      <c r="F179" s="213"/>
      <c r="G179" s="213"/>
      <c r="H179" s="213"/>
      <c r="I179" s="213"/>
    </row>
    <row r="180" spans="2:9">
      <c r="B180" s="225" t="s">
        <v>166</v>
      </c>
      <c r="C180" s="226" t="s">
        <v>144</v>
      </c>
      <c r="D180" s="226" t="s">
        <v>129</v>
      </c>
      <c r="E180" s="227" t="s">
        <v>130</v>
      </c>
      <c r="F180" s="213"/>
      <c r="G180" s="213"/>
      <c r="H180" s="213"/>
      <c r="I180" s="213"/>
    </row>
    <row r="181" spans="2:9" ht="28.8">
      <c r="B181" s="228" t="s">
        <v>108</v>
      </c>
      <c r="C181" s="229">
        <v>0.22700000000000001</v>
      </c>
      <c r="D181" s="229" t="s">
        <v>139</v>
      </c>
      <c r="E181" s="230" t="s">
        <v>233</v>
      </c>
      <c r="F181" s="213"/>
      <c r="G181" s="213"/>
      <c r="H181" s="213"/>
      <c r="I181" s="213"/>
    </row>
    <row r="182" spans="2:9">
      <c r="B182" s="228" t="s">
        <v>109</v>
      </c>
      <c r="C182" s="229">
        <v>0.32400000000000001</v>
      </c>
      <c r="D182" s="229" t="s">
        <v>139</v>
      </c>
      <c r="E182" s="230" t="s">
        <v>234</v>
      </c>
      <c r="F182" s="213"/>
      <c r="G182" s="213"/>
      <c r="H182" s="213"/>
      <c r="I182" s="213"/>
    </row>
    <row r="183" spans="2:9" ht="28.8">
      <c r="B183" s="231" t="s">
        <v>111</v>
      </c>
      <c r="C183" s="232">
        <v>3.04E-2</v>
      </c>
      <c r="D183" s="232" t="s">
        <v>139</v>
      </c>
      <c r="E183" s="233" t="s">
        <v>235</v>
      </c>
      <c r="F183" s="213"/>
      <c r="G183" s="213"/>
      <c r="H183" s="213"/>
      <c r="I183" s="213"/>
    </row>
    <row r="185" spans="2:9">
      <c r="B185" s="234" t="s">
        <v>123</v>
      </c>
      <c r="C185" s="235"/>
      <c r="D185" s="235"/>
      <c r="E185" s="235"/>
      <c r="F185" s="235"/>
    </row>
    <row r="187" spans="2:9">
      <c r="B187" s="235" t="s">
        <v>236</v>
      </c>
      <c r="C187" s="235"/>
      <c r="D187" s="235"/>
      <c r="E187" s="235"/>
      <c r="F187" s="235"/>
    </row>
    <row r="188" spans="2:9">
      <c r="B188" s="100"/>
    </row>
    <row r="189" spans="2:9">
      <c r="B189" s="236"/>
      <c r="C189" s="237" t="s">
        <v>141</v>
      </c>
      <c r="D189" s="235"/>
      <c r="E189" s="235"/>
      <c r="F189" s="235"/>
    </row>
    <row r="190" spans="2:9">
      <c r="B190" s="238" t="s">
        <v>109</v>
      </c>
      <c r="C190" s="239">
        <f>C172*C182</f>
        <v>794363180.39685905</v>
      </c>
      <c r="D190" s="235"/>
      <c r="E190" s="235"/>
      <c r="F190" s="235"/>
    </row>
    <row r="191" spans="2:9">
      <c r="B191" s="240" t="s">
        <v>108</v>
      </c>
      <c r="C191" s="241">
        <f>C173*C181</f>
        <v>974895613.63018262</v>
      </c>
      <c r="D191" s="235"/>
      <c r="E191" s="235"/>
      <c r="F191" s="235"/>
    </row>
    <row r="192" spans="2:9">
      <c r="D192" s="235"/>
    </row>
    <row r="193" spans="2:22">
      <c r="B193" t="s">
        <v>237</v>
      </c>
    </row>
    <row r="194" spans="2:22">
      <c r="B194" t="s">
        <v>238</v>
      </c>
      <c r="C194" s="91"/>
    </row>
    <row r="196" spans="2:22" ht="28.8">
      <c r="B196" s="215" t="s">
        <v>239</v>
      </c>
      <c r="C196" s="242">
        <f>D86/SUM(D84:D88)</f>
        <v>2.1192485981738649E-2</v>
      </c>
      <c r="D196" s="243"/>
      <c r="E196" s="244"/>
      <c r="I196" s="99"/>
      <c r="J196" s="99"/>
      <c r="O196" s="1278"/>
      <c r="P196" s="1278"/>
      <c r="Q196" s="1278"/>
      <c r="R196" s="1278"/>
      <c r="S196" s="1278"/>
      <c r="T196" s="1278"/>
      <c r="U196" s="1278"/>
      <c r="V196" s="1278"/>
    </row>
    <row r="197" spans="2:22" ht="28.8">
      <c r="B197" s="245" t="s">
        <v>240</v>
      </c>
      <c r="C197" s="246">
        <f>C174*C183</f>
        <v>26250417.388751399</v>
      </c>
      <c r="H197" s="1266"/>
      <c r="I197" s="1266"/>
      <c r="J197" s="1266"/>
    </row>
    <row r="198" spans="2:22" ht="28.8">
      <c r="B198" s="247" t="s">
        <v>241</v>
      </c>
      <c r="C198" s="223">
        <f>C197*(1-C196)</f>
        <v>25694105.786225498</v>
      </c>
      <c r="H198" s="145"/>
      <c r="I198" s="145"/>
      <c r="J198" s="145"/>
    </row>
    <row r="200" spans="2:22">
      <c r="B200" s="1267" t="s">
        <v>242</v>
      </c>
      <c r="C200" s="248">
        <f>C190+C191+C198</f>
        <v>1794952899.8132672</v>
      </c>
      <c r="D200" s="249" t="s">
        <v>141</v>
      </c>
      <c r="E200" s="250"/>
      <c r="F200" s="235"/>
    </row>
    <row r="201" spans="2:22">
      <c r="B201" s="1268"/>
      <c r="C201" s="251">
        <f>C200/10^9</f>
        <v>1.7949528998132673</v>
      </c>
      <c r="D201" s="252" t="s">
        <v>243</v>
      </c>
      <c r="E201" s="235"/>
      <c r="F201" s="235"/>
    </row>
    <row r="202" spans="2:22">
      <c r="B202" s="178"/>
      <c r="N202" s="253"/>
    </row>
    <row r="203" spans="2:22">
      <c r="B203" s="178"/>
      <c r="N203" s="253"/>
    </row>
    <row r="204" spans="2:22">
      <c r="B204" s="98" t="s">
        <v>244</v>
      </c>
      <c r="N204" s="253"/>
    </row>
    <row r="205" spans="2:22">
      <c r="B205" s="178"/>
      <c r="N205" s="253"/>
    </row>
    <row r="206" spans="2:22">
      <c r="B206" s="234" t="s">
        <v>123</v>
      </c>
      <c r="N206" s="253"/>
    </row>
    <row r="207" spans="2:22">
      <c r="B207" t="s">
        <v>245</v>
      </c>
      <c r="N207" s="253"/>
    </row>
    <row r="208" spans="2:22">
      <c r="N208" s="253"/>
    </row>
    <row r="209" spans="2:14">
      <c r="D209" s="254" t="s">
        <v>129</v>
      </c>
      <c r="E209" s="255" t="s">
        <v>130</v>
      </c>
      <c r="N209" s="253"/>
    </row>
    <row r="210" spans="2:14" ht="28.8">
      <c r="B210" s="215" t="s">
        <v>246</v>
      </c>
      <c r="C210" s="256">
        <f>7.39 - 1.17 - 0.62</f>
        <v>5.6</v>
      </c>
      <c r="D210" s="110" t="s">
        <v>96</v>
      </c>
      <c r="E210" s="257" t="s">
        <v>247</v>
      </c>
      <c r="N210" s="253"/>
    </row>
    <row r="211" spans="2:14">
      <c r="B211" s="119" t="s">
        <v>248</v>
      </c>
      <c r="C211" s="120">
        <f>5951793</f>
        <v>5951793</v>
      </c>
      <c r="D211" s="120"/>
      <c r="E211" s="258" t="s">
        <v>247</v>
      </c>
      <c r="N211" s="253"/>
    </row>
    <row r="212" spans="2:14">
      <c r="N212" s="253"/>
    </row>
    <row r="213" spans="2:14">
      <c r="B213" s="259" t="s">
        <v>249</v>
      </c>
      <c r="N213" s="253"/>
    </row>
    <row r="214" spans="2:14" s="78" customFormat="1">
      <c r="B214" t="s">
        <v>250</v>
      </c>
    </row>
    <row r="215" spans="2:14" s="78" customFormat="1">
      <c r="B215" s="215"/>
      <c r="C215" s="217" t="s">
        <v>251</v>
      </c>
    </row>
    <row r="216" spans="2:14">
      <c r="B216" s="218" t="s">
        <v>252</v>
      </c>
      <c r="C216" s="260">
        <f>'Annexe 2'!C5</f>
        <v>98433.71</v>
      </c>
    </row>
    <row r="217" spans="2:14">
      <c r="B217" s="261" t="s">
        <v>253</v>
      </c>
      <c r="C217" s="260">
        <f>'Annexe 2'!C6</f>
        <v>50086.251713683101</v>
      </c>
    </row>
    <row r="218" spans="2:14">
      <c r="H218" s="98"/>
      <c r="I218" s="98"/>
      <c r="J218" s="98"/>
    </row>
    <row r="219" spans="2:14">
      <c r="H219" s="98"/>
      <c r="I219" s="98"/>
      <c r="J219" s="98"/>
    </row>
    <row r="220" spans="2:14" ht="28.8">
      <c r="B220" s="262" t="s">
        <v>254</v>
      </c>
      <c r="C220" s="263">
        <f>C210*(C216+C217)/C211</f>
        <v>0.13974138307508768</v>
      </c>
      <c r="D220" s="264" t="s">
        <v>96</v>
      </c>
      <c r="H220" s="98"/>
      <c r="I220" s="98"/>
      <c r="J220" s="98"/>
    </row>
    <row r="221" spans="2:14">
      <c r="H221" s="98"/>
      <c r="I221" s="98"/>
      <c r="J221" s="98"/>
    </row>
    <row r="222" spans="2:14">
      <c r="B222" s="98" t="s">
        <v>255</v>
      </c>
      <c r="K222" s="98"/>
      <c r="L222" s="98"/>
    </row>
    <row r="223" spans="2:14">
      <c r="B223" t="s">
        <v>188</v>
      </c>
    </row>
    <row r="224" spans="2:14">
      <c r="B224" s="143" t="s">
        <v>256</v>
      </c>
      <c r="C224" s="263">
        <f>C201+K90+C220</f>
        <v>4.2942955461075494</v>
      </c>
      <c r="D224" s="144" t="s">
        <v>243</v>
      </c>
      <c r="H224" s="98"/>
      <c r="I224" s="98"/>
      <c r="J224" s="98"/>
    </row>
  </sheetData>
  <mergeCells count="28">
    <mergeCell ref="B5:D5"/>
    <mergeCell ref="F5:Q5"/>
    <mergeCell ref="F6:G6"/>
    <mergeCell ref="H6:Q6"/>
    <mergeCell ref="C7:D7"/>
    <mergeCell ref="F7:G8"/>
    <mergeCell ref="H7:Q8"/>
    <mergeCell ref="C8:D8"/>
    <mergeCell ref="C10:D10"/>
    <mergeCell ref="C12:D12"/>
    <mergeCell ref="B14:Q14"/>
    <mergeCell ref="C15:Q15"/>
    <mergeCell ref="C16:Q16"/>
    <mergeCell ref="C17:Q17"/>
    <mergeCell ref="C18:Q18"/>
    <mergeCell ref="C19:Q19"/>
    <mergeCell ref="C20:Q20"/>
    <mergeCell ref="O196:V196"/>
    <mergeCell ref="C21:Q21"/>
    <mergeCell ref="C22:Q22"/>
    <mergeCell ref="D27:F27"/>
    <mergeCell ref="G27:I27"/>
    <mergeCell ref="H197:J197"/>
    <mergeCell ref="B200:B201"/>
    <mergeCell ref="F89:J89"/>
    <mergeCell ref="H92:J92"/>
    <mergeCell ref="H95:J95"/>
    <mergeCell ref="C145:F145"/>
  </mergeCells>
  <conditionalFormatting sqref="C8">
    <cfRule type="containsText" dxfId="955" priority="60" operator="containsText" text="Calcul validé">
      <formula>NOT(ISERROR(SEARCH("Calcul validé",C8)))</formula>
    </cfRule>
  </conditionalFormatting>
  <conditionalFormatting sqref="C8">
    <cfRule type="containsText" dxfId="954" priority="59" operator="containsText" text="Bon ordre de grandeur">
      <formula>NOT(ISERROR(SEARCH("Bon ordre de grandeur",C8)))</formula>
    </cfRule>
  </conditionalFormatting>
  <conditionalFormatting sqref="C8">
    <cfRule type="containsText" dxfId="953" priority="58" operator="containsText" text="Calcul brouillon, ordre de grandeur">
      <formula>NOT(ISERROR(SEARCH("Calcul brouillon, ordre de grandeur",C8)))</formula>
    </cfRule>
  </conditionalFormatting>
  <conditionalFormatting sqref="C8">
    <cfRule type="containsText" dxfId="952" priority="57" operator="containsText" text="Pas ok">
      <formula>NOT(ISERROR(SEARCH("Pas ok",C8)))</formula>
    </cfRule>
  </conditionalFormatting>
  <conditionalFormatting sqref="C8">
    <cfRule type="containsText" dxfId="951" priority="56" operator="containsText" text="Calcul validé">
      <formula>NOT(ISERROR(SEARCH("Calcul validé",C8)))</formula>
    </cfRule>
  </conditionalFormatting>
  <conditionalFormatting sqref="C8">
    <cfRule type="containsText" dxfId="950" priority="55" operator="containsText" text="Calcul validé">
      <formula>NOT(ISERROR(SEARCH("Calcul validé",C8)))</formula>
    </cfRule>
  </conditionalFormatting>
  <conditionalFormatting sqref="C8">
    <cfRule type="containsText" dxfId="949" priority="54" operator="containsText" text="Bon ordre de grandeur">
      <formula>NOT(ISERROR(SEARCH("Bon ordre de grandeur",C8)))</formula>
    </cfRule>
  </conditionalFormatting>
  <conditionalFormatting sqref="C8">
    <cfRule type="containsText" dxfId="948" priority="53" operator="containsText" text="Calcul brouillon, ordre de grandeur">
      <formula>NOT(ISERROR(SEARCH("Calcul brouillon, ordre de grandeur",C8)))</formula>
    </cfRule>
  </conditionalFormatting>
  <conditionalFormatting sqref="C8">
    <cfRule type="containsText" dxfId="947" priority="52" operator="containsText" text="Pas ok">
      <formula>NOT(ISERROR(SEARCH("Pas ok",C8)))</formula>
    </cfRule>
  </conditionalFormatting>
  <conditionalFormatting sqref="C8">
    <cfRule type="containsText" dxfId="946" priority="51" operator="containsText" text="Calcul brouillon, odg">
      <formula>NOT(ISERROR(SEARCH("Calcul brouillon, odg",C8)))</formula>
    </cfRule>
  </conditionalFormatting>
  <conditionalFormatting sqref="C12">
    <cfRule type="containsText" dxfId="945" priority="10" operator="containsText" text="Calcul validé">
      <formula>NOT(ISERROR(SEARCH("Calcul validé",C12)))</formula>
    </cfRule>
  </conditionalFormatting>
  <conditionalFormatting sqref="C12">
    <cfRule type="containsText" dxfId="944" priority="9" operator="containsText" text="Bon ordre de grandeur">
      <formula>NOT(ISERROR(SEARCH("Bon ordre de grandeur",C12)))</formula>
    </cfRule>
  </conditionalFormatting>
  <conditionalFormatting sqref="C12">
    <cfRule type="containsText" dxfId="943" priority="8" operator="containsText" text="Calcul brouillon, ordre de grandeur">
      <formula>NOT(ISERROR(SEARCH("Calcul brouillon, ordre de grandeur",C12)))</formula>
    </cfRule>
  </conditionalFormatting>
  <conditionalFormatting sqref="C12">
    <cfRule type="containsText" dxfId="942" priority="7" operator="containsText" text="Pas ok">
      <formula>NOT(ISERROR(SEARCH("Pas ok",C12)))</formula>
    </cfRule>
  </conditionalFormatting>
  <conditionalFormatting sqref="C12">
    <cfRule type="containsText" dxfId="941" priority="6" operator="containsText" text="Calcul validé">
      <formula>NOT(ISERROR(SEARCH("Calcul validé",C12)))</formula>
    </cfRule>
  </conditionalFormatting>
  <conditionalFormatting sqref="C12">
    <cfRule type="containsText" dxfId="940" priority="5" operator="containsText" text="Calcul validé">
      <formula>NOT(ISERROR(SEARCH("Calcul validé",C12)))</formula>
    </cfRule>
  </conditionalFormatting>
  <conditionalFormatting sqref="C12">
    <cfRule type="containsText" dxfId="939" priority="4" operator="containsText" text="Bon ordre de grandeur">
      <formula>NOT(ISERROR(SEARCH("Bon ordre de grandeur",C12)))</formula>
    </cfRule>
  </conditionalFormatting>
  <conditionalFormatting sqref="C12">
    <cfRule type="containsText" dxfId="938" priority="3" operator="containsText" text="Calcul brouillon, ordre de grandeur">
      <formula>NOT(ISERROR(SEARCH("Calcul brouillon, ordre de grandeur",C12)))</formula>
    </cfRule>
  </conditionalFormatting>
  <conditionalFormatting sqref="C12">
    <cfRule type="containsText" dxfId="937" priority="2" operator="containsText" text="Pas ok">
      <formula>NOT(ISERROR(SEARCH("Pas ok",C12)))</formula>
    </cfRule>
  </conditionalFormatting>
  <conditionalFormatting sqref="C12:D12">
    <cfRule type="containsText" dxfId="936" priority="1" operator="containsText" text="Calcul brouillon, odg">
      <formula>NOT(ISERROR(SEARCH("Calcul brouillon, odg",C12)))</formula>
    </cfRule>
  </conditionalFormatting>
  <hyperlinks>
    <hyperlink ref="P81" r:id="rId1" xr:uid="{00000000-0004-0000-0300-000000000000}"/>
    <hyperlink ref="S82" r:id="rId2" xr:uid="{00000000-0004-0000-0300-000001000000}"/>
    <hyperlink ref="P82:P85" r:id="rId3" display="(3)" xr:uid="{00000000-0004-0000-0300-000002000000}"/>
    <hyperlink ref="S83:S85" r:id="rId4" display="(4)" xr:uid="{00000000-0004-0000-0300-000003000000}"/>
  </hyperlinks>
  <pageMargins left="0.7" right="0.7" top="0.75" bottom="0.75" header="0.3" footer="0.3"/>
  <pageSetup paperSize="9" orientation="portrait"/>
  <drawing r:id="rId5"/>
  <legacyDrawing r:id="rId6"/>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'Annexe 1'!$B$5:$B$8</xm:f>
          </x14:formula1>
          <xm:sqref>C12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1">
    <tabColor rgb="FFC00000"/>
  </sheetPr>
  <dimension ref="A2:V171"/>
  <sheetViews>
    <sheetView zoomScale="70" workbookViewId="0">
      <pane ySplit="2" topLeftCell="A3" activePane="bottomLeft" state="frozen"/>
      <selection activeCell="A19" sqref="A19:XFD19"/>
      <selection pane="bottomLeft"/>
    </sheetView>
  </sheetViews>
  <sheetFormatPr baseColWidth="10" defaultRowHeight="14.4"/>
  <cols>
    <col min="2" max="2" width="43.109375" customWidth="1"/>
    <col min="3" max="3" width="34.44140625" customWidth="1"/>
    <col min="4" max="4" width="25.44140625" customWidth="1"/>
    <col min="5" max="5" width="31.44140625" customWidth="1"/>
    <col min="13" max="13" width="27.44140625" customWidth="1"/>
    <col min="14" max="14" width="26.109375" customWidth="1"/>
    <col min="15" max="15" width="23.44140625" customWidth="1"/>
    <col min="16" max="16" width="25.109375" customWidth="1"/>
    <col min="18" max="18" width="19.44140625" customWidth="1"/>
    <col min="19" max="19" width="19.77734375" customWidth="1"/>
  </cols>
  <sheetData>
    <row r="2" spans="2:17" ht="18">
      <c r="B2" s="57" t="s">
        <v>32</v>
      </c>
    </row>
    <row r="5" spans="2:17">
      <c r="B5" s="1297" t="s">
        <v>90</v>
      </c>
      <c r="C5" s="1298"/>
      <c r="D5" s="1299"/>
      <c r="F5" s="1300" t="s">
        <v>63</v>
      </c>
      <c r="G5" s="1301"/>
      <c r="H5" s="1301"/>
      <c r="I5" s="1301"/>
      <c r="J5" s="1301"/>
      <c r="K5" s="1301"/>
      <c r="L5" s="1301"/>
      <c r="M5" s="1301"/>
      <c r="N5" s="1301"/>
      <c r="O5" s="1301"/>
      <c r="P5" s="1301"/>
      <c r="Q5" s="1302"/>
    </row>
    <row r="6" spans="2:17" ht="45" customHeight="1">
      <c r="B6" s="58" t="s">
        <v>64</v>
      </c>
      <c r="C6" s="265">
        <f>C11</f>
        <v>0.81457492614674787</v>
      </c>
      <c r="D6" s="266" t="s">
        <v>65</v>
      </c>
      <c r="F6" s="1303" t="s">
        <v>66</v>
      </c>
      <c r="G6" s="1304"/>
      <c r="H6" s="1305" t="s">
        <v>257</v>
      </c>
      <c r="I6" s="1306"/>
      <c r="J6" s="1306"/>
      <c r="K6" s="1306"/>
      <c r="L6" s="1306"/>
      <c r="M6" s="1306"/>
      <c r="N6" s="1306"/>
      <c r="O6" s="1306"/>
      <c r="P6" s="1306"/>
      <c r="Q6" s="1307"/>
    </row>
    <row r="7" spans="2:17" ht="29.25" customHeight="1">
      <c r="B7" s="61" t="s">
        <v>68</v>
      </c>
      <c r="C7" s="1287" t="str">
        <f>C10</f>
        <v>v1.0.g</v>
      </c>
      <c r="D7" s="1288"/>
      <c r="F7" s="1308" t="s">
        <v>69</v>
      </c>
      <c r="G7" s="1309"/>
      <c r="H7" s="1312" t="s">
        <v>258</v>
      </c>
      <c r="I7" s="1313"/>
      <c r="J7" s="1313"/>
      <c r="K7" s="1313"/>
      <c r="L7" s="1313"/>
      <c r="M7" s="1313"/>
      <c r="N7" s="1313"/>
      <c r="O7" s="1313"/>
      <c r="P7" s="1313"/>
      <c r="Q7" s="1314"/>
    </row>
    <row r="8" spans="2:17">
      <c r="B8" s="63" t="s">
        <v>28</v>
      </c>
      <c r="C8" s="1333" t="str">
        <f>C12</f>
        <v>Bon ordre de grandeur</v>
      </c>
      <c r="D8" s="1334"/>
      <c r="F8" s="1310"/>
      <c r="G8" s="1311"/>
      <c r="H8" s="1315"/>
      <c r="I8" s="1316"/>
      <c r="J8" s="1316"/>
      <c r="K8" s="1316"/>
      <c r="L8" s="1316"/>
      <c r="M8" s="1316"/>
      <c r="N8" s="1316"/>
      <c r="O8" s="1316"/>
      <c r="P8" s="1316"/>
      <c r="Q8" s="1317"/>
    </row>
    <row r="10" spans="2:17">
      <c r="B10" s="64" t="s">
        <v>93</v>
      </c>
      <c r="C10" s="1287" t="s">
        <v>259</v>
      </c>
      <c r="D10" s="1288"/>
      <c r="E10" s="65"/>
      <c r="F10" s="65"/>
      <c r="G10" s="65"/>
      <c r="H10" s="65"/>
      <c r="I10" s="65"/>
      <c r="J10" s="65"/>
      <c r="K10" s="65"/>
      <c r="L10" s="65"/>
      <c r="M10" s="65"/>
      <c r="N10" s="65"/>
      <c r="O10" s="65"/>
      <c r="P10" s="65"/>
      <c r="Q10" s="66"/>
    </row>
    <row r="11" spans="2:17">
      <c r="B11" s="67" t="s">
        <v>95</v>
      </c>
      <c r="C11" s="68">
        <f>C167</f>
        <v>0.81457492614674787</v>
      </c>
      <c r="D11" s="69" t="s">
        <v>96</v>
      </c>
      <c r="E11" s="70"/>
      <c r="F11" s="70"/>
      <c r="G11" s="70"/>
      <c r="H11" s="70"/>
      <c r="I11" s="70"/>
      <c r="J11" s="70"/>
      <c r="K11" s="70"/>
      <c r="L11" s="70"/>
      <c r="M11" s="70"/>
      <c r="N11" s="70"/>
      <c r="O11" s="70"/>
      <c r="P11" s="70"/>
      <c r="Q11" s="71"/>
    </row>
    <row r="12" spans="2:17">
      <c r="B12" s="72" t="s">
        <v>97</v>
      </c>
      <c r="C12" s="1289" t="s">
        <v>98</v>
      </c>
      <c r="D12" s="1290"/>
      <c r="E12" s="70"/>
      <c r="F12" s="70"/>
      <c r="G12" s="70"/>
      <c r="H12" s="70"/>
      <c r="I12" s="70"/>
      <c r="J12" s="70"/>
      <c r="K12" s="70"/>
      <c r="L12" s="70"/>
      <c r="M12" s="70"/>
      <c r="N12" s="70"/>
      <c r="O12" s="70"/>
      <c r="P12" s="70"/>
      <c r="Q12" s="71"/>
    </row>
    <row r="13" spans="2:17">
      <c r="B13" s="73"/>
      <c r="C13" s="74"/>
      <c r="D13" s="74"/>
      <c r="E13" s="74"/>
      <c r="F13" s="74"/>
      <c r="G13" s="74"/>
      <c r="H13" s="74"/>
      <c r="I13" s="74"/>
      <c r="J13" s="74"/>
      <c r="K13" s="74"/>
      <c r="L13" s="74"/>
      <c r="M13" s="74"/>
      <c r="N13" s="74"/>
      <c r="O13" s="74"/>
      <c r="P13" s="74"/>
      <c r="Q13" s="75"/>
    </row>
    <row r="14" spans="2:17">
      <c r="B14" s="1291" t="s">
        <v>71</v>
      </c>
      <c r="C14" s="1292"/>
      <c r="D14" s="1292"/>
      <c r="E14" s="1292"/>
      <c r="F14" s="1292"/>
      <c r="G14" s="1292"/>
      <c r="H14" s="1292"/>
      <c r="I14" s="1292"/>
      <c r="J14" s="1292"/>
      <c r="K14" s="1292"/>
      <c r="L14" s="1292"/>
      <c r="M14" s="1292"/>
      <c r="N14" s="1292"/>
      <c r="O14" s="1292"/>
      <c r="P14" s="1292"/>
      <c r="Q14" s="1293"/>
    </row>
    <row r="15" spans="2:17" ht="37.5" customHeight="1">
      <c r="B15" s="76" t="s">
        <v>72</v>
      </c>
      <c r="C15" s="1320" t="s">
        <v>260</v>
      </c>
      <c r="D15" s="1321"/>
      <c r="E15" s="1321"/>
      <c r="F15" s="1321"/>
      <c r="G15" s="1321"/>
      <c r="H15" s="1321"/>
      <c r="I15" s="1321"/>
      <c r="J15" s="1321"/>
      <c r="K15" s="1321"/>
      <c r="L15" s="1321"/>
      <c r="M15" s="1321"/>
      <c r="N15" s="1321"/>
      <c r="O15" s="1321"/>
      <c r="P15" s="1321"/>
      <c r="Q15" s="1322"/>
    </row>
    <row r="16" spans="2:17" ht="66" customHeight="1">
      <c r="B16" s="77" t="s">
        <v>74</v>
      </c>
      <c r="C16" s="1323" t="s">
        <v>261</v>
      </c>
      <c r="D16" s="1324"/>
      <c r="E16" s="1324"/>
      <c r="F16" s="1324"/>
      <c r="G16" s="1324"/>
      <c r="H16" s="1324"/>
      <c r="I16" s="1324"/>
      <c r="J16" s="1324"/>
      <c r="K16" s="1324"/>
      <c r="L16" s="1324"/>
      <c r="M16" s="1324"/>
      <c r="N16" s="1324"/>
      <c r="O16" s="1324"/>
      <c r="P16" s="1324"/>
      <c r="Q16" s="1325"/>
    </row>
    <row r="17" spans="2:17">
      <c r="B17" s="77" t="s">
        <v>76</v>
      </c>
      <c r="C17" s="1323" t="s">
        <v>262</v>
      </c>
      <c r="D17" s="1324"/>
      <c r="E17" s="1324"/>
      <c r="F17" s="1324"/>
      <c r="G17" s="1324"/>
      <c r="H17" s="1324"/>
      <c r="I17" s="1324"/>
      <c r="J17" s="1324"/>
      <c r="K17" s="1324"/>
      <c r="L17" s="1324"/>
      <c r="M17" s="1324"/>
      <c r="N17" s="1324"/>
      <c r="O17" s="1324"/>
      <c r="P17" s="1324"/>
      <c r="Q17" s="1325"/>
    </row>
    <row r="18" spans="2:17">
      <c r="B18" s="77" t="s">
        <v>78</v>
      </c>
      <c r="C18" s="1323"/>
      <c r="D18" s="1324"/>
      <c r="E18" s="1324"/>
      <c r="F18" s="1324"/>
      <c r="G18" s="1324"/>
      <c r="H18" s="1324"/>
      <c r="I18" s="1324"/>
      <c r="J18" s="1324"/>
      <c r="K18" s="1324"/>
      <c r="L18" s="1324"/>
      <c r="M18" s="1324"/>
      <c r="N18" s="1324"/>
      <c r="O18" s="1324"/>
      <c r="P18" s="1324"/>
      <c r="Q18" s="1325"/>
    </row>
    <row r="19" spans="2:17">
      <c r="B19" s="77" t="s">
        <v>82</v>
      </c>
      <c r="C19" s="1323"/>
      <c r="D19" s="1324"/>
      <c r="E19" s="1324"/>
      <c r="F19" s="1324"/>
      <c r="G19" s="1324"/>
      <c r="H19" s="1324"/>
      <c r="I19" s="1324"/>
      <c r="J19" s="1324"/>
      <c r="K19" s="1324"/>
      <c r="L19" s="1324"/>
      <c r="M19" s="1324"/>
      <c r="N19" s="1324"/>
      <c r="O19" s="1324"/>
      <c r="P19" s="1324"/>
      <c r="Q19" s="1325"/>
    </row>
    <row r="20" spans="2:17">
      <c r="B20" s="77" t="s">
        <v>84</v>
      </c>
      <c r="C20" s="1323" t="s">
        <v>103</v>
      </c>
      <c r="D20" s="1324"/>
      <c r="E20" s="1324"/>
      <c r="F20" s="1324"/>
      <c r="G20" s="1324"/>
      <c r="H20" s="1324"/>
      <c r="I20" s="1324"/>
      <c r="J20" s="1324"/>
      <c r="K20" s="1324"/>
      <c r="L20" s="1324"/>
      <c r="M20" s="1324"/>
      <c r="N20" s="1324"/>
      <c r="O20" s="1324"/>
      <c r="P20" s="1324"/>
      <c r="Q20" s="1325"/>
    </row>
    <row r="21" spans="2:17">
      <c r="B21" s="77" t="s">
        <v>86</v>
      </c>
      <c r="C21" s="1323" t="s">
        <v>263</v>
      </c>
      <c r="D21" s="1324"/>
      <c r="E21" s="1324"/>
      <c r="F21" s="1324"/>
      <c r="G21" s="1324"/>
      <c r="H21" s="1324"/>
      <c r="I21" s="1324"/>
      <c r="J21" s="1324"/>
      <c r="K21" s="1324"/>
      <c r="L21" s="1324"/>
      <c r="M21" s="1324"/>
      <c r="N21" s="1324"/>
      <c r="O21" s="1324"/>
      <c r="P21" s="1324"/>
      <c r="Q21" s="1325"/>
    </row>
    <row r="22" spans="2:17">
      <c r="B22" s="79" t="s">
        <v>88</v>
      </c>
      <c r="C22" s="1326">
        <v>44942</v>
      </c>
      <c r="D22" s="1327"/>
      <c r="E22" s="1327"/>
      <c r="F22" s="1327"/>
      <c r="G22" s="1327"/>
      <c r="H22" s="1327"/>
      <c r="I22" s="1327"/>
      <c r="J22" s="1327"/>
      <c r="K22" s="1327"/>
      <c r="L22" s="1327"/>
      <c r="M22" s="1327"/>
      <c r="N22" s="1327"/>
      <c r="O22" s="1327"/>
      <c r="P22" s="1327"/>
      <c r="Q22" s="1328"/>
    </row>
    <row r="25" spans="2:17">
      <c r="B25" s="80"/>
      <c r="C25" s="80"/>
      <c r="D25" s="81"/>
      <c r="E25" s="81"/>
      <c r="F25" s="81"/>
      <c r="G25" s="81"/>
      <c r="H25" s="81"/>
      <c r="I25" s="81"/>
      <c r="J25" s="81"/>
      <c r="K25" s="81"/>
      <c r="L25" s="81"/>
      <c r="M25" s="81"/>
      <c r="N25" s="81"/>
      <c r="O25" s="81"/>
      <c r="P25" s="81"/>
      <c r="Q25" s="81"/>
    </row>
    <row r="26" spans="2:17">
      <c r="B26" s="82" t="s">
        <v>104</v>
      </c>
      <c r="C26" s="80"/>
      <c r="J26" s="81"/>
      <c r="K26" s="81"/>
      <c r="L26" s="81"/>
      <c r="M26" s="81"/>
      <c r="N26" s="81"/>
      <c r="O26" s="81"/>
      <c r="P26" s="81"/>
      <c r="Q26" s="81"/>
    </row>
    <row r="27" spans="2:17" ht="15" customHeight="1">
      <c r="B27" s="82"/>
      <c r="C27" s="80"/>
      <c r="P27" s="81"/>
      <c r="Q27" s="81"/>
    </row>
    <row r="28" spans="2:17" s="78" customFormat="1" ht="28.8">
      <c r="B28" s="83"/>
      <c r="C28" s="84" t="s">
        <v>264</v>
      </c>
      <c r="F28" s="1329" t="s">
        <v>265</v>
      </c>
      <c r="G28" s="1285"/>
      <c r="H28" s="1285"/>
      <c r="I28" s="1285"/>
      <c r="J28" s="1285"/>
      <c r="K28" s="1286"/>
    </row>
    <row r="29" spans="2:17" ht="43.2">
      <c r="B29" s="87" t="s">
        <v>112</v>
      </c>
      <c r="C29" s="88">
        <f>$C144*($C88/$C$94)</f>
        <v>1.251523985785748E-2</v>
      </c>
      <c r="E29" s="267"/>
      <c r="F29" s="268" t="s">
        <v>136</v>
      </c>
      <c r="G29" s="85" t="s">
        <v>145</v>
      </c>
      <c r="H29" s="85" t="s">
        <v>266</v>
      </c>
      <c r="I29" s="85" t="s">
        <v>267</v>
      </c>
      <c r="J29" s="85" t="s">
        <v>268</v>
      </c>
      <c r="K29" s="269" t="s">
        <v>153</v>
      </c>
    </row>
    <row r="30" spans="2:17">
      <c r="B30" s="87" t="s">
        <v>113</v>
      </c>
      <c r="C30" s="88">
        <f>$K$76*($C89/($C$94))</f>
        <v>0.10853561179028866</v>
      </c>
      <c r="E30" s="270" t="s">
        <v>113</v>
      </c>
      <c r="F30" s="110">
        <f>$D$69*($C89/($C$94))</f>
        <v>203.48171299639208</v>
      </c>
      <c r="G30" s="110">
        <f t="shared" ref="G30:G31" si="0">$D$70*($C89/($C$95))</f>
        <v>157.74960768216869</v>
      </c>
      <c r="H30" s="110">
        <f t="shared" ref="H30:H31" si="1">$D$71*($C89/($C$95))</f>
        <v>102.94338093192972</v>
      </c>
      <c r="I30" s="110">
        <f t="shared" ref="I30:I31" si="2">$D$72*($C89/($C$95))</f>
        <v>488.13583660158196</v>
      </c>
      <c r="J30" s="110">
        <f t="shared" ref="J30:J31" si="3">$D$73*($C89/($C$95))</f>
        <v>1039.5255240570505</v>
      </c>
      <c r="K30" s="271">
        <f t="shared" ref="K30:K31" si="4">$D$74*($C89/($C$95))</f>
        <v>80.131451424789503</v>
      </c>
    </row>
    <row r="31" spans="2:17">
      <c r="B31" s="87" t="s">
        <v>114</v>
      </c>
      <c r="C31" s="88">
        <f>$K$76*($C90/$C$94)</f>
        <v>0.29416802064939873</v>
      </c>
      <c r="E31" s="87" t="s">
        <v>114</v>
      </c>
      <c r="F31" s="110">
        <f>$D$69*($C90/($C$95))</f>
        <v>614.48512038181639</v>
      </c>
      <c r="G31" s="110">
        <f t="shared" si="0"/>
        <v>427.55450570220012</v>
      </c>
      <c r="H31" s="110">
        <f t="shared" si="1"/>
        <v>279.01119372888076</v>
      </c>
      <c r="I31" s="110">
        <f t="shared" si="2"/>
        <v>1323.0123320129837</v>
      </c>
      <c r="J31" s="110">
        <f t="shared" si="3"/>
        <v>2817.4638792034966</v>
      </c>
      <c r="K31" s="271">
        <f t="shared" si="4"/>
        <v>217.18319055444724</v>
      </c>
    </row>
    <row r="32" spans="2:17">
      <c r="B32" s="87" t="s">
        <v>115</v>
      </c>
      <c r="C32" s="88">
        <f t="shared" ref="C32:C34" si="5">$C$144*($C91/($C$95))</f>
        <v>0.21502347256154683</v>
      </c>
      <c r="E32" s="92" t="s">
        <v>119</v>
      </c>
      <c r="F32" s="94">
        <f t="shared" ref="F32:K32" si="6">SUM(F30:F31)</f>
        <v>817.96683337820843</v>
      </c>
      <c r="G32" s="94">
        <f t="shared" si="6"/>
        <v>585.30411338436875</v>
      </c>
      <c r="H32" s="94">
        <f t="shared" si="6"/>
        <v>381.95457466081047</v>
      </c>
      <c r="I32" s="94">
        <f t="shared" si="6"/>
        <v>1811.1481686145657</v>
      </c>
      <c r="J32" s="94">
        <f t="shared" si="6"/>
        <v>3856.9894032605471</v>
      </c>
      <c r="K32" s="94">
        <f t="shared" si="6"/>
        <v>297.31464197923674</v>
      </c>
    </row>
    <row r="33" spans="2:17">
      <c r="B33" s="87" t="s">
        <v>116</v>
      </c>
      <c r="C33" s="88">
        <f t="shared" si="5"/>
        <v>3.7715844901629866E-2</v>
      </c>
    </row>
    <row r="34" spans="2:17">
      <c r="B34" s="87" t="s">
        <v>117</v>
      </c>
      <c r="C34" s="88">
        <f t="shared" si="5"/>
        <v>0.10052017285811801</v>
      </c>
    </row>
    <row r="35" spans="2:17">
      <c r="B35" s="90" t="s">
        <v>118</v>
      </c>
      <c r="C35" s="272">
        <f>C162</f>
        <v>4.4667334947215531E-2</v>
      </c>
    </row>
    <row r="36" spans="2:17">
      <c r="B36" s="92" t="s">
        <v>119</v>
      </c>
      <c r="C36" s="273">
        <f>SUM(C29:C34)</f>
        <v>0.76847836261883951</v>
      </c>
    </row>
    <row r="37" spans="2:17">
      <c r="B37" s="80"/>
      <c r="C37" s="80"/>
      <c r="D37" s="81"/>
      <c r="E37" s="81"/>
      <c r="F37" s="81"/>
      <c r="G37" s="81"/>
      <c r="H37" s="81"/>
      <c r="I37" s="81"/>
      <c r="J37" s="81"/>
      <c r="K37" s="81"/>
      <c r="L37" s="81"/>
    </row>
    <row r="38" spans="2:17">
      <c r="B38" s="80"/>
      <c r="C38" s="80"/>
      <c r="D38" s="81"/>
      <c r="E38" s="81"/>
      <c r="F38" s="81"/>
      <c r="G38" s="81"/>
      <c r="H38" s="81"/>
      <c r="I38" s="81"/>
      <c r="J38" s="81"/>
      <c r="K38" s="81"/>
      <c r="L38" s="81"/>
    </row>
    <row r="39" spans="2:17">
      <c r="B39" s="80"/>
      <c r="D39" s="81"/>
      <c r="E39" s="81"/>
      <c r="F39" s="81"/>
      <c r="G39" s="81"/>
      <c r="H39" s="81"/>
      <c r="I39" s="81"/>
      <c r="J39" s="81"/>
      <c r="K39" s="81"/>
      <c r="L39" s="81"/>
      <c r="M39" s="81"/>
      <c r="N39" s="81"/>
      <c r="O39" s="81"/>
      <c r="P39" s="81"/>
      <c r="Q39" s="81"/>
    </row>
    <row r="40" spans="2:17">
      <c r="B40" s="80"/>
      <c r="D40" s="81"/>
      <c r="E40" s="81"/>
      <c r="F40" s="81"/>
      <c r="G40" s="81"/>
      <c r="H40" s="96"/>
      <c r="I40" s="81"/>
      <c r="J40" s="81"/>
      <c r="K40" s="81"/>
      <c r="L40" s="81"/>
      <c r="M40" s="81"/>
      <c r="N40" s="81"/>
      <c r="O40" s="81"/>
      <c r="P40" s="81"/>
      <c r="Q40" s="81"/>
    </row>
    <row r="41" spans="2:17">
      <c r="D41" s="81"/>
      <c r="E41" s="81"/>
      <c r="F41" s="81"/>
      <c r="G41" s="81"/>
      <c r="H41" s="81"/>
      <c r="I41" s="81"/>
      <c r="J41" s="81"/>
      <c r="K41" s="81"/>
      <c r="L41" s="81"/>
      <c r="M41" s="81"/>
      <c r="N41" s="81"/>
      <c r="O41" s="81"/>
      <c r="P41" s="81"/>
      <c r="Q41" s="81"/>
    </row>
    <row r="42" spans="2:17">
      <c r="D42" s="81"/>
      <c r="E42" s="81"/>
      <c r="F42" s="81"/>
      <c r="G42" s="81"/>
      <c r="H42" s="81"/>
      <c r="I42" s="81"/>
      <c r="J42" s="81"/>
      <c r="K42" s="81"/>
      <c r="L42" s="81"/>
      <c r="M42" s="81"/>
      <c r="N42" s="81"/>
      <c r="O42" s="81"/>
      <c r="P42" s="81"/>
      <c r="Q42" s="81"/>
    </row>
    <row r="43" spans="2:17">
      <c r="D43" s="81"/>
      <c r="E43" s="81"/>
      <c r="F43" s="81"/>
      <c r="G43" s="81"/>
      <c r="H43" s="81"/>
      <c r="I43" s="81"/>
      <c r="J43" s="81"/>
      <c r="K43" s="81"/>
      <c r="L43" s="81"/>
      <c r="M43" s="81"/>
      <c r="N43" s="81"/>
      <c r="O43" s="81"/>
      <c r="P43" s="81"/>
      <c r="Q43" s="81"/>
    </row>
    <row r="44" spans="2:17">
      <c r="D44" s="81"/>
      <c r="E44" s="81"/>
      <c r="F44" s="81"/>
      <c r="G44" s="81"/>
      <c r="H44" s="81"/>
      <c r="I44" s="81"/>
      <c r="J44" s="81"/>
      <c r="K44" s="81"/>
      <c r="L44" s="81"/>
      <c r="M44" s="81"/>
      <c r="N44" s="81"/>
      <c r="O44" s="81"/>
      <c r="P44" s="81"/>
      <c r="Q44" s="81"/>
    </row>
    <row r="45" spans="2:17">
      <c r="D45" s="81"/>
      <c r="E45" s="81"/>
      <c r="F45" s="81"/>
      <c r="G45" s="81"/>
      <c r="H45" s="81"/>
      <c r="I45" s="81"/>
      <c r="J45" s="81"/>
      <c r="K45" s="81"/>
      <c r="L45" s="81"/>
      <c r="M45" s="81"/>
      <c r="N45" s="81"/>
      <c r="O45" s="81"/>
      <c r="P45" s="81"/>
      <c r="Q45" s="81"/>
    </row>
    <row r="46" spans="2:17">
      <c r="D46" s="81"/>
      <c r="E46" s="81"/>
      <c r="F46" s="81"/>
      <c r="G46" s="81"/>
      <c r="H46" s="81"/>
      <c r="I46" s="81"/>
      <c r="J46" s="81"/>
      <c r="K46" s="81"/>
      <c r="L46" s="81"/>
      <c r="M46" s="81"/>
      <c r="N46" s="81"/>
      <c r="O46" s="81"/>
      <c r="P46" s="81"/>
      <c r="Q46" s="81"/>
    </row>
    <row r="47" spans="2:17">
      <c r="D47" s="81"/>
      <c r="E47" s="81"/>
      <c r="F47" s="81"/>
      <c r="G47" s="81"/>
      <c r="H47" s="81"/>
      <c r="I47" s="81"/>
      <c r="J47" s="81"/>
      <c r="K47" s="81"/>
      <c r="L47" s="81"/>
      <c r="M47" s="81"/>
      <c r="N47" s="81"/>
      <c r="O47" s="81"/>
      <c r="P47" s="81"/>
      <c r="Q47" s="81"/>
    </row>
    <row r="48" spans="2:17">
      <c r="D48" s="81"/>
      <c r="E48" s="81"/>
      <c r="F48" s="81"/>
      <c r="G48" s="81"/>
      <c r="H48" s="81"/>
      <c r="I48" s="81"/>
      <c r="J48" s="81"/>
      <c r="K48" s="81"/>
      <c r="L48" s="81"/>
      <c r="M48" s="81"/>
      <c r="N48" s="81"/>
      <c r="O48" s="81"/>
      <c r="P48" s="81"/>
      <c r="Q48" s="81"/>
    </row>
    <row r="49" spans="1:17">
      <c r="D49" s="81"/>
      <c r="E49" s="81"/>
      <c r="F49" s="81"/>
      <c r="G49" s="81"/>
      <c r="H49" s="81"/>
      <c r="I49" s="81"/>
      <c r="J49" s="81"/>
      <c r="K49" s="81"/>
      <c r="L49" s="81"/>
      <c r="M49" s="81"/>
      <c r="N49" s="81"/>
      <c r="O49" s="81"/>
      <c r="P49" s="81"/>
      <c r="Q49" s="81"/>
    </row>
    <row r="50" spans="1:17">
      <c r="D50" s="81"/>
      <c r="E50" s="81"/>
      <c r="F50" s="81"/>
      <c r="G50" s="81"/>
      <c r="H50" s="81"/>
      <c r="I50" s="81"/>
      <c r="J50" s="81"/>
      <c r="K50" s="81"/>
      <c r="L50" s="81"/>
      <c r="M50" s="81"/>
      <c r="N50" s="81"/>
      <c r="O50" s="81"/>
      <c r="P50" s="81"/>
      <c r="Q50" s="81"/>
    </row>
    <row r="59" spans="1:17">
      <c r="A59" s="97"/>
      <c r="B59" s="98" t="s">
        <v>120</v>
      </c>
    </row>
    <row r="61" spans="1:17">
      <c r="B61" t="s">
        <v>121</v>
      </c>
    </row>
    <row r="63" spans="1:17">
      <c r="B63" s="99" t="s">
        <v>269</v>
      </c>
    </row>
    <row r="65" spans="2:13">
      <c r="B65" s="100" t="s">
        <v>123</v>
      </c>
    </row>
    <row r="67" spans="2:13">
      <c r="B67" t="s">
        <v>124</v>
      </c>
    </row>
    <row r="68" spans="2:13" ht="31.2">
      <c r="B68" s="274" t="s">
        <v>125</v>
      </c>
      <c r="C68" s="275" t="s">
        <v>126</v>
      </c>
      <c r="D68" s="275">
        <v>2019</v>
      </c>
      <c r="E68" s="275" t="s">
        <v>127</v>
      </c>
      <c r="F68" s="275">
        <v>2019</v>
      </c>
      <c r="G68" s="275" t="s">
        <v>127</v>
      </c>
      <c r="H68" s="275" t="s">
        <v>128</v>
      </c>
      <c r="I68" s="275" t="s">
        <v>129</v>
      </c>
      <c r="J68" s="275" t="s">
        <v>130</v>
      </c>
      <c r="K68" s="275" t="s">
        <v>131</v>
      </c>
      <c r="L68" s="276" t="s">
        <v>132</v>
      </c>
      <c r="M68" s="97" t="s">
        <v>133</v>
      </c>
    </row>
    <row r="69" spans="2:13">
      <c r="B69" s="277" t="s">
        <v>204</v>
      </c>
      <c r="C69" s="107" t="s">
        <v>136</v>
      </c>
      <c r="D69" s="108">
        <v>754.98560893567424</v>
      </c>
      <c r="E69" s="109" t="s">
        <v>270</v>
      </c>
      <c r="F69" s="110"/>
      <c r="G69" s="110"/>
      <c r="H69" s="110">
        <v>6.0699999999999997E-2</v>
      </c>
      <c r="I69" s="110" t="s">
        <v>170</v>
      </c>
      <c r="J69" s="110" t="s">
        <v>271</v>
      </c>
      <c r="K69" s="110">
        <f t="shared" ref="K69:K74" si="7">D69*10^6*H69</f>
        <v>45827626.462395422</v>
      </c>
      <c r="L69" s="271" t="s">
        <v>141</v>
      </c>
    </row>
    <row r="70" spans="2:13">
      <c r="B70" s="277" t="s">
        <v>204</v>
      </c>
      <c r="C70" s="107" t="s">
        <v>145</v>
      </c>
      <c r="D70" s="108">
        <v>525.31377593031596</v>
      </c>
      <c r="E70" s="109" t="s">
        <v>270</v>
      </c>
      <c r="F70" s="110"/>
      <c r="G70" s="110"/>
      <c r="H70" s="110">
        <v>6.0699999999999997E-2</v>
      </c>
      <c r="I70" s="110" t="s">
        <v>170</v>
      </c>
      <c r="J70" s="110" t="s">
        <v>271</v>
      </c>
      <c r="K70" s="110">
        <f t="shared" si="7"/>
        <v>31886546.198970176</v>
      </c>
      <c r="L70" s="271" t="s">
        <v>141</v>
      </c>
    </row>
    <row r="71" spans="2:13">
      <c r="B71" s="277" t="s">
        <v>204</v>
      </c>
      <c r="C71" s="107" t="s">
        <v>148</v>
      </c>
      <c r="D71" s="108">
        <v>342.80640655119407</v>
      </c>
      <c r="E71" s="109" t="s">
        <v>270</v>
      </c>
      <c r="F71" s="110"/>
      <c r="G71" s="110"/>
      <c r="H71" s="110">
        <v>6.0699999999999997E-2</v>
      </c>
      <c r="I71" s="110" t="s">
        <v>170</v>
      </c>
      <c r="J71" s="110" t="s">
        <v>271</v>
      </c>
      <c r="K71" s="110">
        <f t="shared" si="7"/>
        <v>20808348.877657481</v>
      </c>
      <c r="L71" s="271" t="s">
        <v>141</v>
      </c>
    </row>
    <row r="72" spans="2:13">
      <c r="B72" s="277" t="s">
        <v>204</v>
      </c>
      <c r="C72" s="107" t="s">
        <v>267</v>
      </c>
      <c r="D72" s="108">
        <v>1625.5157984843966</v>
      </c>
      <c r="E72" s="109" t="s">
        <v>270</v>
      </c>
      <c r="F72" s="110"/>
      <c r="G72" s="110"/>
      <c r="H72" s="110">
        <v>6.0699999999999997E-2</v>
      </c>
      <c r="I72" s="110" t="s">
        <v>170</v>
      </c>
      <c r="J72" s="110" t="s">
        <v>271</v>
      </c>
      <c r="K72" s="110">
        <f t="shared" si="7"/>
        <v>98668808.968002856</v>
      </c>
      <c r="L72" s="271" t="s">
        <v>141</v>
      </c>
    </row>
    <row r="73" spans="2:13">
      <c r="B73" s="277" t="s">
        <v>204</v>
      </c>
      <c r="C73" s="107" t="s">
        <v>268</v>
      </c>
      <c r="D73" s="108">
        <v>3461.6699606542079</v>
      </c>
      <c r="E73" s="109" t="s">
        <v>270</v>
      </c>
      <c r="F73" s="110"/>
      <c r="G73" s="110"/>
      <c r="H73" s="110">
        <v>6.0699999999999997E-2</v>
      </c>
      <c r="I73" s="110" t="s">
        <v>170</v>
      </c>
      <c r="J73" s="110" t="s">
        <v>271</v>
      </c>
      <c r="K73" s="110">
        <f t="shared" si="7"/>
        <v>210123366.6117104</v>
      </c>
      <c r="L73" s="271" t="s">
        <v>141</v>
      </c>
    </row>
    <row r="74" spans="2:13">
      <c r="B74" s="278" t="s">
        <v>204</v>
      </c>
      <c r="C74" s="279" t="s">
        <v>153</v>
      </c>
      <c r="D74" s="280">
        <v>266.84158482056881</v>
      </c>
      <c r="E74" s="281" t="s">
        <v>270</v>
      </c>
      <c r="F74" s="120"/>
      <c r="G74" s="120"/>
      <c r="H74" s="120">
        <v>6.0699999999999997E-2</v>
      </c>
      <c r="I74" s="120" t="s">
        <v>170</v>
      </c>
      <c r="J74" s="120" t="s">
        <v>271</v>
      </c>
      <c r="K74" s="120">
        <f t="shared" si="7"/>
        <v>16197284.198608525</v>
      </c>
      <c r="L74" s="121" t="s">
        <v>141</v>
      </c>
    </row>
    <row r="75" spans="2:13">
      <c r="F75" s="98"/>
      <c r="G75" s="1330" t="s">
        <v>272</v>
      </c>
      <c r="H75" s="1331"/>
      <c r="I75" s="1331"/>
      <c r="J75" s="1332"/>
      <c r="K75" s="282">
        <f>SUM(K69:K74)-K71</f>
        <v>402703632.43968737</v>
      </c>
      <c r="L75" s="283" t="s">
        <v>141</v>
      </c>
      <c r="M75" s="284"/>
    </row>
    <row r="76" spans="2:13">
      <c r="D76" s="243"/>
      <c r="K76" s="285">
        <f>K75/10^9</f>
        <v>0.40270363243968738</v>
      </c>
      <c r="L76" s="286" t="s">
        <v>179</v>
      </c>
    </row>
    <row r="79" spans="2:13">
      <c r="B79" s="98" t="s">
        <v>273</v>
      </c>
    </row>
    <row r="80" spans="2:13">
      <c r="B80" s="98"/>
    </row>
    <row r="81" spans="2:14">
      <c r="B81" s="98" t="s">
        <v>274</v>
      </c>
    </row>
    <row r="82" spans="2:14">
      <c r="B82" s="100"/>
    </row>
    <row r="83" spans="2:14">
      <c r="B83" s="152" t="s">
        <v>192</v>
      </c>
    </row>
    <row r="84" spans="2:14">
      <c r="B84" t="s">
        <v>193</v>
      </c>
    </row>
    <row r="85" spans="2:14">
      <c r="B85" t="s">
        <v>194</v>
      </c>
    </row>
    <row r="87" spans="2:14">
      <c r="B87" s="122" t="s">
        <v>195</v>
      </c>
      <c r="C87" s="124" t="s">
        <v>196</v>
      </c>
    </row>
    <row r="88" spans="2:14">
      <c r="B88" s="153" t="s">
        <v>112</v>
      </c>
      <c r="C88" s="154">
        <f>'10.bâtiments'!D84</f>
        <v>2159100</v>
      </c>
    </row>
    <row r="89" spans="2:14">
      <c r="B89" s="153" t="s">
        <v>113</v>
      </c>
      <c r="C89" s="155">
        <f>'10.bâtiments'!C107 - '10.bâtiments'!D84</f>
        <v>17073700</v>
      </c>
    </row>
    <row r="90" spans="2:14">
      <c r="B90" s="153" t="s">
        <v>114</v>
      </c>
      <c r="C90" s="155">
        <f>'10.bâtiments'!C108</f>
        <v>46275470.800000004</v>
      </c>
    </row>
    <row r="91" spans="2:14">
      <c r="B91" s="125" t="s">
        <v>115</v>
      </c>
      <c r="C91" s="156">
        <f>'10.bâtiments'!C172</f>
        <v>33293286.27</v>
      </c>
    </row>
    <row r="92" spans="2:14">
      <c r="B92" s="157" t="s">
        <v>116</v>
      </c>
      <c r="C92" s="158">
        <f>'10.bâtiments'!C231</f>
        <v>5839755.1033200091</v>
      </c>
    </row>
    <row r="93" spans="2:14">
      <c r="B93" s="157" t="s">
        <v>117</v>
      </c>
      <c r="C93" s="158">
        <f>'10.bâtiments'!C232</f>
        <v>15564100.286387507</v>
      </c>
    </row>
    <row r="94" spans="2:14">
      <c r="B94" s="157" t="s">
        <v>197</v>
      </c>
      <c r="C94" s="158">
        <f>C89+C90</f>
        <v>63349170.800000004</v>
      </c>
    </row>
    <row r="95" spans="2:14">
      <c r="B95" s="160" t="s">
        <v>198</v>
      </c>
      <c r="C95" s="287">
        <f>C88+C91+C93+C92</f>
        <v>56856241.659707509</v>
      </c>
    </row>
    <row r="96" spans="2:14">
      <c r="M96" s="78"/>
      <c r="N96" s="78"/>
    </row>
    <row r="97" spans="2:11">
      <c r="B97" s="100" t="s">
        <v>123</v>
      </c>
    </row>
    <row r="98" spans="2:11">
      <c r="B98" s="152" t="s">
        <v>192</v>
      </c>
    </row>
    <row r="99" spans="2:11">
      <c r="B99" t="s">
        <v>199</v>
      </c>
    </row>
    <row r="100" spans="2:11">
      <c r="B100" t="s">
        <v>275</v>
      </c>
    </row>
    <row r="102" spans="2:11">
      <c r="B102" t="s">
        <v>276</v>
      </c>
      <c r="C102" s="162"/>
      <c r="D102" s="162"/>
      <c r="E102" s="163"/>
      <c r="F102" s="163"/>
      <c r="G102" s="163"/>
      <c r="H102" s="163"/>
      <c r="I102" s="163"/>
    </row>
    <row r="103" spans="2:11" ht="27.6">
      <c r="B103" s="288" t="s">
        <v>202</v>
      </c>
      <c r="C103" s="289">
        <v>1990</v>
      </c>
      <c r="D103" s="289">
        <v>1995</v>
      </c>
      <c r="E103" s="289">
        <v>2000</v>
      </c>
      <c r="F103" s="289">
        <v>2005</v>
      </c>
      <c r="G103" s="289">
        <v>2010</v>
      </c>
      <c r="H103" s="289">
        <v>2015</v>
      </c>
      <c r="I103" s="289">
        <v>2019</v>
      </c>
      <c r="J103" s="290" t="s">
        <v>203</v>
      </c>
      <c r="K103" s="97" t="s">
        <v>133</v>
      </c>
    </row>
    <row r="104" spans="2:11">
      <c r="B104" s="291" t="s">
        <v>108</v>
      </c>
      <c r="C104" s="168">
        <v>229.6356267560958</v>
      </c>
      <c r="D104" s="168">
        <v>289.33865479345792</v>
      </c>
      <c r="E104" s="168">
        <v>336.44970877330246</v>
      </c>
      <c r="F104" s="168">
        <v>380.89044036941493</v>
      </c>
      <c r="G104" s="168">
        <v>421.06416311557632</v>
      </c>
      <c r="H104" s="168">
        <v>445.69816358857673</v>
      </c>
      <c r="I104" s="168">
        <v>460.10968033353231</v>
      </c>
      <c r="J104" s="271">
        <f>I104/SUM(I104:I107)</f>
        <v>0.46058550132207932</v>
      </c>
    </row>
    <row r="105" spans="2:11">
      <c r="B105" s="291" t="s">
        <v>109</v>
      </c>
      <c r="C105" s="168">
        <v>230.61337606416075</v>
      </c>
      <c r="D105" s="168">
        <v>208.25220073926832</v>
      </c>
      <c r="E105" s="168">
        <v>203.43383570400403</v>
      </c>
      <c r="F105" s="168">
        <v>190.04457438851662</v>
      </c>
      <c r="G105" s="168">
        <v>167.60696318393644</v>
      </c>
      <c r="H105" s="168">
        <v>149.10998202578946</v>
      </c>
      <c r="I105" s="168">
        <v>147.52451777974488</v>
      </c>
      <c r="J105" s="271">
        <f>I105/SUM(I104:I107)</f>
        <v>0.14767707979894429</v>
      </c>
    </row>
    <row r="106" spans="2:11">
      <c r="B106" s="291" t="s">
        <v>111</v>
      </c>
      <c r="C106" s="168">
        <v>75.01269585467486</v>
      </c>
      <c r="D106" s="168">
        <v>80.438824950418081</v>
      </c>
      <c r="E106" s="168">
        <v>84.925528893672961</v>
      </c>
      <c r="F106" s="168">
        <v>87.949250269454765</v>
      </c>
      <c r="G106" s="168">
        <v>92.600417725870287</v>
      </c>
      <c r="H106" s="168">
        <v>96.550992924510098</v>
      </c>
      <c r="I106" s="168">
        <v>100.09122409738616</v>
      </c>
      <c r="J106" s="271">
        <f>I106/SUM(I104:I107)</f>
        <v>0.10019473312410426</v>
      </c>
    </row>
    <row r="107" spans="2:11">
      <c r="B107" s="291" t="s">
        <v>204</v>
      </c>
      <c r="C107" s="168">
        <v>127.54868140350177</v>
      </c>
      <c r="D107" s="168">
        <v>154.80306245298658</v>
      </c>
      <c r="E107" s="168">
        <v>175.28204049776733</v>
      </c>
      <c r="F107" s="168">
        <v>201.21854653957649</v>
      </c>
      <c r="G107" s="168">
        <v>239.22452624132072</v>
      </c>
      <c r="H107" s="168">
        <v>272.31578294002134</v>
      </c>
      <c r="I107" s="168">
        <v>291.24149926823412</v>
      </c>
      <c r="J107" s="271">
        <f>I107/SUM(I104:I107)</f>
        <v>0.29154268575487202</v>
      </c>
    </row>
    <row r="108" spans="2:11">
      <c r="B108" s="292" t="s">
        <v>205</v>
      </c>
      <c r="C108" s="293">
        <v>662.81038007843324</v>
      </c>
      <c r="D108" s="293">
        <v>732.8327429361309</v>
      </c>
      <c r="E108" s="293">
        <v>800.09111386874679</v>
      </c>
      <c r="F108" s="293">
        <v>860.10281156696283</v>
      </c>
      <c r="G108" s="293">
        <v>920.49607026670378</v>
      </c>
      <c r="H108" s="293">
        <v>963.67492147889755</v>
      </c>
      <c r="I108" s="293">
        <v>998.96692147889803</v>
      </c>
      <c r="J108" s="121">
        <f>SUM(J104:J107)</f>
        <v>0.99999999999999978</v>
      </c>
    </row>
    <row r="109" spans="2:11">
      <c r="E109" s="163"/>
      <c r="F109" s="163"/>
      <c r="G109" s="163"/>
      <c r="H109" s="163"/>
      <c r="I109" s="173"/>
    </row>
    <row r="110" spans="2:11">
      <c r="B110" s="294" t="s">
        <v>206</v>
      </c>
    </row>
    <row r="111" spans="2:11">
      <c r="B111" s="179"/>
    </row>
    <row r="112" spans="2:11">
      <c r="B112" s="164" t="s">
        <v>202</v>
      </c>
      <c r="C112" s="166" t="s">
        <v>207</v>
      </c>
    </row>
    <row r="113" spans="2:5">
      <c r="B113" s="167" t="s">
        <v>108</v>
      </c>
      <c r="C113" s="175">
        <f>C95*J104</f>
        <v>26187160.568125673</v>
      </c>
    </row>
    <row r="114" spans="2:5">
      <c r="B114" s="167" t="s">
        <v>109</v>
      </c>
      <c r="C114" s="175">
        <f>C95*J105</f>
        <v>8396363.7366486862</v>
      </c>
    </row>
    <row r="115" spans="2:5">
      <c r="B115" s="167" t="s">
        <v>111</v>
      </c>
      <c r="C115" s="175">
        <f>C95*J106</f>
        <v>5696695.9595339727</v>
      </c>
    </row>
    <row r="116" spans="2:5">
      <c r="B116" s="169" t="s">
        <v>204</v>
      </c>
      <c r="C116" s="177">
        <f>C95*J107</f>
        <v>16576021.39539917</v>
      </c>
    </row>
    <row r="117" spans="2:5">
      <c r="B117" s="178"/>
      <c r="C117" s="178"/>
    </row>
    <row r="118" spans="2:5">
      <c r="B118" s="100" t="s">
        <v>123</v>
      </c>
      <c r="C118" s="172"/>
      <c r="D118" s="163"/>
    </row>
    <row r="119" spans="2:5">
      <c r="B119" s="294" t="s">
        <v>277</v>
      </c>
    </row>
    <row r="120" spans="2:5">
      <c r="E120" t="s">
        <v>278</v>
      </c>
    </row>
    <row r="121" spans="2:5">
      <c r="B121" s="295" t="s">
        <v>279</v>
      </c>
      <c r="C121" s="296" t="s">
        <v>268</v>
      </c>
      <c r="D121" s="296" t="s">
        <v>280</v>
      </c>
      <c r="E121" s="297"/>
    </row>
    <row r="122" spans="2:5">
      <c r="B122" s="298"/>
      <c r="C122" s="299" t="s">
        <v>281</v>
      </c>
      <c r="D122" s="299" t="s">
        <v>281</v>
      </c>
      <c r="E122" s="300" t="s">
        <v>214</v>
      </c>
    </row>
    <row r="123" spans="2:5">
      <c r="B123" s="301" t="s">
        <v>282</v>
      </c>
      <c r="C123" s="302">
        <v>121</v>
      </c>
      <c r="D123" s="302">
        <v>283</v>
      </c>
      <c r="E123" s="303">
        <v>0.3</v>
      </c>
    </row>
    <row r="124" spans="2:5">
      <c r="B124" s="304" t="s">
        <v>283</v>
      </c>
      <c r="C124" s="305">
        <v>67</v>
      </c>
      <c r="D124" s="305">
        <v>221</v>
      </c>
      <c r="E124" s="306">
        <v>0.3</v>
      </c>
    </row>
    <row r="125" spans="2:5">
      <c r="B125" s="307" t="s">
        <v>284</v>
      </c>
      <c r="C125" s="308">
        <v>83</v>
      </c>
      <c r="D125" s="308">
        <v>222</v>
      </c>
      <c r="E125" s="309">
        <v>0.3</v>
      </c>
    </row>
    <row r="127" spans="2:5">
      <c r="B127" t="s">
        <v>285</v>
      </c>
    </row>
    <row r="129" spans="2:22">
      <c r="B129" s="310" t="s">
        <v>286</v>
      </c>
      <c r="C129" s="311">
        <f>D124*C116+SUM(C113:C115)*C124</f>
        <v>6362075486.0918751</v>
      </c>
      <c r="D129" s="264" t="s">
        <v>287</v>
      </c>
    </row>
    <row r="130" spans="2:22">
      <c r="B130" s="178"/>
    </row>
    <row r="131" spans="2:22">
      <c r="B131" s="178"/>
    </row>
    <row r="132" spans="2:22">
      <c r="B132" s="312" t="s">
        <v>288</v>
      </c>
      <c r="C132" s="313" t="s">
        <v>129</v>
      </c>
      <c r="D132" s="314" t="s">
        <v>130</v>
      </c>
      <c r="E132" s="99"/>
      <c r="F132" s="99"/>
      <c r="G132" s="99"/>
      <c r="H132" s="99"/>
      <c r="I132" s="99"/>
    </row>
    <row r="133" spans="2:22" ht="47.25" customHeight="1">
      <c r="B133" s="315">
        <v>6.0699999999999997E-2</v>
      </c>
      <c r="C133" s="222" t="s">
        <v>170</v>
      </c>
      <c r="D133" s="316" t="s">
        <v>289</v>
      </c>
      <c r="E133" s="99"/>
      <c r="F133" s="99"/>
    </row>
    <row r="135" spans="2:22">
      <c r="B135" s="100" t="s">
        <v>123</v>
      </c>
    </row>
    <row r="137" spans="2:22">
      <c r="B137" t="s">
        <v>236</v>
      </c>
    </row>
    <row r="139" spans="2:22">
      <c r="B139" s="317" t="s">
        <v>290</v>
      </c>
      <c r="C139" s="311">
        <f>C129*B133/10^9</f>
        <v>0.3861779820057768</v>
      </c>
      <c r="D139" s="264" t="s">
        <v>243</v>
      </c>
      <c r="H139" s="99"/>
    </row>
    <row r="140" spans="2:22">
      <c r="B140" s="318"/>
      <c r="C140" s="319"/>
      <c r="D140" s="243"/>
      <c r="E140" s="244"/>
      <c r="I140" s="99"/>
      <c r="J140" s="99"/>
      <c r="O140" s="1278"/>
      <c r="P140" s="1278"/>
      <c r="Q140" s="1278"/>
      <c r="R140" s="1278"/>
      <c r="S140" s="1278"/>
      <c r="T140" s="1278"/>
      <c r="U140" s="1278"/>
      <c r="V140" s="1278"/>
    </row>
    <row r="141" spans="2:22">
      <c r="B141" t="s">
        <v>291</v>
      </c>
      <c r="H141" s="1266"/>
      <c r="I141" s="1266"/>
      <c r="J141" s="1266"/>
    </row>
    <row r="142" spans="2:22">
      <c r="H142" s="145"/>
      <c r="I142" s="145"/>
      <c r="J142" s="145"/>
    </row>
    <row r="143" spans="2:22">
      <c r="B143" s="112" t="s">
        <v>292</v>
      </c>
      <c r="C143" s="320">
        <f>D71/SUM(D69:D74)</f>
        <v>4.913284581213636E-2</v>
      </c>
      <c r="H143" s="145"/>
      <c r="I143" s="145"/>
      <c r="J143" s="145"/>
    </row>
    <row r="144" spans="2:22">
      <c r="B144" s="119" t="s">
        <v>293</v>
      </c>
      <c r="C144" s="121">
        <f>C139*(1-C143)</f>
        <v>0.36720395875984496</v>
      </c>
      <c r="H144" s="145"/>
      <c r="I144" s="145"/>
      <c r="J144" s="145"/>
    </row>
    <row r="145" spans="2:14">
      <c r="H145" s="145"/>
      <c r="I145" s="145"/>
      <c r="J145" s="145"/>
    </row>
    <row r="146" spans="2:14">
      <c r="B146" s="98" t="s">
        <v>244</v>
      </c>
      <c r="N146" s="253"/>
    </row>
    <row r="147" spans="2:14">
      <c r="B147" s="178"/>
      <c r="N147" s="253"/>
    </row>
    <row r="148" spans="2:14">
      <c r="B148" s="234" t="s">
        <v>123</v>
      </c>
      <c r="N148" s="253"/>
    </row>
    <row r="149" spans="2:14">
      <c r="B149" t="s">
        <v>245</v>
      </c>
      <c r="N149" s="253"/>
    </row>
    <row r="150" spans="2:14">
      <c r="N150" s="253"/>
    </row>
    <row r="151" spans="2:14">
      <c r="D151" s="254" t="s">
        <v>129</v>
      </c>
      <c r="E151" s="255" t="s">
        <v>130</v>
      </c>
      <c r="N151" s="253"/>
    </row>
    <row r="152" spans="2:14">
      <c r="B152" s="215" t="s">
        <v>294</v>
      </c>
      <c r="C152" s="256">
        <f>1.17 + 0.62</f>
        <v>1.79</v>
      </c>
      <c r="D152" s="110" t="s">
        <v>96</v>
      </c>
      <c r="E152" s="257" t="s">
        <v>172</v>
      </c>
      <c r="N152" s="253"/>
    </row>
    <row r="153" spans="2:14">
      <c r="B153" s="119" t="s">
        <v>248</v>
      </c>
      <c r="C153" s="120">
        <f>5951793</f>
        <v>5951793</v>
      </c>
      <c r="D153" s="120"/>
      <c r="E153" s="258" t="s">
        <v>172</v>
      </c>
      <c r="N153" s="253"/>
    </row>
    <row r="154" spans="2:14">
      <c r="N154" s="253"/>
    </row>
    <row r="155" spans="2:14">
      <c r="B155" s="321" t="s">
        <v>295</v>
      </c>
      <c r="N155" s="253"/>
    </row>
    <row r="156" spans="2:14" s="78" customFormat="1">
      <c r="B156" t="s">
        <v>250</v>
      </c>
    </row>
    <row r="157" spans="2:14" s="78" customFormat="1">
      <c r="B157" s="215"/>
      <c r="C157" s="217" t="s">
        <v>251</v>
      </c>
    </row>
    <row r="158" spans="2:14">
      <c r="B158" s="218" t="s">
        <v>252</v>
      </c>
      <c r="C158" s="260">
        <f>'Annexe 2'!C5</f>
        <v>98433.71</v>
      </c>
    </row>
    <row r="159" spans="2:14">
      <c r="B159" s="261" t="s">
        <v>253</v>
      </c>
      <c r="C159" s="260">
        <f>'Annexe 2'!C6</f>
        <v>50086.251713683101</v>
      </c>
    </row>
    <row r="160" spans="2:14">
      <c r="H160" s="98"/>
      <c r="I160" s="98"/>
      <c r="J160" s="98"/>
    </row>
    <row r="161" spans="2:12">
      <c r="H161" s="98"/>
      <c r="I161" s="98"/>
      <c r="J161" s="98"/>
    </row>
    <row r="162" spans="2:12" ht="28.8">
      <c r="B162" s="262" t="s">
        <v>254</v>
      </c>
      <c r="C162" s="263">
        <f>C152*(C158+C159)/C153</f>
        <v>4.4667334947215531E-2</v>
      </c>
      <c r="D162" s="264" t="s">
        <v>96</v>
      </c>
      <c r="H162" s="98"/>
      <c r="I162" s="98"/>
      <c r="J162" s="98"/>
    </row>
    <row r="163" spans="2:12">
      <c r="B163" s="98"/>
      <c r="K163" s="98"/>
      <c r="L163" s="98"/>
    </row>
    <row r="164" spans="2:12">
      <c r="B164" s="98"/>
      <c r="K164" s="98"/>
      <c r="L164" s="98"/>
    </row>
    <row r="165" spans="2:12">
      <c r="B165" s="98" t="s">
        <v>255</v>
      </c>
      <c r="K165" s="98"/>
      <c r="L165" s="98"/>
    </row>
    <row r="166" spans="2:12">
      <c r="B166" t="s">
        <v>188</v>
      </c>
    </row>
    <row r="167" spans="2:12">
      <c r="B167" s="322" t="s">
        <v>296</v>
      </c>
      <c r="C167" s="323">
        <f>C144+K76+C162</f>
        <v>0.81457492614674787</v>
      </c>
      <c r="D167" s="324" t="s">
        <v>243</v>
      </c>
      <c r="K167" s="98"/>
      <c r="L167" s="98"/>
    </row>
    <row r="171" spans="2:12" ht="29.25" customHeight="1"/>
  </sheetData>
  <mergeCells count="23">
    <mergeCell ref="C10:D10"/>
    <mergeCell ref="B5:D5"/>
    <mergeCell ref="F5:Q5"/>
    <mergeCell ref="F6:G6"/>
    <mergeCell ref="H6:Q6"/>
    <mergeCell ref="C7:D7"/>
    <mergeCell ref="F7:G8"/>
    <mergeCell ref="H7:Q8"/>
    <mergeCell ref="C8:D8"/>
    <mergeCell ref="H141:J141"/>
    <mergeCell ref="C12:D12"/>
    <mergeCell ref="B14:Q14"/>
    <mergeCell ref="C15:Q15"/>
    <mergeCell ref="C16:Q16"/>
    <mergeCell ref="C17:Q17"/>
    <mergeCell ref="C18:Q18"/>
    <mergeCell ref="C19:Q19"/>
    <mergeCell ref="C20:Q20"/>
    <mergeCell ref="C21:Q21"/>
    <mergeCell ref="C22:Q22"/>
    <mergeCell ref="F28:K28"/>
    <mergeCell ref="G75:J75"/>
    <mergeCell ref="O140:V140"/>
  </mergeCells>
  <conditionalFormatting sqref="C8">
    <cfRule type="containsText" dxfId="935" priority="50" operator="containsText" text="Calcul validé">
      <formula>NOT(ISERROR(SEARCH("Calcul validé",C8)))</formula>
    </cfRule>
  </conditionalFormatting>
  <conditionalFormatting sqref="C8">
    <cfRule type="containsText" dxfId="934" priority="49" operator="containsText" text="Bon ordre de grandeur">
      <formula>NOT(ISERROR(SEARCH("Bon ordre de grandeur",C8)))</formula>
    </cfRule>
  </conditionalFormatting>
  <conditionalFormatting sqref="C8">
    <cfRule type="containsText" dxfId="933" priority="48" operator="containsText" text="Calcul brouillon, ordre de grandeur">
      <formula>NOT(ISERROR(SEARCH("Calcul brouillon, ordre de grandeur",C8)))</formula>
    </cfRule>
  </conditionalFormatting>
  <conditionalFormatting sqref="C8">
    <cfRule type="containsText" dxfId="932" priority="47" operator="containsText" text="Pas ok">
      <formula>NOT(ISERROR(SEARCH("Pas ok",C8)))</formula>
    </cfRule>
  </conditionalFormatting>
  <conditionalFormatting sqref="C8">
    <cfRule type="containsText" dxfId="931" priority="46" operator="containsText" text="Calcul validé">
      <formula>NOT(ISERROR(SEARCH("Calcul validé",C8)))</formula>
    </cfRule>
  </conditionalFormatting>
  <conditionalFormatting sqref="C8">
    <cfRule type="containsText" dxfId="930" priority="45" operator="containsText" text="Calcul validé">
      <formula>NOT(ISERROR(SEARCH("Calcul validé",C8)))</formula>
    </cfRule>
  </conditionalFormatting>
  <conditionalFormatting sqref="C8">
    <cfRule type="containsText" dxfId="929" priority="44" operator="containsText" text="Bon ordre de grandeur">
      <formula>NOT(ISERROR(SEARCH("Bon ordre de grandeur",C8)))</formula>
    </cfRule>
  </conditionalFormatting>
  <conditionalFormatting sqref="C8">
    <cfRule type="containsText" dxfId="928" priority="43" operator="containsText" text="Calcul brouillon, ordre de grandeur">
      <formula>NOT(ISERROR(SEARCH("Calcul brouillon, ordre de grandeur",C8)))</formula>
    </cfRule>
  </conditionalFormatting>
  <conditionalFormatting sqref="C8">
    <cfRule type="containsText" dxfId="927" priority="42" operator="containsText" text="Pas ok">
      <formula>NOT(ISERROR(SEARCH("Pas ok",C8)))</formula>
    </cfRule>
  </conditionalFormatting>
  <conditionalFormatting sqref="C8">
    <cfRule type="containsText" dxfId="926" priority="41" operator="containsText" text="Calcul brouillon, odg">
      <formula>NOT(ISERROR(SEARCH("Calcul brouillon, odg",C8)))</formula>
    </cfRule>
  </conditionalFormatting>
  <conditionalFormatting sqref="C12">
    <cfRule type="containsText" dxfId="925" priority="10" operator="containsText" text="Calcul validé">
      <formula>NOT(ISERROR(SEARCH("Calcul validé",C12)))</formula>
    </cfRule>
  </conditionalFormatting>
  <conditionalFormatting sqref="C12">
    <cfRule type="containsText" dxfId="924" priority="9" operator="containsText" text="Bon ordre de grandeur">
      <formula>NOT(ISERROR(SEARCH("Bon ordre de grandeur",C12)))</formula>
    </cfRule>
  </conditionalFormatting>
  <conditionalFormatting sqref="C12">
    <cfRule type="containsText" dxfId="923" priority="8" operator="containsText" text="Calcul brouillon, ordre de grandeur">
      <formula>NOT(ISERROR(SEARCH("Calcul brouillon, ordre de grandeur",C12)))</formula>
    </cfRule>
  </conditionalFormatting>
  <conditionalFormatting sqref="C12">
    <cfRule type="containsText" dxfId="922" priority="7" operator="containsText" text="Pas ok">
      <formula>NOT(ISERROR(SEARCH("Pas ok",C12)))</formula>
    </cfRule>
  </conditionalFormatting>
  <conditionalFormatting sqref="C12">
    <cfRule type="containsText" dxfId="921" priority="6" operator="containsText" text="Calcul validé">
      <formula>NOT(ISERROR(SEARCH("Calcul validé",C12)))</formula>
    </cfRule>
  </conditionalFormatting>
  <conditionalFormatting sqref="C12">
    <cfRule type="containsText" dxfId="920" priority="5" operator="containsText" text="Calcul validé">
      <formula>NOT(ISERROR(SEARCH("Calcul validé",C12)))</formula>
    </cfRule>
  </conditionalFormatting>
  <conditionalFormatting sqref="C12">
    <cfRule type="containsText" dxfId="919" priority="4" operator="containsText" text="Bon ordre de grandeur">
      <formula>NOT(ISERROR(SEARCH("Bon ordre de grandeur",C12)))</formula>
    </cfRule>
  </conditionalFormatting>
  <conditionalFormatting sqref="C12">
    <cfRule type="containsText" dxfId="918" priority="3" operator="containsText" text="Calcul brouillon, ordre de grandeur">
      <formula>NOT(ISERROR(SEARCH("Calcul brouillon, ordre de grandeur",C12)))</formula>
    </cfRule>
  </conditionalFormatting>
  <conditionalFormatting sqref="C12">
    <cfRule type="containsText" dxfId="917" priority="2" operator="containsText" text="Pas ok">
      <formula>NOT(ISERROR(SEARCH("Pas ok",C12)))</formula>
    </cfRule>
  </conditionalFormatting>
  <conditionalFormatting sqref="C12:D12">
    <cfRule type="containsText" dxfId="916" priority="1" operator="containsText" text="Calcul brouillon, odg">
      <formula>NOT(ISERROR(SEARCH("Calcul brouillon, odg",C12)))</formula>
    </cfRule>
  </conditionalFormatting>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0000000}">
          <x14:formula1>
            <xm:f>'Annexe 1'!$B$5:$B$8</xm:f>
          </x14:formula1>
          <xm:sqref>C12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2">
    <tabColor rgb="FFC00000"/>
  </sheetPr>
  <dimension ref="A2:U1375"/>
  <sheetViews>
    <sheetView zoomScale="75" workbookViewId="0">
      <pane ySplit="2" topLeftCell="A3" activePane="bottomLeft" state="frozen"/>
      <selection activeCell="C23" sqref="C15:Q23"/>
      <selection pane="bottomLeft"/>
    </sheetView>
  </sheetViews>
  <sheetFormatPr baseColWidth="10" defaultRowHeight="14.4"/>
  <cols>
    <col min="2" max="2" width="43.109375" customWidth="1"/>
    <col min="3" max="3" width="19.77734375" customWidth="1"/>
    <col min="4" max="4" width="21.44140625" customWidth="1"/>
    <col min="5" max="5" width="25.44140625" customWidth="1"/>
    <col min="6" max="6" width="18.44140625" customWidth="1"/>
    <col min="7" max="7" width="14.44140625" bestFit="1" customWidth="1"/>
    <col min="8" max="8" width="20.44140625" customWidth="1"/>
    <col min="9" max="9" width="14.44140625" bestFit="1" customWidth="1"/>
    <col min="10" max="10" width="21.44140625" customWidth="1"/>
    <col min="11" max="11" width="19.44140625" customWidth="1"/>
    <col min="12" max="12" width="17.44140625" bestFit="1" customWidth="1"/>
  </cols>
  <sheetData>
    <row r="2" spans="2:21" ht="18">
      <c r="B2" s="57" t="s">
        <v>31</v>
      </c>
    </row>
    <row r="5" spans="2:21">
      <c r="B5" s="1297" t="s">
        <v>90</v>
      </c>
      <c r="C5" s="1298"/>
      <c r="D5" s="1299"/>
      <c r="F5" s="1300" t="s">
        <v>63</v>
      </c>
      <c r="G5" s="1301"/>
      <c r="H5" s="1301"/>
      <c r="I5" s="1301"/>
      <c r="J5" s="1301"/>
      <c r="K5" s="1301"/>
      <c r="L5" s="1301"/>
      <c r="M5" s="1301"/>
      <c r="N5" s="1301"/>
      <c r="O5" s="1301"/>
      <c r="P5" s="1301"/>
      <c r="Q5" s="1302"/>
    </row>
    <row r="6" spans="2:21" ht="45" customHeight="1">
      <c r="B6" s="58" t="s">
        <v>64</v>
      </c>
      <c r="C6" s="265">
        <f>C11</f>
        <v>0.16533735625222309</v>
      </c>
      <c r="D6" s="266" t="s">
        <v>65</v>
      </c>
      <c r="F6" s="1303" t="s">
        <v>66</v>
      </c>
      <c r="G6" s="1304"/>
      <c r="H6" s="1305" t="s">
        <v>297</v>
      </c>
      <c r="I6" s="1306"/>
      <c r="J6" s="1306"/>
      <c r="K6" s="1306"/>
      <c r="L6" s="1306"/>
      <c r="M6" s="1306"/>
      <c r="N6" s="1306"/>
      <c r="O6" s="1306"/>
      <c r="P6" s="1306"/>
      <c r="Q6" s="1307"/>
    </row>
    <row r="7" spans="2:21" ht="29.25" customHeight="1">
      <c r="B7" s="61" t="s">
        <v>68</v>
      </c>
      <c r="C7" s="1287" t="str">
        <f>C10</f>
        <v>v1.0.g</v>
      </c>
      <c r="D7" s="1288"/>
      <c r="F7" s="1308" t="s">
        <v>69</v>
      </c>
      <c r="G7" s="1309"/>
      <c r="H7" s="1312" t="s">
        <v>298</v>
      </c>
      <c r="I7" s="1313"/>
      <c r="J7" s="1313"/>
      <c r="K7" s="1313"/>
      <c r="L7" s="1313"/>
      <c r="M7" s="1313"/>
      <c r="N7" s="1313"/>
      <c r="O7" s="1313"/>
      <c r="P7" s="1313"/>
      <c r="Q7" s="1314"/>
    </row>
    <row r="8" spans="2:21">
      <c r="B8" s="63" t="s">
        <v>28</v>
      </c>
      <c r="C8" s="1333">
        <f>C552</f>
        <v>0</v>
      </c>
      <c r="D8" s="1334"/>
      <c r="F8" s="1310"/>
      <c r="G8" s="1311"/>
      <c r="H8" s="1315"/>
      <c r="I8" s="1316"/>
      <c r="J8" s="1316"/>
      <c r="K8" s="1316"/>
      <c r="L8" s="1316"/>
      <c r="M8" s="1316"/>
      <c r="N8" s="1316"/>
      <c r="O8" s="1316"/>
      <c r="P8" s="1316"/>
      <c r="Q8" s="1317"/>
    </row>
    <row r="10" spans="2:21">
      <c r="B10" s="64" t="s">
        <v>93</v>
      </c>
      <c r="C10" s="1287" t="s">
        <v>259</v>
      </c>
      <c r="D10" s="1288"/>
      <c r="E10" s="65"/>
      <c r="F10" s="65"/>
      <c r="G10" s="65"/>
      <c r="H10" s="65"/>
      <c r="I10" s="65"/>
      <c r="J10" s="65"/>
      <c r="K10" s="65"/>
      <c r="L10" s="65"/>
      <c r="M10" s="65"/>
      <c r="N10" s="65"/>
      <c r="O10" s="65"/>
      <c r="P10" s="65"/>
      <c r="Q10" s="66"/>
    </row>
    <row r="11" spans="2:21">
      <c r="B11" s="67" t="s">
        <v>95</v>
      </c>
      <c r="C11" s="68">
        <f>C121</f>
        <v>0.16533735625222309</v>
      </c>
      <c r="D11" s="69" t="s">
        <v>96</v>
      </c>
      <c r="E11" s="70"/>
      <c r="F11" s="70"/>
      <c r="G11" s="70"/>
      <c r="H11" s="70"/>
      <c r="I11" s="70"/>
      <c r="J11" s="70"/>
      <c r="K11" s="70"/>
      <c r="L11" s="70"/>
      <c r="M11" s="70"/>
      <c r="N11" s="70"/>
      <c r="O11" s="70"/>
      <c r="P11" s="70"/>
      <c r="Q11" s="71"/>
    </row>
    <row r="12" spans="2:21">
      <c r="B12" s="72" t="s">
        <v>97</v>
      </c>
      <c r="C12" s="1289" t="s">
        <v>98</v>
      </c>
      <c r="D12" s="1290"/>
      <c r="E12" s="70"/>
      <c r="F12" s="70"/>
      <c r="G12" s="70"/>
      <c r="H12" s="70"/>
      <c r="I12" s="70"/>
      <c r="J12" s="70"/>
      <c r="K12" s="70"/>
      <c r="L12" s="70"/>
      <c r="M12" s="70"/>
      <c r="N12" s="70"/>
      <c r="O12" s="70"/>
      <c r="P12" s="70"/>
      <c r="Q12" s="71"/>
    </row>
    <row r="13" spans="2:21">
      <c r="B13" s="73"/>
      <c r="C13" s="74"/>
      <c r="D13" s="74"/>
      <c r="E13" s="74"/>
      <c r="F13" s="74"/>
      <c r="G13" s="74"/>
      <c r="H13" s="74"/>
      <c r="I13" s="74"/>
      <c r="J13" s="74"/>
      <c r="K13" s="74"/>
      <c r="L13" s="74"/>
      <c r="M13" s="74"/>
      <c r="N13" s="74"/>
      <c r="O13" s="74"/>
      <c r="P13" s="74"/>
      <c r="Q13" s="75"/>
    </row>
    <row r="14" spans="2:21">
      <c r="B14" s="1291" t="s">
        <v>71</v>
      </c>
      <c r="C14" s="1292"/>
      <c r="D14" s="1292"/>
      <c r="E14" s="1292"/>
      <c r="F14" s="1292"/>
      <c r="G14" s="1292"/>
      <c r="H14" s="1292"/>
      <c r="I14" s="1292"/>
      <c r="J14" s="1292"/>
      <c r="K14" s="1292"/>
      <c r="L14" s="1292"/>
      <c r="M14" s="1292"/>
      <c r="N14" s="1292"/>
      <c r="O14" s="1292"/>
      <c r="P14" s="1292"/>
      <c r="Q14" s="1293"/>
    </row>
    <row r="15" spans="2:21" ht="57" customHeight="1">
      <c r="B15" s="76" t="s">
        <v>72</v>
      </c>
      <c r="C15" s="1294" t="s">
        <v>299</v>
      </c>
      <c r="D15" s="1295"/>
      <c r="E15" s="1295"/>
      <c r="F15" s="1295"/>
      <c r="G15" s="1295"/>
      <c r="H15" s="1295"/>
      <c r="I15" s="1295"/>
      <c r="J15" s="1295"/>
      <c r="K15" s="1295"/>
      <c r="L15" s="1295"/>
      <c r="M15" s="1295"/>
      <c r="N15" s="1295"/>
      <c r="O15" s="1295"/>
      <c r="P15" s="1295"/>
      <c r="Q15" s="1296"/>
    </row>
    <row r="16" spans="2:21" ht="91.95" customHeight="1">
      <c r="B16" s="77" t="s">
        <v>74</v>
      </c>
      <c r="C16" s="1275" t="s">
        <v>300</v>
      </c>
      <c r="D16" s="1276"/>
      <c r="E16" s="1276"/>
      <c r="F16" s="1276"/>
      <c r="G16" s="1276"/>
      <c r="H16" s="1276"/>
      <c r="I16" s="1276"/>
      <c r="J16" s="1276"/>
      <c r="K16" s="1276"/>
      <c r="L16" s="1276"/>
      <c r="M16" s="1276"/>
      <c r="N16" s="1276"/>
      <c r="O16" s="1276"/>
      <c r="P16" s="1276"/>
      <c r="Q16" s="1277"/>
      <c r="U16" s="325"/>
    </row>
    <row r="17" spans="2:19" ht="34.950000000000003" customHeight="1">
      <c r="B17" s="77" t="s">
        <v>76</v>
      </c>
      <c r="C17" s="1275" t="s">
        <v>301</v>
      </c>
      <c r="D17" s="1276"/>
      <c r="E17" s="1276"/>
      <c r="F17" s="1276"/>
      <c r="G17" s="1276"/>
      <c r="H17" s="1276"/>
      <c r="I17" s="1276"/>
      <c r="J17" s="1276"/>
      <c r="K17" s="1276"/>
      <c r="L17" s="1276"/>
      <c r="M17" s="1276"/>
      <c r="N17" s="1276"/>
      <c r="O17" s="1276"/>
      <c r="P17" s="1276"/>
      <c r="Q17" s="1277"/>
    </row>
    <row r="18" spans="2:19">
      <c r="B18" s="77" t="s">
        <v>78</v>
      </c>
      <c r="C18" s="1275"/>
      <c r="D18" s="1276"/>
      <c r="E18" s="1276"/>
      <c r="F18" s="1276"/>
      <c r="G18" s="1276"/>
      <c r="H18" s="1276"/>
      <c r="I18" s="1276"/>
      <c r="J18" s="1276"/>
      <c r="K18" s="1276"/>
      <c r="L18" s="1276"/>
      <c r="M18" s="1276"/>
      <c r="N18" s="1276"/>
      <c r="O18" s="1276"/>
      <c r="P18" s="1276"/>
      <c r="Q18" s="1277"/>
    </row>
    <row r="19" spans="2:19">
      <c r="B19" s="77" t="s">
        <v>82</v>
      </c>
      <c r="C19" s="1275"/>
      <c r="D19" s="1276"/>
      <c r="E19" s="1276"/>
      <c r="F19" s="1276"/>
      <c r="G19" s="1276"/>
      <c r="H19" s="1276"/>
      <c r="I19" s="1276"/>
      <c r="J19" s="1276"/>
      <c r="K19" s="1276"/>
      <c r="L19" s="1276"/>
      <c r="M19" s="1276"/>
      <c r="N19" s="1276"/>
      <c r="O19" s="1276"/>
      <c r="P19" s="1276"/>
      <c r="Q19" s="1277"/>
    </row>
    <row r="20" spans="2:19">
      <c r="B20" s="77" t="s">
        <v>84</v>
      </c>
      <c r="C20" s="1275" t="s">
        <v>302</v>
      </c>
      <c r="D20" s="1276"/>
      <c r="E20" s="1276"/>
      <c r="F20" s="1276"/>
      <c r="G20" s="1276"/>
      <c r="H20" s="1276"/>
      <c r="I20" s="1276"/>
      <c r="J20" s="1276"/>
      <c r="K20" s="1276"/>
      <c r="L20" s="1276"/>
      <c r="M20" s="1276"/>
      <c r="N20" s="1276"/>
      <c r="O20" s="1276"/>
      <c r="P20" s="1276"/>
      <c r="Q20" s="1277"/>
    </row>
    <row r="21" spans="2:19">
      <c r="B21" s="77" t="s">
        <v>86</v>
      </c>
      <c r="C21" s="1275" t="s">
        <v>263</v>
      </c>
      <c r="D21" s="1276"/>
      <c r="E21" s="1276"/>
      <c r="F21" s="1276"/>
      <c r="G21" s="1276"/>
      <c r="H21" s="1276"/>
      <c r="I21" s="1276"/>
      <c r="J21" s="1276"/>
      <c r="K21" s="1276"/>
      <c r="L21" s="1276"/>
      <c r="M21" s="1276"/>
      <c r="N21" s="1276"/>
      <c r="O21" s="1276"/>
      <c r="P21" s="1276"/>
      <c r="Q21" s="1277"/>
    </row>
    <row r="22" spans="2:19">
      <c r="B22" s="77" t="s">
        <v>87</v>
      </c>
      <c r="C22" s="1275" t="s">
        <v>303</v>
      </c>
      <c r="D22" s="1276"/>
      <c r="E22" s="1276"/>
      <c r="F22" s="1276"/>
      <c r="G22" s="1276"/>
      <c r="H22" s="1276"/>
      <c r="I22" s="1276"/>
      <c r="J22" s="1276"/>
      <c r="K22" s="1276"/>
      <c r="L22" s="1276"/>
      <c r="M22" s="1276"/>
      <c r="N22" s="1276"/>
      <c r="O22" s="1276"/>
      <c r="P22" s="1276"/>
      <c r="Q22" s="1277"/>
    </row>
    <row r="23" spans="2:19">
      <c r="B23" s="79" t="s">
        <v>88</v>
      </c>
      <c r="C23" s="1279">
        <v>44907</v>
      </c>
      <c r="D23" s="1280"/>
      <c r="E23" s="1280"/>
      <c r="F23" s="1280"/>
      <c r="G23" s="1280"/>
      <c r="H23" s="1280"/>
      <c r="I23" s="1280"/>
      <c r="J23" s="1280"/>
      <c r="K23" s="1280"/>
      <c r="L23" s="1280"/>
      <c r="M23" s="1280"/>
      <c r="N23" s="1280"/>
      <c r="O23" s="1280"/>
      <c r="P23" s="1280"/>
      <c r="Q23" s="1281"/>
    </row>
    <row r="25" spans="2:19">
      <c r="B25" s="80"/>
      <c r="C25" s="80"/>
      <c r="D25" s="81"/>
      <c r="E25" s="81"/>
      <c r="F25" s="81"/>
      <c r="G25" s="81"/>
      <c r="H25" s="81"/>
      <c r="I25" s="81"/>
      <c r="J25" s="81"/>
      <c r="K25" s="81"/>
      <c r="L25" s="81"/>
      <c r="M25" s="81"/>
      <c r="N25" s="81"/>
      <c r="O25" s="81"/>
      <c r="P25" s="81"/>
      <c r="Q25" s="81"/>
    </row>
    <row r="26" spans="2:19">
      <c r="B26" s="82" t="s">
        <v>104</v>
      </c>
      <c r="C26" s="80"/>
      <c r="J26" s="81"/>
      <c r="K26" s="81"/>
      <c r="L26" s="81"/>
      <c r="M26" s="81"/>
      <c r="N26" s="81"/>
      <c r="O26" s="81"/>
      <c r="P26" s="81"/>
      <c r="Q26" s="81"/>
    </row>
    <row r="27" spans="2:19" ht="15" customHeight="1">
      <c r="B27" s="82"/>
      <c r="C27" s="80"/>
      <c r="D27" s="1335" t="s">
        <v>304</v>
      </c>
      <c r="E27" s="1336"/>
      <c r="F27" s="326"/>
      <c r="G27" s="326"/>
      <c r="H27" s="326"/>
      <c r="I27" s="326"/>
      <c r="J27" s="81"/>
      <c r="K27" s="81"/>
      <c r="L27" s="81"/>
      <c r="M27" s="81"/>
      <c r="N27" s="81"/>
      <c r="O27" s="81"/>
      <c r="P27" s="81"/>
      <c r="Q27" s="81"/>
    </row>
    <row r="28" spans="2:19" ht="57.6">
      <c r="B28" s="83"/>
      <c r="C28" s="84" t="s">
        <v>305</v>
      </c>
      <c r="D28" s="327" t="s">
        <v>136</v>
      </c>
      <c r="E28" s="327" t="s">
        <v>145</v>
      </c>
      <c r="F28" s="328" t="s">
        <v>306</v>
      </c>
      <c r="G28" s="329" t="s">
        <v>307</v>
      </c>
      <c r="H28" s="86"/>
      <c r="I28" s="86"/>
      <c r="L28" s="86"/>
      <c r="M28" s="86"/>
      <c r="N28" s="86"/>
      <c r="O28" s="86"/>
      <c r="P28" s="86"/>
      <c r="Q28" s="86"/>
      <c r="R28" s="86"/>
      <c r="S28" s="86"/>
    </row>
    <row r="29" spans="2:19">
      <c r="B29" s="87" t="s">
        <v>112</v>
      </c>
      <c r="C29" s="330">
        <f t="shared" ref="C29:C34" si="0">$C$121*($C86/($C$92+$C$93))</f>
        <v>2.9697488538948562E-3</v>
      </c>
      <c r="D29" s="330">
        <f t="shared" ref="D29:D34" si="1">$D$68*($C86/($C$92+$C$93))</f>
        <v>10.83946263361309</v>
      </c>
      <c r="E29" s="330">
        <f t="shared" ref="E29:E34" si="2">$D$69*($C86/($C$92+$C$93))</f>
        <v>3.0272764581255367</v>
      </c>
      <c r="F29" s="330">
        <f t="shared" ref="F29:F34" si="3">$C$119*($C86/($C$92+$C$93))</f>
        <v>2.9454936487596042E-3</v>
      </c>
      <c r="G29" s="331">
        <f t="shared" ref="G29:G34" si="4">$J$115*($C86/($C$92+$C$93))</f>
        <v>2.4255205135251797E-5</v>
      </c>
      <c r="L29" s="86"/>
      <c r="M29" s="86"/>
      <c r="N29" s="86"/>
      <c r="O29" s="86"/>
      <c r="P29" s="86"/>
      <c r="Q29" s="86"/>
      <c r="R29" s="86"/>
      <c r="S29" s="86"/>
    </row>
    <row r="30" spans="2:19">
      <c r="B30" s="87" t="s">
        <v>113</v>
      </c>
      <c r="C30" s="330">
        <f t="shared" si="0"/>
        <v>2.3484137375176975E-2</v>
      </c>
      <c r="D30" s="330">
        <f t="shared" si="1"/>
        <v>85.716147083284625</v>
      </c>
      <c r="E30" s="330">
        <f t="shared" si="2"/>
        <v>23.939053338473428</v>
      </c>
      <c r="F30" s="330">
        <f t="shared" si="3"/>
        <v>2.3292332412035967E-2</v>
      </c>
      <c r="G30" s="331">
        <f t="shared" si="4"/>
        <v>1.918049631410072E-4</v>
      </c>
      <c r="L30" s="86"/>
      <c r="M30" s="86"/>
      <c r="N30" s="86"/>
      <c r="O30" s="86"/>
      <c r="P30" s="86"/>
      <c r="Q30" s="86"/>
      <c r="R30" s="86"/>
      <c r="S30" s="86"/>
    </row>
    <row r="31" spans="2:19">
      <c r="B31" s="87" t="s">
        <v>114</v>
      </c>
      <c r="C31" s="330">
        <f t="shared" si="0"/>
        <v>6.3649912635702327E-2</v>
      </c>
      <c r="D31" s="330">
        <f t="shared" si="1"/>
        <v>232.31959454840154</v>
      </c>
      <c r="E31" s="330">
        <f t="shared" si="2"/>
        <v>64.882887935489663</v>
      </c>
      <c r="F31" s="330">
        <f t="shared" si="3"/>
        <v>6.3130056660071585E-2</v>
      </c>
      <c r="G31" s="331">
        <f t="shared" si="4"/>
        <v>5.1985597563075116E-4</v>
      </c>
      <c r="L31" s="86"/>
      <c r="M31" s="86"/>
      <c r="N31" s="86"/>
      <c r="O31" s="86"/>
      <c r="P31" s="86"/>
      <c r="Q31" s="86"/>
      <c r="R31" s="86"/>
      <c r="S31" s="86"/>
    </row>
    <row r="32" spans="2:19">
      <c r="B32" s="87" t="s">
        <v>115</v>
      </c>
      <c r="C32" s="330">
        <f t="shared" si="0"/>
        <v>4.5793478181985946E-2</v>
      </c>
      <c r="D32" s="330">
        <f t="shared" si="1"/>
        <v>167.14433443279549</v>
      </c>
      <c r="E32" s="330">
        <f t="shared" si="2"/>
        <v>46.680552887223918</v>
      </c>
      <c r="F32" s="330">
        <f t="shared" si="3"/>
        <v>4.5419463320189125E-2</v>
      </c>
      <c r="G32" s="331">
        <f t="shared" si="4"/>
        <v>3.7401486179681917E-4</v>
      </c>
      <c r="L32" s="86"/>
      <c r="M32" s="86"/>
      <c r="N32" s="86"/>
      <c r="O32" s="86"/>
      <c r="P32" s="86"/>
      <c r="Q32" s="86"/>
      <c r="R32" s="86"/>
      <c r="S32" s="86"/>
    </row>
    <row r="33" spans="2:19">
      <c r="B33" s="87" t="s">
        <v>116</v>
      </c>
      <c r="C33" s="330">
        <f t="shared" si="0"/>
        <v>8.0323310754996241E-3</v>
      </c>
      <c r="D33" s="330">
        <f t="shared" si="1"/>
        <v>29.317682011897826</v>
      </c>
      <c r="E33" s="330">
        <f t="shared" si="2"/>
        <v>8.1879269813807269</v>
      </c>
      <c r="F33" s="330">
        <f t="shared" si="3"/>
        <v>7.9667276027699397E-3</v>
      </c>
      <c r="G33" s="331">
        <f t="shared" si="4"/>
        <v>6.560347272968385E-5</v>
      </c>
      <c r="L33" s="86"/>
      <c r="M33" s="86"/>
      <c r="N33" s="86"/>
      <c r="O33" s="86"/>
      <c r="P33" s="86"/>
      <c r="Q33" s="86"/>
      <c r="R33" s="86"/>
      <c r="S33" s="86"/>
    </row>
    <row r="34" spans="2:19">
      <c r="B34" s="87" t="s">
        <v>117</v>
      </c>
      <c r="C34" s="330">
        <f t="shared" si="0"/>
        <v>2.1407748129963367E-2</v>
      </c>
      <c r="D34" s="330">
        <f t="shared" si="1"/>
        <v>78.137410717476826</v>
      </c>
      <c r="E34" s="330">
        <f t="shared" si="2"/>
        <v>21.822441938254748</v>
      </c>
      <c r="F34" s="330">
        <f t="shared" si="3"/>
        <v>2.1232901923121647E-2</v>
      </c>
      <c r="G34" s="331">
        <f t="shared" si="4"/>
        <v>1.7484620684172123E-4</v>
      </c>
      <c r="L34" s="86"/>
      <c r="M34" s="86"/>
      <c r="N34" s="86"/>
      <c r="O34" s="86"/>
      <c r="P34" s="86"/>
      <c r="Q34" s="86"/>
      <c r="R34" s="86"/>
      <c r="S34" s="86"/>
    </row>
    <row r="35" spans="2:19">
      <c r="B35" s="92" t="s">
        <v>119</v>
      </c>
      <c r="C35" s="332">
        <f>SUM(C29:C34)</f>
        <v>0.16533735625222312</v>
      </c>
      <c r="D35" s="332">
        <f>SUM(D29:D34)</f>
        <v>603.47463142746938</v>
      </c>
      <c r="E35" s="332">
        <f>SUM(E29:E34)</f>
        <v>168.54013953894801</v>
      </c>
      <c r="F35" s="332">
        <f>SUM(F29:F34)</f>
        <v>0.16398697556694786</v>
      </c>
      <c r="G35" s="333">
        <f>SUM(G29:G34)</f>
        <v>1.3503806852752343E-3</v>
      </c>
      <c r="H35" s="86"/>
      <c r="I35" s="86"/>
      <c r="L35" s="81"/>
      <c r="M35" s="81"/>
      <c r="N35" s="81"/>
      <c r="O35" s="81"/>
      <c r="P35" s="81"/>
      <c r="Q35" s="81"/>
    </row>
    <row r="36" spans="2:19">
      <c r="B36" s="80"/>
      <c r="C36" s="80"/>
      <c r="D36" s="81"/>
      <c r="E36" s="81"/>
      <c r="F36" s="81"/>
      <c r="G36" s="81"/>
      <c r="H36" s="81"/>
      <c r="I36" s="81"/>
      <c r="L36" s="81"/>
      <c r="M36" s="81"/>
      <c r="N36" s="81"/>
      <c r="O36" s="81"/>
      <c r="P36" s="81"/>
      <c r="Q36" s="81"/>
    </row>
    <row r="37" spans="2:19">
      <c r="B37" s="80"/>
      <c r="C37" s="80"/>
      <c r="D37" s="81"/>
      <c r="E37" s="81"/>
      <c r="F37" s="81"/>
      <c r="G37" s="81"/>
      <c r="H37" s="81"/>
      <c r="I37" s="81"/>
      <c r="J37" s="81"/>
      <c r="K37" s="81"/>
      <c r="L37" s="81"/>
      <c r="M37" s="81"/>
      <c r="N37" s="81"/>
      <c r="O37" s="81"/>
      <c r="P37" s="81"/>
      <c r="Q37" s="81"/>
    </row>
    <row r="38" spans="2:19">
      <c r="B38" s="80"/>
      <c r="D38" s="81"/>
      <c r="E38" s="81"/>
      <c r="F38" s="81"/>
      <c r="G38" s="81"/>
      <c r="H38" s="81"/>
      <c r="I38" s="81"/>
      <c r="J38" s="81"/>
      <c r="K38" s="81"/>
      <c r="L38" s="81"/>
      <c r="M38" s="81"/>
      <c r="N38" s="81"/>
      <c r="O38" s="81"/>
      <c r="P38" s="81"/>
      <c r="Q38" s="81"/>
    </row>
    <row r="39" spans="2:19">
      <c r="B39" s="80"/>
      <c r="D39" s="81"/>
      <c r="E39" s="81"/>
      <c r="F39" s="81"/>
      <c r="G39" s="81"/>
      <c r="H39" s="96"/>
      <c r="I39" s="81"/>
      <c r="J39" s="81"/>
      <c r="K39" s="81"/>
      <c r="L39" s="81"/>
      <c r="M39" s="81"/>
      <c r="N39" s="81"/>
      <c r="O39" s="81"/>
      <c r="P39" s="81"/>
      <c r="Q39" s="81"/>
    </row>
    <row r="40" spans="2:19">
      <c r="D40" s="81"/>
      <c r="E40" s="81"/>
      <c r="F40" s="81"/>
      <c r="G40" s="81"/>
      <c r="H40" s="81"/>
      <c r="I40" s="81"/>
      <c r="J40" s="81"/>
      <c r="K40" s="81"/>
      <c r="L40" s="81"/>
      <c r="M40" s="81"/>
      <c r="N40" s="81"/>
      <c r="O40" s="81"/>
      <c r="P40" s="81"/>
      <c r="Q40" s="81"/>
    </row>
    <row r="41" spans="2:19">
      <c r="D41" s="81"/>
      <c r="E41" s="81"/>
      <c r="F41" s="81"/>
      <c r="G41" s="81"/>
      <c r="H41" s="81"/>
      <c r="I41" s="81"/>
      <c r="J41" s="81"/>
      <c r="K41" s="81"/>
      <c r="L41" s="81"/>
      <c r="M41" s="81"/>
      <c r="N41" s="81"/>
      <c r="O41" s="81"/>
      <c r="P41" s="81"/>
      <c r="Q41" s="81"/>
    </row>
    <row r="42" spans="2:19">
      <c r="D42" s="81"/>
      <c r="E42" s="81"/>
      <c r="F42" s="81"/>
      <c r="G42" s="81"/>
      <c r="H42" s="81"/>
      <c r="I42" s="81"/>
      <c r="J42" s="81"/>
      <c r="K42" s="81"/>
      <c r="L42" s="81"/>
      <c r="M42" s="81"/>
      <c r="N42" s="81"/>
      <c r="O42" s="81"/>
      <c r="P42" s="81"/>
      <c r="Q42" s="81"/>
    </row>
    <row r="43" spans="2:19">
      <c r="D43" s="81"/>
      <c r="E43" s="81"/>
      <c r="F43" s="81"/>
      <c r="G43" s="81"/>
      <c r="H43" s="81"/>
      <c r="I43" s="81"/>
      <c r="J43" s="81"/>
      <c r="K43" s="81"/>
      <c r="L43" s="81"/>
      <c r="M43" s="81"/>
      <c r="N43" s="81"/>
      <c r="O43" s="81"/>
      <c r="P43" s="81"/>
      <c r="Q43" s="81"/>
    </row>
    <row r="44" spans="2:19">
      <c r="D44" s="81"/>
      <c r="E44" s="81"/>
      <c r="F44" s="81"/>
      <c r="G44" s="81"/>
      <c r="H44" s="81"/>
      <c r="I44" s="81"/>
      <c r="J44" s="81"/>
      <c r="K44" s="81"/>
      <c r="L44" s="81"/>
      <c r="M44" s="81"/>
      <c r="N44" s="81"/>
      <c r="O44" s="81"/>
      <c r="P44" s="81"/>
      <c r="Q44" s="81"/>
    </row>
    <row r="45" spans="2:19">
      <c r="D45" s="81"/>
      <c r="E45" s="81"/>
      <c r="F45" s="81"/>
      <c r="G45" s="81"/>
      <c r="H45" s="81"/>
      <c r="I45" s="81"/>
      <c r="J45" s="81"/>
      <c r="K45" s="81"/>
      <c r="L45" s="81"/>
      <c r="M45" s="81"/>
      <c r="N45" s="81"/>
      <c r="O45" s="81"/>
      <c r="P45" s="81"/>
      <c r="Q45" s="81"/>
    </row>
    <row r="46" spans="2:19">
      <c r="D46" s="81"/>
      <c r="E46" s="81"/>
      <c r="F46" s="81"/>
      <c r="G46" s="81"/>
      <c r="H46" s="81"/>
      <c r="I46" s="81"/>
      <c r="J46" s="81"/>
      <c r="K46" s="81"/>
      <c r="L46" s="81"/>
      <c r="M46" s="81"/>
      <c r="N46" s="81"/>
      <c r="O46" s="81"/>
      <c r="P46" s="81"/>
      <c r="Q46" s="81"/>
    </row>
    <row r="47" spans="2:19">
      <c r="D47" s="81"/>
      <c r="E47" s="81"/>
      <c r="F47" s="81"/>
      <c r="G47" s="81"/>
      <c r="H47" s="81"/>
      <c r="I47" s="81"/>
      <c r="J47" s="81"/>
      <c r="K47" s="81"/>
      <c r="L47" s="81"/>
      <c r="M47" s="81"/>
      <c r="N47" s="81"/>
      <c r="O47" s="81"/>
      <c r="P47" s="81"/>
      <c r="Q47" s="81"/>
    </row>
    <row r="48" spans="2:19">
      <c r="D48" s="81"/>
      <c r="E48" s="81"/>
      <c r="F48" s="81"/>
      <c r="G48" s="81"/>
      <c r="H48" s="81"/>
      <c r="I48" s="81"/>
      <c r="J48" s="81"/>
      <c r="K48" s="81"/>
      <c r="L48" s="81"/>
      <c r="M48" s="81"/>
      <c r="N48" s="81"/>
      <c r="O48" s="81"/>
      <c r="P48" s="81"/>
      <c r="Q48" s="81"/>
    </row>
    <row r="49" spans="1:17">
      <c r="D49" s="81"/>
      <c r="E49" s="81"/>
      <c r="F49" s="81"/>
      <c r="G49" s="81"/>
      <c r="H49" s="81"/>
      <c r="I49" s="81"/>
      <c r="J49" s="81"/>
      <c r="K49" s="81"/>
      <c r="L49" s="81"/>
      <c r="M49" s="81"/>
      <c r="N49" s="81"/>
      <c r="O49" s="81"/>
      <c r="P49" s="81"/>
      <c r="Q49" s="81"/>
    </row>
    <row r="58" spans="1:17">
      <c r="A58" s="97"/>
      <c r="B58" s="98" t="s">
        <v>120</v>
      </c>
    </row>
    <row r="60" spans="1:17">
      <c r="B60" t="s">
        <v>121</v>
      </c>
    </row>
    <row r="62" spans="1:17">
      <c r="B62" s="99" t="s">
        <v>308</v>
      </c>
    </row>
    <row r="64" spans="1:17">
      <c r="B64" s="100" t="s">
        <v>123</v>
      </c>
    </row>
    <row r="66" spans="2:17">
      <c r="B66" t="s">
        <v>124</v>
      </c>
    </row>
    <row r="67" spans="2:17" ht="15.6">
      <c r="B67" s="101" t="s">
        <v>125</v>
      </c>
      <c r="C67" s="102" t="s">
        <v>126</v>
      </c>
      <c r="D67" s="102">
        <v>2019</v>
      </c>
      <c r="E67" s="102" t="s">
        <v>127</v>
      </c>
      <c r="F67" s="102">
        <v>2019</v>
      </c>
      <c r="G67" s="102" t="s">
        <v>127</v>
      </c>
      <c r="H67" s="102" t="s">
        <v>128</v>
      </c>
      <c r="I67" s="102" t="s">
        <v>129</v>
      </c>
      <c r="J67" s="102" t="s">
        <v>130</v>
      </c>
      <c r="K67" s="102" t="s">
        <v>131</v>
      </c>
      <c r="L67" s="103" t="s">
        <v>132</v>
      </c>
      <c r="M67" s="97" t="s">
        <v>133</v>
      </c>
      <c r="N67" s="98"/>
      <c r="O67" s="98"/>
      <c r="P67" s="98"/>
      <c r="Q67" s="105"/>
    </row>
    <row r="68" spans="2:17">
      <c r="B68" s="106" t="s">
        <v>309</v>
      </c>
      <c r="C68" s="107" t="s">
        <v>136</v>
      </c>
      <c r="D68" s="108">
        <v>603.47463142746938</v>
      </c>
      <c r="E68" s="109" t="s">
        <v>138</v>
      </c>
      <c r="F68" s="110"/>
      <c r="G68" s="110"/>
      <c r="H68" s="110">
        <v>0.11194395796847637</v>
      </c>
      <c r="I68" s="110" t="s">
        <v>310</v>
      </c>
      <c r="J68" s="334" t="s">
        <v>311</v>
      </c>
      <c r="K68" s="110">
        <f t="shared" ref="K68:K72" si="5">D68*10^6*H68</f>
        <v>67555338.775558397</v>
      </c>
      <c r="L68" s="111" t="s">
        <v>141</v>
      </c>
    </row>
    <row r="69" spans="2:17">
      <c r="B69" s="106" t="s">
        <v>309</v>
      </c>
      <c r="C69" s="107" t="s">
        <v>145</v>
      </c>
      <c r="D69" s="108">
        <v>168.54013953894801</v>
      </c>
      <c r="E69" s="109" t="s">
        <v>138</v>
      </c>
      <c r="F69" s="110"/>
      <c r="G69" s="110"/>
      <c r="H69" s="110">
        <v>0.11194395796847637</v>
      </c>
      <c r="I69" s="110" t="s">
        <v>310</v>
      </c>
      <c r="J69" s="335" t="s">
        <v>312</v>
      </c>
      <c r="K69" s="110">
        <f t="shared" si="5"/>
        <v>18867050.296549138</v>
      </c>
      <c r="L69" s="111" t="s">
        <v>141</v>
      </c>
    </row>
    <row r="70" spans="2:17">
      <c r="B70" s="106" t="s">
        <v>309</v>
      </c>
      <c r="C70" s="107" t="s">
        <v>148</v>
      </c>
      <c r="D70" s="108">
        <v>0</v>
      </c>
      <c r="E70" s="109" t="s">
        <v>138</v>
      </c>
      <c r="F70" s="110"/>
      <c r="G70" s="110"/>
      <c r="H70" s="110">
        <v>0.11194395796847637</v>
      </c>
      <c r="I70" s="110" t="s">
        <v>310</v>
      </c>
      <c r="J70" s="335" t="s">
        <v>312</v>
      </c>
      <c r="K70" s="110">
        <f t="shared" si="5"/>
        <v>0</v>
      </c>
      <c r="L70" s="111" t="s">
        <v>141</v>
      </c>
    </row>
    <row r="71" spans="2:17">
      <c r="B71" s="106" t="s">
        <v>309</v>
      </c>
      <c r="C71" s="107" t="s">
        <v>150</v>
      </c>
      <c r="D71" s="108">
        <v>0</v>
      </c>
      <c r="E71" s="109" t="s">
        <v>138</v>
      </c>
      <c r="F71" s="110"/>
      <c r="G71" s="110"/>
      <c r="H71" s="110">
        <v>0.11194395796847637</v>
      </c>
      <c r="I71" s="110" t="s">
        <v>310</v>
      </c>
      <c r="J71" s="335" t="s">
        <v>312</v>
      </c>
      <c r="K71" s="110">
        <f t="shared" si="5"/>
        <v>0</v>
      </c>
      <c r="L71" s="111" t="s">
        <v>141</v>
      </c>
    </row>
    <row r="72" spans="2:17">
      <c r="B72" s="336" t="s">
        <v>309</v>
      </c>
      <c r="C72" s="337" t="s">
        <v>153</v>
      </c>
      <c r="D72" s="338">
        <v>0</v>
      </c>
      <c r="E72" s="339" t="s">
        <v>138</v>
      </c>
      <c r="F72" s="150"/>
      <c r="G72" s="150"/>
      <c r="H72" s="150">
        <v>0.11194395796847637</v>
      </c>
      <c r="I72" s="91" t="s">
        <v>310</v>
      </c>
      <c r="J72" s="340" t="s">
        <v>312</v>
      </c>
      <c r="K72" s="91">
        <f t="shared" si="5"/>
        <v>0</v>
      </c>
      <c r="L72" s="140" t="s">
        <v>141</v>
      </c>
    </row>
    <row r="73" spans="2:17">
      <c r="G73" s="341"/>
      <c r="H73" s="341"/>
      <c r="I73" s="1269" t="s">
        <v>313</v>
      </c>
      <c r="J73" s="1337"/>
      <c r="K73" s="342">
        <f>K68+K69</f>
        <v>86422389.072107539</v>
      </c>
      <c r="L73" s="343" t="s">
        <v>141</v>
      </c>
      <c r="M73" s="284"/>
    </row>
    <row r="74" spans="2:17">
      <c r="K74" s="285">
        <f>K73/10^9</f>
        <v>8.6422389072107544E-2</v>
      </c>
      <c r="L74" s="286" t="s">
        <v>179</v>
      </c>
    </row>
    <row r="77" spans="2:17">
      <c r="B77" s="98" t="s">
        <v>314</v>
      </c>
    </row>
    <row r="78" spans="2:17">
      <c r="B78" s="98"/>
    </row>
    <row r="79" spans="2:17">
      <c r="B79" s="98" t="s">
        <v>315</v>
      </c>
    </row>
    <row r="80" spans="2:17">
      <c r="B80" s="100"/>
    </row>
    <row r="81" spans="2:3">
      <c r="B81" s="152" t="s">
        <v>192</v>
      </c>
    </row>
    <row r="82" spans="2:3">
      <c r="B82" t="s">
        <v>193</v>
      </c>
    </row>
    <row r="83" spans="2:3">
      <c r="B83" t="s">
        <v>194</v>
      </c>
    </row>
    <row r="85" spans="2:3">
      <c r="B85" s="122" t="s">
        <v>195</v>
      </c>
      <c r="C85" s="124" t="s">
        <v>196</v>
      </c>
    </row>
    <row r="86" spans="2:3">
      <c r="B86" s="153" t="s">
        <v>112</v>
      </c>
      <c r="C86" s="154">
        <f>'10.bâtiments'!D84</f>
        <v>2159100</v>
      </c>
    </row>
    <row r="87" spans="2:3">
      <c r="B87" s="153" t="s">
        <v>113</v>
      </c>
      <c r="C87" s="155">
        <f>'10.bâtiments'!C107 - '10.bâtiments'!D84</f>
        <v>17073700</v>
      </c>
    </row>
    <row r="88" spans="2:3">
      <c r="B88" s="153" t="s">
        <v>114</v>
      </c>
      <c r="C88" s="155">
        <f>'10.bâtiments'!C108</f>
        <v>46275470.800000004</v>
      </c>
    </row>
    <row r="89" spans="2:3">
      <c r="B89" s="125" t="s">
        <v>115</v>
      </c>
      <c r="C89" s="156">
        <f>'10.bâtiments'!C172</f>
        <v>33293286.27</v>
      </c>
    </row>
    <row r="90" spans="2:3">
      <c r="B90" s="157" t="s">
        <v>116</v>
      </c>
      <c r="C90" s="158">
        <f>'10.bâtiments'!C231</f>
        <v>5839755.1033200091</v>
      </c>
    </row>
    <row r="91" spans="2:3">
      <c r="B91" s="157" t="s">
        <v>117</v>
      </c>
      <c r="C91" s="158">
        <f>'10.bâtiments'!C232</f>
        <v>15564100.286387507</v>
      </c>
    </row>
    <row r="92" spans="2:3">
      <c r="B92" s="157" t="s">
        <v>197</v>
      </c>
      <c r="C92" s="158">
        <f>C87+C88</f>
        <v>63349170.800000004</v>
      </c>
    </row>
    <row r="93" spans="2:3">
      <c r="B93" s="160" t="s">
        <v>198</v>
      </c>
      <c r="C93" s="287">
        <f>C86+C89+C91+C90</f>
        <v>56856241.659707509</v>
      </c>
    </row>
    <row r="96" spans="2:3">
      <c r="B96" s="98" t="s">
        <v>316</v>
      </c>
    </row>
    <row r="97" spans="2:17" ht="15.6">
      <c r="B97" s="274" t="s">
        <v>125</v>
      </c>
      <c r="C97" s="275" t="s">
        <v>126</v>
      </c>
      <c r="D97" s="275">
        <v>2019</v>
      </c>
      <c r="E97" s="275" t="s">
        <v>127</v>
      </c>
      <c r="F97" s="275">
        <v>2019</v>
      </c>
      <c r="G97" s="275" t="s">
        <v>127</v>
      </c>
      <c r="H97" s="275" t="s">
        <v>128</v>
      </c>
      <c r="I97" s="275" t="s">
        <v>129</v>
      </c>
      <c r="J97" s="275" t="s">
        <v>130</v>
      </c>
      <c r="K97" s="275" t="s">
        <v>131</v>
      </c>
      <c r="L97" s="276" t="s">
        <v>132</v>
      </c>
    </row>
    <row r="98" spans="2:17">
      <c r="B98" s="277" t="s">
        <v>309</v>
      </c>
      <c r="C98" s="107" t="s">
        <v>136</v>
      </c>
      <c r="D98" s="108">
        <f t="shared" ref="D98:D102" si="6">D68*$C$93/$C$92</f>
        <v>541.62191938182582</v>
      </c>
      <c r="E98" s="109" t="s">
        <v>138</v>
      </c>
      <c r="F98" s="110"/>
      <c r="G98" s="110"/>
      <c r="H98" s="110">
        <v>0.11194395796847637</v>
      </c>
      <c r="I98" s="110" t="s">
        <v>310</v>
      </c>
      <c r="J98" s="335" t="s">
        <v>312</v>
      </c>
      <c r="K98" s="110">
        <f t="shared" ref="K98:K102" si="7">D98*10^6*H98</f>
        <v>60631301.3780846</v>
      </c>
      <c r="L98" s="271" t="s">
        <v>141</v>
      </c>
    </row>
    <row r="99" spans="2:17">
      <c r="B99" s="277" t="s">
        <v>309</v>
      </c>
      <c r="C99" s="107" t="s">
        <v>145</v>
      </c>
      <c r="D99" s="108">
        <f t="shared" si="6"/>
        <v>151.2657353202049</v>
      </c>
      <c r="E99" s="109" t="s">
        <v>138</v>
      </c>
      <c r="F99" s="110"/>
      <c r="G99" s="110"/>
      <c r="H99" s="110">
        <v>0.11194395796847637</v>
      </c>
      <c r="I99" s="110" t="s">
        <v>310</v>
      </c>
      <c r="J99" s="335" t="s">
        <v>312</v>
      </c>
      <c r="K99" s="110">
        <f t="shared" si="7"/>
        <v>16933285.116755687</v>
      </c>
      <c r="L99" s="271" t="s">
        <v>141</v>
      </c>
    </row>
    <row r="100" spans="2:17">
      <c r="B100" s="277" t="s">
        <v>309</v>
      </c>
      <c r="C100" s="107" t="s">
        <v>148</v>
      </c>
      <c r="D100" s="108">
        <f t="shared" si="6"/>
        <v>0</v>
      </c>
      <c r="E100" s="109" t="s">
        <v>138</v>
      </c>
      <c r="F100" s="110"/>
      <c r="G100" s="110"/>
      <c r="H100" s="110">
        <v>0.11194395796847637</v>
      </c>
      <c r="I100" s="110" t="s">
        <v>310</v>
      </c>
      <c r="J100" s="335" t="s">
        <v>312</v>
      </c>
      <c r="K100" s="110">
        <f t="shared" si="7"/>
        <v>0</v>
      </c>
      <c r="L100" s="271" t="s">
        <v>141</v>
      </c>
    </row>
    <row r="101" spans="2:17">
      <c r="B101" s="277" t="s">
        <v>309</v>
      </c>
      <c r="C101" s="107" t="s">
        <v>150</v>
      </c>
      <c r="D101" s="108">
        <f t="shared" si="6"/>
        <v>0</v>
      </c>
      <c r="E101" s="109" t="s">
        <v>138</v>
      </c>
      <c r="F101" s="110"/>
      <c r="G101" s="110"/>
      <c r="H101" s="110">
        <v>0.11194395796847637</v>
      </c>
      <c r="I101" s="110" t="s">
        <v>310</v>
      </c>
      <c r="J101" s="335" t="s">
        <v>312</v>
      </c>
      <c r="K101" s="110">
        <f t="shared" si="7"/>
        <v>0</v>
      </c>
      <c r="L101" s="271" t="s">
        <v>141</v>
      </c>
    </row>
    <row r="102" spans="2:17">
      <c r="B102" s="278" t="s">
        <v>309</v>
      </c>
      <c r="C102" s="279" t="s">
        <v>153</v>
      </c>
      <c r="D102" s="280">
        <f t="shared" si="6"/>
        <v>0</v>
      </c>
      <c r="E102" s="281" t="s">
        <v>138</v>
      </c>
      <c r="F102" s="120"/>
      <c r="G102" s="120"/>
      <c r="H102" s="120">
        <v>0.11194395796847637</v>
      </c>
      <c r="I102" s="120" t="s">
        <v>310</v>
      </c>
      <c r="J102" s="344" t="s">
        <v>312</v>
      </c>
      <c r="K102" s="120">
        <f t="shared" si="7"/>
        <v>0</v>
      </c>
      <c r="L102" s="121" t="s">
        <v>141</v>
      </c>
    </row>
    <row r="104" spans="2:17">
      <c r="H104" s="1269" t="s">
        <v>317</v>
      </c>
      <c r="I104" s="1270"/>
      <c r="J104" s="1270"/>
      <c r="K104" s="342">
        <f>K98+K99</f>
        <v>77564586.494840294</v>
      </c>
      <c r="L104" s="343" t="s">
        <v>141</v>
      </c>
    </row>
    <row r="105" spans="2:17">
      <c r="K105" s="285">
        <f>K104/10^9</f>
        <v>7.7564586494840299E-2</v>
      </c>
      <c r="L105" s="286" t="s">
        <v>179</v>
      </c>
    </row>
    <row r="106" spans="2:17">
      <c r="B106" s="98" t="s">
        <v>318</v>
      </c>
    </row>
    <row r="108" spans="2:17">
      <c r="B108" s="98" t="s">
        <v>319</v>
      </c>
      <c r="C108" s="98"/>
      <c r="D108" s="98"/>
    </row>
    <row r="109" spans="2:17">
      <c r="C109" s="345"/>
      <c r="D109" s="346"/>
    </row>
    <row r="110" spans="2:17">
      <c r="B110" s="98"/>
    </row>
    <row r="111" spans="2:17" ht="67.5" customHeight="1">
      <c r="B111" s="215" t="s">
        <v>320</v>
      </c>
      <c r="C111" s="216" t="s">
        <v>130</v>
      </c>
      <c r="D111" s="216" t="s">
        <v>321</v>
      </c>
      <c r="E111" s="216" t="s">
        <v>130</v>
      </c>
      <c r="F111" s="216" t="s">
        <v>322</v>
      </c>
      <c r="G111" s="216" t="s">
        <v>130</v>
      </c>
      <c r="H111" s="217" t="s">
        <v>323</v>
      </c>
    </row>
    <row r="112" spans="2:17" ht="25.5" customHeight="1">
      <c r="B112" s="347">
        <v>973000000</v>
      </c>
      <c r="C112" s="348" t="s">
        <v>247</v>
      </c>
      <c r="D112" s="349">
        <f>'10.bâtiments'!C252</f>
        <v>120205412.45970753</v>
      </c>
      <c r="E112" s="120" t="s">
        <v>324</v>
      </c>
      <c r="F112" s="120">
        <v>0.7</v>
      </c>
      <c r="G112" s="348" t="s">
        <v>325</v>
      </c>
      <c r="H112" s="121">
        <f>D112*F112</f>
        <v>84143788.721795261</v>
      </c>
      <c r="Q112" s="98"/>
    </row>
    <row r="113" spans="2:19" ht="25.05" customHeight="1">
      <c r="B113" s="350"/>
      <c r="C113" s="78"/>
      <c r="D113" s="78"/>
      <c r="E113" s="78"/>
      <c r="F113" s="78"/>
      <c r="G113" s="78"/>
      <c r="H113" s="78"/>
      <c r="I113" s="78"/>
      <c r="J113" s="78"/>
      <c r="K113" s="78"/>
      <c r="L113" s="78"/>
      <c r="M113" s="78"/>
      <c r="N113" s="78"/>
      <c r="O113" s="78"/>
      <c r="P113" s="78"/>
      <c r="Q113" s="78"/>
    </row>
    <row r="114" spans="2:19" ht="55.5" customHeight="1">
      <c r="B114" s="351"/>
      <c r="C114" s="313" t="s">
        <v>326</v>
      </c>
      <c r="D114" s="313" t="s">
        <v>129</v>
      </c>
      <c r="E114" s="313" t="s">
        <v>144</v>
      </c>
      <c r="F114" s="313" t="s">
        <v>129</v>
      </c>
      <c r="G114" s="313" t="s">
        <v>130</v>
      </c>
      <c r="H114" s="313" t="s">
        <v>327</v>
      </c>
      <c r="I114" s="313" t="s">
        <v>129</v>
      </c>
      <c r="J114" s="313" t="s">
        <v>328</v>
      </c>
      <c r="K114" s="314" t="s">
        <v>129</v>
      </c>
      <c r="L114" s="78"/>
      <c r="M114" s="78"/>
      <c r="N114" s="78"/>
      <c r="O114" s="78"/>
      <c r="P114" s="78"/>
    </row>
    <row r="115" spans="2:19" ht="32.549999999999997" customHeight="1">
      <c r="B115" s="352" t="s">
        <v>329</v>
      </c>
      <c r="C115" s="353">
        <f>0.81*0.918</f>
        <v>0.74358000000000013</v>
      </c>
      <c r="D115" s="353" t="s">
        <v>222</v>
      </c>
      <c r="E115" s="353">
        <v>21</v>
      </c>
      <c r="F115" s="353" t="s">
        <v>330</v>
      </c>
      <c r="G115" s="354" t="s">
        <v>172</v>
      </c>
      <c r="H115" s="353">
        <f>C115*E115*10^-3</f>
        <v>1.5615180000000003E-2</v>
      </c>
      <c r="I115" s="353" t="s">
        <v>96</v>
      </c>
      <c r="J115" s="355">
        <f>H115*H112/B112</f>
        <v>1.3503806852752343E-3</v>
      </c>
      <c r="K115" s="171" t="s">
        <v>96</v>
      </c>
      <c r="L115" s="78"/>
      <c r="M115" s="78"/>
      <c r="N115" s="78"/>
      <c r="O115" s="78"/>
      <c r="P115" s="78"/>
    </row>
    <row r="116" spans="2:19">
      <c r="B116" s="350"/>
      <c r="C116" s="78"/>
      <c r="D116" s="78"/>
      <c r="E116" s="78"/>
      <c r="F116" s="78"/>
      <c r="G116" s="78"/>
      <c r="H116" s="78"/>
      <c r="I116" s="78"/>
      <c r="J116" s="78"/>
      <c r="K116" s="78"/>
      <c r="L116" s="78"/>
      <c r="M116" s="78"/>
      <c r="N116" s="78"/>
      <c r="O116" s="78"/>
      <c r="P116" s="78"/>
      <c r="Q116" s="78"/>
    </row>
    <row r="117" spans="2:19">
      <c r="B117" s="98" t="s">
        <v>255</v>
      </c>
      <c r="E117" s="78"/>
      <c r="F117" s="78"/>
      <c r="G117" s="78"/>
      <c r="H117" s="78"/>
      <c r="I117" s="78"/>
      <c r="J117" s="78"/>
      <c r="K117" s="78"/>
      <c r="L117" s="78"/>
      <c r="M117" s="78"/>
      <c r="N117" s="78"/>
      <c r="O117" s="78"/>
      <c r="P117" s="78"/>
      <c r="Q117" s="78"/>
    </row>
    <row r="118" spans="2:19">
      <c r="B118" t="s">
        <v>188</v>
      </c>
      <c r="E118" s="78"/>
      <c r="F118" s="78"/>
      <c r="G118" s="78"/>
      <c r="H118" s="78"/>
      <c r="I118" s="78"/>
      <c r="J118" s="78"/>
      <c r="K118" s="78"/>
      <c r="L118" s="78"/>
      <c r="M118" s="78"/>
      <c r="N118" s="78"/>
      <c r="O118" s="78"/>
      <c r="P118" s="78"/>
      <c r="Q118" s="78"/>
    </row>
    <row r="119" spans="2:19">
      <c r="B119" s="143" t="s">
        <v>331</v>
      </c>
      <c r="C119" s="263">
        <f>K105+K74</f>
        <v>0.16398697556694786</v>
      </c>
      <c r="D119" s="144" t="s">
        <v>243</v>
      </c>
      <c r="E119" s="78"/>
      <c r="F119" s="78"/>
      <c r="G119" s="78"/>
      <c r="H119" s="78"/>
      <c r="I119" s="78"/>
      <c r="J119" s="78"/>
      <c r="K119" s="78"/>
      <c r="L119" s="78"/>
      <c r="M119" s="78"/>
      <c r="N119" s="78"/>
      <c r="O119" s="78"/>
      <c r="P119" s="78"/>
      <c r="Q119" s="78"/>
    </row>
    <row r="120" spans="2:19">
      <c r="B120" s="350"/>
      <c r="C120" s="356"/>
      <c r="D120" s="78"/>
      <c r="E120" s="78"/>
      <c r="F120" s="78"/>
      <c r="G120" s="78"/>
      <c r="H120" s="78"/>
      <c r="I120" s="78"/>
      <c r="J120" s="78"/>
      <c r="K120" s="78"/>
      <c r="L120" s="78"/>
      <c r="M120" s="78"/>
      <c r="N120" s="78"/>
      <c r="O120" s="78"/>
      <c r="P120" s="78"/>
      <c r="Q120" s="78"/>
    </row>
    <row r="121" spans="2:19">
      <c r="B121" s="143" t="s">
        <v>332</v>
      </c>
      <c r="C121" s="263">
        <f>C119+J115</f>
        <v>0.16533735625222309</v>
      </c>
      <c r="D121" s="144" t="s">
        <v>243</v>
      </c>
    </row>
    <row r="123" spans="2:19">
      <c r="B123" s="80"/>
      <c r="C123" s="80"/>
      <c r="D123" s="81"/>
      <c r="E123" s="81"/>
      <c r="F123" s="81"/>
      <c r="G123" s="81"/>
      <c r="H123" s="81"/>
      <c r="I123" s="81"/>
      <c r="J123" s="81"/>
      <c r="K123" s="81"/>
      <c r="L123" s="81"/>
      <c r="M123" s="81"/>
      <c r="N123" s="81"/>
      <c r="O123" s="81"/>
      <c r="P123" s="81"/>
      <c r="Q123" s="81"/>
    </row>
    <row r="124" spans="2:19">
      <c r="B124" s="82"/>
      <c r="C124" s="80"/>
      <c r="D124" s="78"/>
      <c r="E124" s="78"/>
      <c r="F124" s="78"/>
      <c r="G124" s="78"/>
      <c r="H124" s="78"/>
      <c r="I124" s="78"/>
      <c r="J124" s="81"/>
      <c r="K124" s="81"/>
      <c r="L124" s="81"/>
      <c r="M124" s="81"/>
      <c r="N124" s="81"/>
      <c r="O124" s="81"/>
      <c r="P124" s="81"/>
      <c r="Q124" s="81"/>
    </row>
    <row r="125" spans="2:19">
      <c r="B125" s="357"/>
      <c r="C125" s="357"/>
      <c r="D125" s="86"/>
      <c r="E125" s="86"/>
      <c r="F125" s="86"/>
      <c r="G125" s="86"/>
      <c r="H125" s="86"/>
      <c r="I125" s="86"/>
      <c r="J125" s="86"/>
      <c r="K125" s="86"/>
      <c r="L125" s="86"/>
      <c r="M125" s="86"/>
      <c r="N125" s="86"/>
      <c r="O125" s="86"/>
      <c r="P125" s="86"/>
      <c r="Q125" s="86"/>
      <c r="R125" s="86"/>
      <c r="S125" s="86"/>
    </row>
    <row r="126" spans="2:19">
      <c r="B126" s="357"/>
      <c r="C126" s="358"/>
      <c r="D126" s="359"/>
      <c r="E126" s="359"/>
      <c r="F126" s="359"/>
      <c r="G126" s="86"/>
      <c r="H126" s="86"/>
      <c r="I126" s="86"/>
      <c r="J126" s="86"/>
      <c r="K126" s="86"/>
      <c r="L126" s="86"/>
      <c r="M126" s="86"/>
      <c r="N126" s="86"/>
      <c r="O126" s="86"/>
      <c r="P126" s="86"/>
      <c r="Q126" s="86"/>
      <c r="R126" s="86"/>
      <c r="S126" s="86"/>
    </row>
    <row r="127" spans="2:19">
      <c r="B127" s="357"/>
      <c r="C127" s="360"/>
      <c r="D127" s="361"/>
      <c r="E127" s="361"/>
      <c r="F127" s="361"/>
      <c r="G127" s="86"/>
      <c r="H127" s="86"/>
      <c r="I127" s="86"/>
      <c r="J127" s="86"/>
      <c r="K127" s="86"/>
      <c r="L127" s="86"/>
      <c r="M127" s="86"/>
      <c r="N127" s="86"/>
      <c r="O127" s="86"/>
      <c r="P127" s="86"/>
      <c r="Q127" s="86"/>
      <c r="R127" s="86"/>
      <c r="S127" s="86"/>
    </row>
    <row r="128" spans="2:19">
      <c r="B128" s="357"/>
      <c r="C128" s="360"/>
      <c r="D128" s="361"/>
      <c r="E128" s="361"/>
      <c r="F128" s="361"/>
      <c r="G128" s="86"/>
      <c r="H128" s="86"/>
      <c r="I128" s="86"/>
      <c r="J128" s="86"/>
      <c r="K128" s="86"/>
      <c r="L128" s="86"/>
      <c r="M128" s="86"/>
      <c r="N128" s="86"/>
      <c r="O128" s="86"/>
      <c r="P128" s="86"/>
      <c r="Q128" s="86"/>
      <c r="R128" s="86"/>
      <c r="S128" s="86"/>
    </row>
    <row r="129" spans="2:17">
      <c r="B129" s="362"/>
      <c r="C129" s="363"/>
      <c r="D129" s="363"/>
      <c r="E129" s="363"/>
      <c r="F129" s="363"/>
      <c r="G129" s="363"/>
      <c r="H129" s="363"/>
      <c r="I129" s="363"/>
      <c r="J129" s="81"/>
      <c r="K129" s="81"/>
      <c r="L129" s="81"/>
      <c r="M129" s="81"/>
      <c r="N129" s="81"/>
      <c r="O129" s="81"/>
      <c r="P129" s="81"/>
      <c r="Q129" s="81"/>
    </row>
    <row r="130" spans="2:17">
      <c r="B130" s="80"/>
      <c r="C130" s="80"/>
      <c r="D130" s="81"/>
      <c r="E130" s="81"/>
      <c r="F130" s="81"/>
      <c r="G130" s="81"/>
      <c r="H130" s="81"/>
      <c r="I130" s="81"/>
      <c r="J130" s="81"/>
      <c r="K130" s="81"/>
      <c r="L130" s="81"/>
      <c r="M130" s="81"/>
      <c r="N130" s="81"/>
      <c r="O130" s="81"/>
      <c r="P130" s="81"/>
      <c r="Q130" s="81"/>
    </row>
    <row r="131" spans="2:17">
      <c r="B131" s="80"/>
      <c r="C131" s="80"/>
      <c r="D131" s="81"/>
      <c r="E131" s="81"/>
      <c r="F131" s="81"/>
      <c r="G131" s="81"/>
      <c r="H131" s="81"/>
      <c r="I131" s="81"/>
      <c r="J131" s="81"/>
      <c r="K131" s="81"/>
      <c r="L131" s="81"/>
      <c r="M131" s="81"/>
      <c r="N131" s="81"/>
      <c r="O131" s="81"/>
      <c r="P131" s="81"/>
      <c r="Q131" s="81"/>
    </row>
    <row r="132" spans="2:17">
      <c r="B132" s="80"/>
      <c r="D132" s="81"/>
      <c r="E132" s="81"/>
      <c r="F132" s="81"/>
      <c r="G132" s="81"/>
      <c r="H132" s="81"/>
      <c r="I132" s="81"/>
      <c r="J132" s="81"/>
      <c r="K132" s="81"/>
      <c r="L132" s="81"/>
      <c r="M132" s="81"/>
      <c r="N132" s="81"/>
      <c r="O132" s="81"/>
      <c r="P132" s="81"/>
      <c r="Q132" s="81"/>
    </row>
    <row r="133" spans="2:17">
      <c r="B133" s="80"/>
      <c r="D133" s="81"/>
      <c r="E133" s="81"/>
      <c r="F133" s="81"/>
      <c r="G133" s="81"/>
      <c r="H133" s="96"/>
      <c r="I133" s="81"/>
      <c r="J133" s="81"/>
      <c r="K133" s="81"/>
      <c r="L133" s="81"/>
      <c r="M133" s="81"/>
      <c r="N133" s="81"/>
      <c r="O133" s="81"/>
      <c r="P133" s="81"/>
      <c r="Q133" s="81"/>
    </row>
    <row r="134" spans="2:17">
      <c r="D134" s="81"/>
      <c r="E134" s="81"/>
      <c r="F134" s="81"/>
      <c r="G134" s="81"/>
      <c r="H134" s="81"/>
      <c r="I134" s="81"/>
      <c r="J134" s="81"/>
      <c r="K134" s="81"/>
      <c r="L134" s="81"/>
      <c r="M134" s="81"/>
      <c r="N134" s="81"/>
      <c r="O134" s="81"/>
      <c r="P134" s="81"/>
      <c r="Q134" s="81"/>
    </row>
    <row r="135" spans="2:17">
      <c r="D135" s="81"/>
      <c r="E135" s="81"/>
      <c r="F135" s="81"/>
      <c r="G135" s="81"/>
      <c r="H135" s="81"/>
      <c r="I135" s="81"/>
      <c r="J135" s="81"/>
      <c r="K135" s="81"/>
      <c r="L135" s="81"/>
      <c r="M135" s="81"/>
      <c r="N135" s="81"/>
      <c r="O135" s="81"/>
      <c r="P135" s="81"/>
      <c r="Q135" s="81"/>
    </row>
    <row r="136" spans="2:17">
      <c r="D136" s="81"/>
      <c r="E136" s="81"/>
      <c r="F136" s="81"/>
      <c r="G136" s="81"/>
      <c r="H136" s="81"/>
      <c r="I136" s="81"/>
      <c r="J136" s="81"/>
      <c r="K136" s="81"/>
      <c r="L136" s="81"/>
      <c r="M136" s="81"/>
      <c r="N136" s="81"/>
      <c r="O136" s="81"/>
      <c r="P136" s="81"/>
      <c r="Q136" s="81"/>
    </row>
    <row r="137" spans="2:17">
      <c r="D137" s="81"/>
      <c r="E137" s="81"/>
      <c r="F137" s="81"/>
      <c r="G137" s="81"/>
      <c r="H137" s="81"/>
      <c r="I137" s="81"/>
      <c r="J137" s="81"/>
      <c r="K137" s="81"/>
      <c r="L137" s="81"/>
      <c r="M137" s="81"/>
      <c r="N137" s="81"/>
      <c r="O137" s="81"/>
      <c r="P137" s="81"/>
      <c r="Q137" s="81"/>
    </row>
    <row r="138" spans="2:17">
      <c r="D138" s="81"/>
      <c r="E138" s="81"/>
      <c r="F138" s="81"/>
      <c r="G138" s="81"/>
      <c r="H138" s="81"/>
      <c r="I138" s="81"/>
      <c r="J138" s="81"/>
      <c r="K138" s="81"/>
      <c r="L138" s="81"/>
      <c r="M138" s="81"/>
      <c r="N138" s="81"/>
      <c r="O138" s="81"/>
      <c r="P138" s="81"/>
      <c r="Q138" s="81"/>
    </row>
    <row r="139" spans="2:17">
      <c r="D139" s="81"/>
      <c r="E139" s="81"/>
      <c r="F139" s="81"/>
      <c r="G139" s="81"/>
      <c r="H139" s="81"/>
      <c r="I139" s="81"/>
      <c r="J139" s="81"/>
      <c r="K139" s="81"/>
      <c r="L139" s="81"/>
      <c r="M139" s="81"/>
      <c r="N139" s="81"/>
      <c r="O139" s="81"/>
      <c r="P139" s="81"/>
      <c r="Q139" s="81"/>
    </row>
    <row r="140" spans="2:17">
      <c r="D140" s="81"/>
      <c r="E140" s="81"/>
      <c r="F140" s="81"/>
      <c r="G140" s="81"/>
      <c r="H140" s="81"/>
      <c r="I140" s="81"/>
      <c r="J140" s="81"/>
      <c r="K140" s="81"/>
      <c r="L140" s="81"/>
      <c r="M140" s="81"/>
      <c r="N140" s="81"/>
      <c r="O140" s="81"/>
      <c r="P140" s="81"/>
      <c r="Q140" s="81"/>
    </row>
    <row r="141" spans="2:17">
      <c r="D141" s="81"/>
      <c r="E141" s="81"/>
      <c r="F141" s="81"/>
      <c r="G141" s="81"/>
      <c r="H141" s="81"/>
      <c r="I141" s="81"/>
      <c r="J141" s="81"/>
      <c r="K141" s="81"/>
      <c r="L141" s="81"/>
      <c r="M141" s="81"/>
      <c r="N141" s="81"/>
      <c r="O141" s="81"/>
      <c r="P141" s="81"/>
      <c r="Q141" s="81"/>
    </row>
    <row r="142" spans="2:17">
      <c r="D142" s="81"/>
      <c r="E142" s="81"/>
      <c r="F142" s="81"/>
      <c r="G142" s="81"/>
      <c r="H142" s="81"/>
      <c r="I142" s="81"/>
      <c r="J142" s="81"/>
      <c r="K142" s="81"/>
      <c r="L142" s="81"/>
      <c r="M142" s="81"/>
      <c r="N142" s="81"/>
      <c r="O142" s="81"/>
      <c r="P142" s="81"/>
      <c r="Q142" s="81"/>
    </row>
    <row r="143" spans="2:17">
      <c r="D143" s="81"/>
      <c r="E143" s="81"/>
      <c r="F143" s="81"/>
      <c r="G143" s="81"/>
      <c r="H143" s="81"/>
      <c r="I143" s="81"/>
      <c r="J143" s="81"/>
      <c r="K143" s="81"/>
      <c r="L143" s="81"/>
      <c r="M143" s="81"/>
      <c r="N143" s="81"/>
      <c r="O143" s="81"/>
      <c r="P143" s="81"/>
      <c r="Q143" s="81"/>
    </row>
    <row r="159" spans="1:2" ht="18" customHeight="1"/>
    <row r="160" spans="1:2">
      <c r="A160" s="97"/>
      <c r="B160" s="98"/>
    </row>
    <row r="165" spans="2:12">
      <c r="B165" s="364"/>
    </row>
    <row r="168" spans="2:12">
      <c r="B168" s="100"/>
    </row>
    <row r="171" spans="2:12" ht="15.6">
      <c r="B171" s="365"/>
      <c r="C171" s="365"/>
      <c r="D171" s="365"/>
      <c r="E171" s="365"/>
      <c r="F171" s="365"/>
      <c r="G171" s="365"/>
      <c r="H171" s="365"/>
      <c r="I171" s="365"/>
      <c r="J171" s="365"/>
      <c r="K171" s="365"/>
      <c r="L171" s="365"/>
    </row>
    <row r="172" spans="2:12">
      <c r="B172" s="346"/>
      <c r="C172" s="319"/>
      <c r="D172" s="243"/>
      <c r="E172" s="244"/>
      <c r="H172" s="99"/>
    </row>
    <row r="173" spans="2:12">
      <c r="B173" s="366"/>
      <c r="C173" s="367"/>
      <c r="D173" s="368"/>
      <c r="E173" s="369"/>
      <c r="H173" s="99"/>
    </row>
    <row r="174" spans="2:12">
      <c r="B174" s="346"/>
      <c r="C174" s="319"/>
      <c r="D174" s="243"/>
      <c r="E174" s="244"/>
      <c r="H174" s="99"/>
    </row>
    <row r="175" spans="2:12">
      <c r="B175" s="346"/>
      <c r="C175" s="319"/>
      <c r="D175" s="243"/>
      <c r="E175" s="244"/>
    </row>
    <row r="176" spans="2:12">
      <c r="B176" s="346"/>
      <c r="C176" s="319"/>
      <c r="D176" s="243"/>
      <c r="E176" s="244"/>
    </row>
    <row r="177" spans="2:15">
      <c r="B177" s="346"/>
      <c r="C177" s="319"/>
      <c r="D177" s="243"/>
      <c r="E177" s="244"/>
      <c r="O177" s="243"/>
    </row>
    <row r="178" spans="2:15">
      <c r="B178" s="366"/>
      <c r="C178" s="367"/>
      <c r="D178" s="368"/>
      <c r="E178" s="369"/>
    </row>
    <row r="179" spans="2:15">
      <c r="B179" s="346"/>
      <c r="C179" s="319"/>
      <c r="D179" s="243"/>
      <c r="E179" s="244"/>
    </row>
    <row r="180" spans="2:15">
      <c r="B180" s="346"/>
      <c r="C180" s="319"/>
      <c r="D180" s="243"/>
      <c r="E180" s="244"/>
    </row>
    <row r="181" spans="2:15">
      <c r="B181" s="346"/>
      <c r="C181" s="319"/>
      <c r="D181" s="243"/>
      <c r="E181" s="244"/>
      <c r="G181" s="244"/>
    </row>
    <row r="182" spans="2:15">
      <c r="B182" s="346"/>
      <c r="C182" s="319"/>
      <c r="D182" s="243"/>
      <c r="E182" s="244"/>
      <c r="G182" s="244"/>
    </row>
    <row r="183" spans="2:15">
      <c r="B183" s="346"/>
      <c r="C183" s="319"/>
      <c r="D183" s="243"/>
      <c r="E183" s="244"/>
      <c r="G183" s="244"/>
    </row>
    <row r="184" spans="2:15">
      <c r="B184" s="346"/>
      <c r="C184" s="319"/>
      <c r="D184" s="243"/>
      <c r="E184" s="244"/>
      <c r="G184" s="244"/>
    </row>
    <row r="185" spans="2:15">
      <c r="B185" s="346"/>
      <c r="C185" s="319"/>
      <c r="D185" s="243"/>
      <c r="E185" s="244"/>
      <c r="G185" s="244"/>
    </row>
    <row r="186" spans="2:15">
      <c r="C186" s="319"/>
      <c r="D186" s="243"/>
      <c r="E186" s="244"/>
    </row>
    <row r="187" spans="2:15">
      <c r="C187" s="319"/>
      <c r="D187" s="243"/>
      <c r="E187" s="244"/>
    </row>
    <row r="188" spans="2:15">
      <c r="C188" s="319"/>
      <c r="D188" s="243"/>
      <c r="E188" s="244"/>
    </row>
    <row r="189" spans="2:15">
      <c r="C189" s="319"/>
      <c r="D189" s="243"/>
      <c r="E189" s="244"/>
    </row>
    <row r="190" spans="2:15">
      <c r="C190" s="319"/>
      <c r="D190" s="243"/>
      <c r="E190" s="244"/>
    </row>
    <row r="191" spans="2:15">
      <c r="C191" s="319"/>
      <c r="D191" s="243"/>
      <c r="E191" s="244"/>
    </row>
    <row r="192" spans="2:15">
      <c r="C192" s="319"/>
      <c r="D192" s="243"/>
      <c r="E192" s="244"/>
    </row>
    <row r="193" spans="2:13">
      <c r="C193" s="319"/>
      <c r="D193" s="243"/>
      <c r="E193" s="244"/>
    </row>
    <row r="194" spans="2:13">
      <c r="C194" s="319"/>
      <c r="D194" s="243"/>
      <c r="E194" s="244"/>
    </row>
    <row r="195" spans="2:13">
      <c r="C195" s="319"/>
      <c r="D195" s="243"/>
      <c r="E195" s="244"/>
    </row>
    <row r="196" spans="2:13">
      <c r="B196" s="346"/>
      <c r="C196" s="319"/>
      <c r="D196" s="243"/>
      <c r="E196" s="244"/>
      <c r="H196" s="99"/>
      <c r="I196" s="99"/>
      <c r="J196" s="99"/>
    </row>
    <row r="197" spans="2:13">
      <c r="B197" s="346"/>
      <c r="C197" s="319"/>
      <c r="D197" s="243"/>
      <c r="E197" s="244"/>
      <c r="H197" s="99"/>
      <c r="I197" s="99"/>
      <c r="J197" s="99"/>
    </row>
    <row r="198" spans="2:13">
      <c r="B198" s="346"/>
      <c r="C198" s="319"/>
      <c r="D198" s="243"/>
      <c r="E198" s="244"/>
      <c r="H198" s="99"/>
      <c r="I198" s="99"/>
      <c r="J198" s="99"/>
    </row>
    <row r="199" spans="2:13">
      <c r="B199" s="346"/>
      <c r="C199" s="319"/>
      <c r="D199" s="243"/>
      <c r="E199" s="244"/>
      <c r="H199" s="99"/>
      <c r="I199" s="99"/>
      <c r="J199" s="99"/>
    </row>
    <row r="200" spans="2:13">
      <c r="B200" s="346"/>
      <c r="C200" s="319"/>
      <c r="D200" s="243"/>
      <c r="E200" s="244"/>
      <c r="H200" s="99"/>
      <c r="I200" s="99"/>
      <c r="J200" s="99"/>
    </row>
    <row r="201" spans="2:13">
      <c r="B201" s="346"/>
      <c r="C201" s="319"/>
      <c r="D201" s="243"/>
      <c r="E201" s="244"/>
      <c r="J201" s="370"/>
    </row>
    <row r="202" spans="2:13">
      <c r="B202" s="346"/>
      <c r="C202" s="319"/>
      <c r="D202" s="243"/>
      <c r="E202" s="244"/>
      <c r="J202" s="370"/>
    </row>
    <row r="203" spans="2:13">
      <c r="B203" s="346"/>
      <c r="C203" s="319"/>
      <c r="D203" s="243"/>
      <c r="E203" s="244"/>
      <c r="J203" s="370"/>
    </row>
    <row r="204" spans="2:13">
      <c r="B204" s="346"/>
      <c r="C204" s="319"/>
      <c r="D204" s="243"/>
      <c r="E204" s="244"/>
      <c r="J204" s="370"/>
    </row>
    <row r="205" spans="2:13">
      <c r="B205" s="346"/>
      <c r="C205" s="319"/>
      <c r="D205" s="243"/>
      <c r="E205" s="244"/>
      <c r="J205" s="370"/>
    </row>
    <row r="206" spans="2:13">
      <c r="M206" s="284"/>
    </row>
    <row r="219" spans="2:2">
      <c r="B219" s="98"/>
    </row>
    <row r="223" spans="2:2">
      <c r="B223" s="350"/>
    </row>
    <row r="224" spans="2:2">
      <c r="B224" s="152"/>
    </row>
    <row r="227" spans="2:16">
      <c r="B227" s="100"/>
    </row>
    <row r="228" spans="2:16">
      <c r="B228" s="371"/>
      <c r="C228" s="372"/>
      <c r="D228" s="372"/>
      <c r="E228" s="373"/>
      <c r="F228" s="372"/>
    </row>
    <row r="229" spans="2:16">
      <c r="B229" s="371"/>
      <c r="C229" s="372"/>
      <c r="D229" s="372"/>
      <c r="E229" s="373"/>
      <c r="F229" s="372"/>
    </row>
    <row r="230" spans="2:16">
      <c r="B230" s="374"/>
      <c r="C230" s="372"/>
      <c r="D230" s="372"/>
      <c r="E230" s="373"/>
      <c r="F230" s="375"/>
    </row>
    <row r="231" spans="2:16">
      <c r="B231" s="376"/>
      <c r="C231" s="377"/>
      <c r="D231" s="377"/>
      <c r="E231" s="377"/>
      <c r="F231" s="377"/>
      <c r="P231" s="100"/>
    </row>
    <row r="232" spans="2:16">
      <c r="B232" s="378"/>
      <c r="C232" s="379"/>
      <c r="D232" s="379"/>
      <c r="E232" s="379"/>
      <c r="F232" s="379"/>
    </row>
    <row r="233" spans="2:16">
      <c r="B233" s="378"/>
      <c r="C233" s="379"/>
      <c r="D233" s="379"/>
      <c r="E233" s="379"/>
      <c r="F233" s="379"/>
    </row>
    <row r="234" spans="2:16">
      <c r="B234" s="378"/>
      <c r="C234" s="379"/>
      <c r="D234" s="379"/>
      <c r="E234" s="379"/>
      <c r="F234" s="379"/>
    </row>
    <row r="235" spans="2:16">
      <c r="B235" s="378"/>
      <c r="C235" s="379"/>
      <c r="D235" s="379"/>
      <c r="E235" s="379"/>
      <c r="F235" s="379"/>
    </row>
    <row r="236" spans="2:16">
      <c r="B236" s="378"/>
      <c r="C236" s="379"/>
      <c r="D236" s="379"/>
      <c r="E236" s="379"/>
      <c r="F236" s="379"/>
    </row>
    <row r="237" spans="2:16">
      <c r="B237" s="378"/>
      <c r="C237" s="379"/>
      <c r="D237" s="379"/>
      <c r="E237" s="379"/>
      <c r="F237" s="379"/>
    </row>
    <row r="238" spans="2:16">
      <c r="B238" s="380"/>
      <c r="C238" s="381"/>
      <c r="D238" s="381"/>
      <c r="E238" s="381"/>
      <c r="F238" s="381"/>
    </row>
    <row r="239" spans="2:16">
      <c r="B239" s="382"/>
      <c r="C239" s="372"/>
      <c r="D239" s="372"/>
      <c r="E239" s="373"/>
      <c r="F239" s="372"/>
    </row>
    <row r="240" spans="2:16">
      <c r="B240" s="382"/>
      <c r="C240" s="372"/>
    </row>
    <row r="245" spans="2:3">
      <c r="B245" s="383"/>
      <c r="C245" s="383"/>
    </row>
    <row r="246" spans="2:3">
      <c r="B246" s="383"/>
      <c r="C246" s="384"/>
    </row>
    <row r="247" spans="2:3">
      <c r="B247" s="378"/>
      <c r="C247" s="379"/>
    </row>
    <row r="248" spans="2:3">
      <c r="B248" s="378"/>
      <c r="C248" s="379"/>
    </row>
    <row r="249" spans="2:3">
      <c r="B249" s="378"/>
      <c r="C249" s="379"/>
    </row>
    <row r="250" spans="2:3">
      <c r="B250" s="378"/>
      <c r="C250" s="379"/>
    </row>
    <row r="251" spans="2:3">
      <c r="B251" s="378"/>
      <c r="C251" s="379"/>
    </row>
    <row r="252" spans="2:3">
      <c r="B252" s="378"/>
      <c r="C252" s="379"/>
    </row>
    <row r="253" spans="2:3">
      <c r="B253" s="380"/>
      <c r="C253" s="381"/>
    </row>
    <row r="254" spans="2:3">
      <c r="B254" s="382"/>
      <c r="C254" s="385"/>
    </row>
    <row r="255" spans="2:3">
      <c r="B255" s="382"/>
      <c r="C255" s="385"/>
    </row>
    <row r="257" spans="2:16">
      <c r="P257" s="98"/>
    </row>
    <row r="258" spans="2:16">
      <c r="P258" s="98"/>
    </row>
    <row r="259" spans="2:16">
      <c r="B259" s="100"/>
      <c r="P259" s="98"/>
    </row>
    <row r="287" spans="2:2">
      <c r="B287" s="98"/>
    </row>
    <row r="288" spans="2:2">
      <c r="B288" s="98"/>
    </row>
    <row r="289" spans="2:3">
      <c r="B289" s="98"/>
    </row>
    <row r="291" spans="2:3">
      <c r="B291" s="98"/>
    </row>
    <row r="294" spans="2:3">
      <c r="B294" s="100"/>
    </row>
    <row r="297" spans="2:3">
      <c r="B297" s="383"/>
      <c r="C297" s="383"/>
    </row>
    <row r="298" spans="2:3">
      <c r="B298" s="383"/>
      <c r="C298" s="384"/>
    </row>
    <row r="299" spans="2:3">
      <c r="B299" s="378"/>
      <c r="C299" s="379"/>
    </row>
    <row r="300" spans="2:3">
      <c r="B300" s="378"/>
      <c r="C300" s="379"/>
    </row>
    <row r="301" spans="2:3">
      <c r="B301" s="378"/>
      <c r="C301" s="379"/>
    </row>
    <row r="302" spans="2:3">
      <c r="B302" s="378"/>
      <c r="C302" s="379"/>
    </row>
    <row r="303" spans="2:3">
      <c r="B303" s="378"/>
      <c r="C303" s="379"/>
    </row>
    <row r="304" spans="2:3">
      <c r="B304" s="378"/>
      <c r="C304" s="379"/>
    </row>
    <row r="305" spans="2:4">
      <c r="B305" s="380"/>
      <c r="C305" s="381"/>
    </row>
    <row r="306" spans="2:4">
      <c r="B306" s="382"/>
      <c r="C306" s="385"/>
    </row>
    <row r="307" spans="2:4">
      <c r="B307" s="382"/>
      <c r="C307" s="385"/>
    </row>
    <row r="310" spans="2:4">
      <c r="B310" s="100"/>
    </row>
    <row r="314" spans="2:4">
      <c r="B314" s="383"/>
      <c r="C314" s="383"/>
    </row>
    <row r="315" spans="2:4">
      <c r="B315" s="383"/>
      <c r="C315" s="384"/>
    </row>
    <row r="316" spans="2:4">
      <c r="B316" s="378"/>
      <c r="C316" s="379"/>
    </row>
    <row r="317" spans="2:4">
      <c r="B317" s="378"/>
      <c r="C317" s="379"/>
    </row>
    <row r="318" spans="2:4">
      <c r="B318" s="378"/>
      <c r="C318" s="379"/>
      <c r="D318" s="243"/>
    </row>
    <row r="319" spans="2:4">
      <c r="B319" s="378"/>
      <c r="C319" s="379"/>
    </row>
    <row r="320" spans="2:4">
      <c r="B320" s="378"/>
      <c r="C320" s="379"/>
    </row>
    <row r="321" spans="2:10">
      <c r="B321" s="378"/>
      <c r="C321" s="379"/>
    </row>
    <row r="322" spans="2:10">
      <c r="B322" s="380"/>
      <c r="C322" s="379"/>
    </row>
    <row r="323" spans="2:10">
      <c r="B323" s="382"/>
      <c r="C323" s="385"/>
    </row>
    <row r="324" spans="2:10">
      <c r="B324" s="382"/>
      <c r="C324" s="385"/>
    </row>
    <row r="326" spans="2:10">
      <c r="B326" s="100"/>
    </row>
    <row r="327" spans="2:10">
      <c r="B327" s="152"/>
    </row>
    <row r="333" spans="2:10" ht="15.6">
      <c r="B333" s="386"/>
      <c r="C333" s="162"/>
      <c r="D333" s="162"/>
      <c r="E333" s="163"/>
      <c r="F333" s="163"/>
      <c r="G333" s="163"/>
      <c r="H333" s="163"/>
      <c r="I333" s="163"/>
    </row>
    <row r="334" spans="2:10">
      <c r="B334" s="163"/>
      <c r="C334" s="162"/>
      <c r="D334" s="162"/>
      <c r="E334" s="163"/>
      <c r="F334" s="201"/>
      <c r="G334" s="201"/>
      <c r="H334" s="163"/>
      <c r="I334" s="202"/>
    </row>
    <row r="335" spans="2:10">
      <c r="B335" s="209"/>
      <c r="C335" s="203"/>
      <c r="D335" s="203"/>
      <c r="E335" s="203"/>
      <c r="F335" s="203"/>
      <c r="G335" s="203"/>
      <c r="H335" s="203"/>
      <c r="I335" s="203"/>
      <c r="J335" s="203"/>
    </row>
    <row r="336" spans="2:10">
      <c r="B336" s="179"/>
      <c r="C336" s="178"/>
      <c r="D336" s="178"/>
      <c r="E336" s="178"/>
      <c r="F336" s="178"/>
      <c r="G336" s="178"/>
      <c r="H336" s="178"/>
      <c r="I336" s="178"/>
    </row>
    <row r="337" spans="2:9">
      <c r="B337" s="179"/>
      <c r="C337" s="178"/>
      <c r="D337" s="178"/>
      <c r="E337" s="178"/>
      <c r="F337" s="178"/>
      <c r="G337" s="178"/>
      <c r="H337" s="178"/>
      <c r="I337" s="178"/>
    </row>
    <row r="338" spans="2:9">
      <c r="B338" s="179"/>
      <c r="C338" s="178"/>
      <c r="D338" s="178"/>
      <c r="E338" s="178"/>
      <c r="F338" s="178"/>
      <c r="G338" s="178"/>
      <c r="H338" s="178"/>
      <c r="I338" s="178"/>
    </row>
    <row r="339" spans="2:9">
      <c r="B339" s="179"/>
      <c r="C339" s="178"/>
      <c r="D339" s="178"/>
      <c r="E339" s="178"/>
      <c r="F339" s="178"/>
      <c r="G339" s="178"/>
      <c r="H339" s="178"/>
      <c r="I339" s="178"/>
    </row>
    <row r="340" spans="2:9">
      <c r="B340" s="209"/>
      <c r="C340" s="387"/>
      <c r="D340" s="387"/>
      <c r="E340" s="387"/>
      <c r="F340" s="387"/>
      <c r="G340" s="387"/>
      <c r="H340" s="387"/>
      <c r="I340" s="387"/>
    </row>
    <row r="341" spans="2:9">
      <c r="B341" s="100"/>
      <c r="C341" s="172"/>
      <c r="D341" s="163"/>
      <c r="E341" s="163"/>
      <c r="F341" s="163"/>
      <c r="G341" s="163"/>
      <c r="H341" s="163"/>
      <c r="I341" s="173"/>
    </row>
    <row r="342" spans="2:9">
      <c r="B342" s="179"/>
    </row>
    <row r="344" spans="2:9">
      <c r="B344" s="209"/>
      <c r="C344" s="203"/>
    </row>
    <row r="345" spans="2:9">
      <c r="B345" s="179"/>
      <c r="C345" s="178"/>
    </row>
    <row r="346" spans="2:9">
      <c r="B346" s="179"/>
      <c r="C346" s="178"/>
    </row>
    <row r="347" spans="2:9">
      <c r="B347" s="179"/>
      <c r="C347" s="178"/>
    </row>
    <row r="348" spans="2:9">
      <c r="B348" s="179"/>
      <c r="C348" s="178"/>
    </row>
    <row r="349" spans="2:9">
      <c r="B349" s="178"/>
      <c r="C349" s="178"/>
    </row>
    <row r="350" spans="2:9">
      <c r="B350" s="178"/>
      <c r="C350" s="178"/>
    </row>
    <row r="353" spans="2:7">
      <c r="B353" s="388"/>
      <c r="C353" s="389"/>
      <c r="D353" s="389"/>
      <c r="E353" s="389"/>
      <c r="F353" s="389"/>
    </row>
    <row r="354" spans="2:7">
      <c r="B354" s="388"/>
      <c r="C354" s="390"/>
      <c r="D354" s="390"/>
      <c r="E354" s="390"/>
      <c r="F354" s="391"/>
    </row>
    <row r="355" spans="2:7">
      <c r="B355" s="392"/>
      <c r="C355" s="391"/>
      <c r="D355" s="391"/>
      <c r="E355" s="390"/>
      <c r="F355" s="393"/>
      <c r="G355" s="191"/>
    </row>
    <row r="363" spans="2:7">
      <c r="B363" s="394"/>
      <c r="C363" s="391"/>
      <c r="D363" s="391"/>
    </row>
    <row r="364" spans="2:7">
      <c r="B364" s="395"/>
      <c r="C364" s="396"/>
      <c r="D364" s="393"/>
    </row>
    <row r="365" spans="2:7">
      <c r="B365" s="395"/>
      <c r="C365" s="396"/>
      <c r="D365" s="393"/>
    </row>
    <row r="370" spans="2:9">
      <c r="B370" s="397"/>
      <c r="C370" s="390"/>
      <c r="D370" s="390"/>
      <c r="E370" s="395"/>
    </row>
    <row r="371" spans="2:9">
      <c r="B371" s="397"/>
      <c r="C371" s="390"/>
      <c r="D371" s="390"/>
      <c r="E371" s="391"/>
    </row>
    <row r="372" spans="2:9">
      <c r="B372" s="395"/>
      <c r="C372" s="396"/>
      <c r="D372" s="396"/>
      <c r="E372" s="393"/>
    </row>
    <row r="373" spans="2:9">
      <c r="B373" s="398"/>
      <c r="C373" s="396"/>
      <c r="D373" s="396"/>
      <c r="E373" s="393"/>
    </row>
    <row r="374" spans="2:9">
      <c r="B374" s="395"/>
      <c r="C374" s="396"/>
      <c r="D374" s="396"/>
      <c r="E374" s="393"/>
    </row>
    <row r="375" spans="2:9">
      <c r="B375" s="395"/>
      <c r="C375" s="396"/>
      <c r="D375" s="396"/>
      <c r="E375" s="399"/>
    </row>
    <row r="377" spans="2:9">
      <c r="B377" s="100"/>
    </row>
    <row r="380" spans="2:9" ht="15.6">
      <c r="B380" s="204"/>
      <c r="C380" s="162"/>
      <c r="D380" s="162"/>
      <c r="E380" s="163"/>
      <c r="F380" s="163"/>
      <c r="G380" s="163"/>
      <c r="H380" s="163"/>
      <c r="I380" s="163"/>
    </row>
    <row r="381" spans="2:9">
      <c r="B381" s="163"/>
      <c r="C381" s="162"/>
      <c r="D381" s="162"/>
      <c r="E381" s="163"/>
      <c r="F381" s="201"/>
      <c r="G381" s="201"/>
      <c r="H381" s="163"/>
      <c r="I381" s="202"/>
    </row>
    <row r="382" spans="2:9">
      <c r="B382" s="209"/>
      <c r="C382" s="203"/>
      <c r="D382" s="203"/>
      <c r="E382" s="203"/>
      <c r="F382" s="203"/>
      <c r="G382" s="203"/>
      <c r="H382" s="203"/>
      <c r="I382" s="203"/>
    </row>
    <row r="383" spans="2:9">
      <c r="B383" s="179"/>
      <c r="C383" s="178"/>
      <c r="D383" s="178"/>
      <c r="E383" s="178"/>
      <c r="F383" s="178"/>
      <c r="G383" s="178"/>
      <c r="H383" s="178"/>
      <c r="I383" s="178"/>
    </row>
    <row r="384" spans="2:9">
      <c r="B384" s="179"/>
      <c r="C384" s="178"/>
      <c r="D384" s="178"/>
      <c r="E384" s="178"/>
      <c r="F384" s="178"/>
      <c r="G384" s="178"/>
      <c r="H384" s="178"/>
      <c r="I384" s="178"/>
    </row>
    <row r="385" spans="2:9">
      <c r="B385" s="179"/>
      <c r="C385" s="178"/>
      <c r="D385" s="178"/>
      <c r="E385" s="178"/>
      <c r="F385" s="178"/>
      <c r="G385" s="178"/>
      <c r="H385" s="178"/>
      <c r="I385" s="178"/>
    </row>
    <row r="386" spans="2:9">
      <c r="B386" s="179"/>
      <c r="C386" s="178"/>
      <c r="D386" s="178"/>
      <c r="E386" s="178"/>
      <c r="F386" s="178"/>
      <c r="G386" s="178"/>
      <c r="H386" s="178"/>
      <c r="I386" s="178"/>
    </row>
    <row r="387" spans="2:9">
      <c r="B387" s="209"/>
      <c r="C387" s="387"/>
      <c r="D387" s="387"/>
      <c r="E387" s="387"/>
      <c r="F387" s="387"/>
      <c r="G387" s="387"/>
      <c r="H387" s="387"/>
      <c r="I387" s="387"/>
    </row>
    <row r="388" spans="2:9">
      <c r="B388" s="162"/>
      <c r="C388" s="210"/>
      <c r="D388" s="163"/>
      <c r="E388" s="163"/>
      <c r="F388" s="163"/>
      <c r="G388" s="163"/>
      <c r="H388" s="163"/>
      <c r="I388" s="173"/>
    </row>
    <row r="389" spans="2:9">
      <c r="B389" s="179"/>
    </row>
    <row r="394" spans="2:9">
      <c r="B394" s="391"/>
      <c r="C394" s="391"/>
    </row>
    <row r="395" spans="2:9">
      <c r="B395" s="179"/>
      <c r="C395" s="400"/>
    </row>
    <row r="399" spans="2:9">
      <c r="B399" s="100"/>
    </row>
    <row r="400" spans="2:9" ht="21">
      <c r="B400" s="178"/>
      <c r="C400" s="214"/>
    </row>
    <row r="406" spans="2:9">
      <c r="B406" s="178"/>
    </row>
    <row r="407" spans="2:9">
      <c r="B407" s="178"/>
    </row>
    <row r="408" spans="2:9">
      <c r="B408" s="178"/>
    </row>
    <row r="409" spans="2:9">
      <c r="B409" s="99"/>
      <c r="C409" s="99"/>
      <c r="D409" s="99"/>
      <c r="E409" s="99"/>
      <c r="F409" s="99"/>
      <c r="G409" s="99"/>
      <c r="H409" s="99"/>
      <c r="I409" s="99"/>
    </row>
    <row r="410" spans="2:9">
      <c r="B410" s="99"/>
      <c r="C410" s="99"/>
      <c r="D410" s="99"/>
      <c r="E410" s="99"/>
      <c r="F410" s="99"/>
      <c r="G410" s="99"/>
      <c r="H410" s="99"/>
      <c r="I410" s="99"/>
    </row>
    <row r="411" spans="2:9">
      <c r="B411" s="99"/>
      <c r="C411" s="99"/>
      <c r="D411" s="99"/>
      <c r="E411" s="99"/>
      <c r="F411" s="99"/>
      <c r="G411" s="99"/>
      <c r="H411" s="99"/>
      <c r="I411" s="99"/>
    </row>
    <row r="412" spans="2:9">
      <c r="B412" s="99"/>
      <c r="C412" s="99"/>
      <c r="D412" s="99"/>
      <c r="E412" s="99"/>
      <c r="F412" s="99"/>
      <c r="G412" s="99"/>
      <c r="H412" s="99"/>
      <c r="I412" s="99"/>
    </row>
    <row r="413" spans="2:9">
      <c r="B413" s="99"/>
      <c r="C413" s="99"/>
      <c r="D413" s="99"/>
      <c r="E413" s="99"/>
      <c r="F413" s="99"/>
      <c r="G413" s="99"/>
      <c r="H413" s="99"/>
      <c r="I413" s="99"/>
    </row>
    <row r="418" spans="2:5">
      <c r="B418" s="100"/>
    </row>
    <row r="426" spans="2:5">
      <c r="B426" s="401"/>
    </row>
    <row r="428" spans="2:5">
      <c r="E428" s="98"/>
    </row>
    <row r="435" spans="2:6">
      <c r="B435" s="98"/>
    </row>
    <row r="438" spans="2:6">
      <c r="B438" s="152"/>
    </row>
    <row r="439" spans="2:6">
      <c r="B439" s="402"/>
    </row>
    <row r="443" spans="2:6">
      <c r="B443" s="100"/>
    </row>
    <row r="445" spans="2:6">
      <c r="B445" s="371"/>
      <c r="C445" s="372"/>
      <c r="D445" s="372"/>
      <c r="E445" s="373"/>
      <c r="F445" s="372"/>
    </row>
    <row r="446" spans="2:6">
      <c r="B446" s="371"/>
      <c r="C446" s="372"/>
      <c r="D446" s="372"/>
      <c r="E446" s="373"/>
      <c r="F446" s="372"/>
    </row>
    <row r="447" spans="2:6">
      <c r="B447" s="374"/>
      <c r="C447" s="372"/>
      <c r="D447" s="372"/>
      <c r="E447" s="373"/>
      <c r="F447" s="375"/>
    </row>
    <row r="448" spans="2:6">
      <c r="B448" s="376"/>
      <c r="C448" s="377"/>
      <c r="D448" s="377"/>
      <c r="E448" s="377"/>
      <c r="F448" s="377"/>
    </row>
    <row r="449" spans="2:11">
      <c r="B449" s="378"/>
      <c r="C449" s="379"/>
      <c r="D449" s="379"/>
      <c r="E449" s="379"/>
      <c r="F449" s="379"/>
    </row>
    <row r="450" spans="2:11">
      <c r="B450" s="378"/>
      <c r="C450" s="379"/>
      <c r="D450" s="379"/>
      <c r="E450" s="379"/>
      <c r="F450" s="379"/>
    </row>
    <row r="451" spans="2:11">
      <c r="B451" s="378"/>
      <c r="C451" s="379"/>
      <c r="D451" s="379"/>
      <c r="E451" s="379"/>
      <c r="F451" s="379"/>
    </row>
    <row r="452" spans="2:11">
      <c r="B452" s="378"/>
      <c r="C452" s="379"/>
      <c r="D452" s="379"/>
      <c r="E452" s="379"/>
      <c r="F452" s="379"/>
    </row>
    <row r="453" spans="2:11">
      <c r="B453" s="378"/>
      <c r="C453" s="379"/>
      <c r="D453" s="379"/>
      <c r="E453" s="379"/>
      <c r="F453" s="379"/>
    </row>
    <row r="454" spans="2:11">
      <c r="B454" s="378"/>
      <c r="C454" s="379"/>
      <c r="D454" s="379"/>
      <c r="E454" s="379"/>
      <c r="F454" s="379"/>
    </row>
    <row r="455" spans="2:11">
      <c r="B455" s="380"/>
      <c r="C455" s="381"/>
      <c r="D455" s="381"/>
      <c r="E455" s="381"/>
      <c r="F455" s="381"/>
    </row>
    <row r="456" spans="2:11">
      <c r="B456" s="382"/>
      <c r="C456" s="372"/>
      <c r="D456" s="372"/>
      <c r="E456" s="373"/>
      <c r="F456" s="372"/>
    </row>
    <row r="457" spans="2:11">
      <c r="B457" s="382"/>
      <c r="C457" s="372"/>
    </row>
    <row r="462" spans="2:11">
      <c r="B462" s="403"/>
      <c r="C462" s="403"/>
      <c r="D462" s="403"/>
      <c r="E462" s="403"/>
      <c r="F462" s="403"/>
      <c r="G462" s="403"/>
      <c r="H462" s="403"/>
      <c r="I462" s="403"/>
      <c r="J462" s="403"/>
      <c r="K462" s="403"/>
    </row>
    <row r="463" spans="2:11">
      <c r="B463" s="404"/>
      <c r="C463" s="405"/>
      <c r="D463" s="405"/>
      <c r="E463" s="405"/>
      <c r="F463" s="405"/>
      <c r="G463" s="405"/>
      <c r="H463" s="405"/>
      <c r="I463" s="405"/>
      <c r="J463" s="405"/>
      <c r="K463" s="403"/>
    </row>
    <row r="464" spans="2:11">
      <c r="B464" s="406"/>
      <c r="C464" s="405"/>
      <c r="D464" s="405"/>
      <c r="E464" s="405"/>
      <c r="F464" s="405"/>
      <c r="G464" s="405"/>
      <c r="H464" s="405"/>
      <c r="I464" s="405"/>
      <c r="J464" s="405"/>
      <c r="K464" s="403"/>
    </row>
    <row r="465" spans="2:11">
      <c r="B465" s="383"/>
      <c r="C465" s="407"/>
      <c r="D465" s="407"/>
      <c r="E465" s="407"/>
      <c r="F465" s="407"/>
      <c r="G465" s="407"/>
      <c r="H465" s="407"/>
      <c r="I465" s="407"/>
      <c r="J465" s="407"/>
      <c r="K465" s="403"/>
    </row>
    <row r="466" spans="2:11">
      <c r="B466" s="383"/>
      <c r="C466" s="408"/>
      <c r="D466" s="408"/>
      <c r="E466" s="408"/>
      <c r="F466" s="408"/>
      <c r="G466" s="408"/>
      <c r="H466" s="408"/>
      <c r="I466" s="408"/>
      <c r="J466" s="408"/>
      <c r="K466" s="403"/>
    </row>
    <row r="467" spans="2:11">
      <c r="B467" s="376"/>
      <c r="C467" s="409"/>
      <c r="D467" s="409"/>
      <c r="E467" s="409"/>
      <c r="F467" s="409"/>
      <c r="G467" s="410"/>
      <c r="H467" s="411"/>
      <c r="I467" s="411"/>
      <c r="J467" s="411"/>
      <c r="K467" s="403"/>
    </row>
    <row r="468" spans="2:11">
      <c r="B468" s="376"/>
      <c r="C468" s="409"/>
      <c r="D468" s="409"/>
      <c r="E468" s="409"/>
      <c r="F468" s="409"/>
      <c r="G468" s="410"/>
      <c r="H468" s="411"/>
      <c r="I468" s="411"/>
      <c r="J468" s="411"/>
      <c r="K468" s="403"/>
    </row>
    <row r="469" spans="2:11">
      <c r="B469" s="412"/>
      <c r="C469" s="409"/>
      <c r="D469" s="409"/>
      <c r="E469" s="409"/>
      <c r="F469" s="409"/>
      <c r="G469" s="410"/>
      <c r="H469" s="411"/>
      <c r="I469" s="411"/>
      <c r="J469" s="411"/>
      <c r="K469" s="403"/>
    </row>
    <row r="470" spans="2:11">
      <c r="B470" s="413"/>
      <c r="C470" s="414"/>
      <c r="D470" s="414"/>
      <c r="E470" s="414"/>
      <c r="F470" s="414"/>
      <c r="G470" s="410"/>
      <c r="H470" s="415"/>
      <c r="I470" s="415"/>
      <c r="J470" s="415"/>
      <c r="K470" s="403"/>
    </row>
    <row r="471" spans="2:11">
      <c r="B471" s="413"/>
      <c r="C471" s="414"/>
      <c r="D471" s="414"/>
      <c r="E471" s="414"/>
      <c r="F471" s="414"/>
      <c r="G471" s="410"/>
      <c r="H471" s="415"/>
      <c r="I471" s="415"/>
      <c r="J471" s="415"/>
      <c r="K471" s="403"/>
    </row>
    <row r="472" spans="2:11">
      <c r="B472" s="413"/>
      <c r="C472" s="414"/>
      <c r="D472" s="414"/>
      <c r="E472" s="414"/>
      <c r="F472" s="414"/>
      <c r="G472" s="410"/>
      <c r="H472" s="415"/>
      <c r="I472" s="415"/>
      <c r="J472" s="415"/>
      <c r="K472" s="403"/>
    </row>
    <row r="473" spans="2:11">
      <c r="B473" s="413"/>
      <c r="C473" s="414"/>
      <c r="D473" s="414"/>
      <c r="E473" s="414"/>
      <c r="F473" s="414"/>
      <c r="G473" s="410"/>
      <c r="H473" s="415"/>
      <c r="I473" s="415"/>
      <c r="J473" s="415"/>
      <c r="K473" s="403"/>
    </row>
    <row r="474" spans="2:11">
      <c r="B474" s="413"/>
      <c r="C474" s="414"/>
      <c r="D474" s="414"/>
      <c r="E474" s="414"/>
      <c r="F474" s="414"/>
      <c r="G474" s="410"/>
      <c r="H474" s="415"/>
      <c r="I474" s="415"/>
      <c r="J474" s="415"/>
      <c r="K474" s="403"/>
    </row>
    <row r="475" spans="2:11">
      <c r="B475" s="413"/>
      <c r="C475" s="414"/>
      <c r="D475" s="414"/>
      <c r="E475" s="414"/>
      <c r="F475" s="414"/>
      <c r="G475" s="410"/>
      <c r="H475" s="415"/>
      <c r="I475" s="415"/>
      <c r="J475" s="415"/>
      <c r="K475" s="403"/>
    </row>
    <row r="476" spans="2:11">
      <c r="B476" s="413"/>
      <c r="C476" s="414"/>
      <c r="D476" s="414"/>
      <c r="E476" s="414"/>
      <c r="F476" s="414"/>
      <c r="G476" s="410"/>
      <c r="H476" s="415"/>
      <c r="I476" s="415"/>
      <c r="J476" s="415"/>
      <c r="K476" s="403"/>
    </row>
    <row r="477" spans="2:11">
      <c r="B477" s="413"/>
      <c r="C477" s="414"/>
      <c r="D477" s="414"/>
      <c r="E477" s="414"/>
      <c r="F477" s="414"/>
      <c r="G477" s="410"/>
      <c r="H477" s="415"/>
      <c r="I477" s="415"/>
      <c r="J477" s="415"/>
      <c r="K477" s="403"/>
    </row>
    <row r="478" spans="2:11">
      <c r="B478" s="413"/>
      <c r="C478" s="414"/>
      <c r="D478" s="414"/>
      <c r="E478" s="414"/>
      <c r="F478" s="414"/>
      <c r="G478" s="410"/>
      <c r="H478" s="415"/>
      <c r="I478" s="415"/>
      <c r="J478" s="415"/>
      <c r="K478" s="403"/>
    </row>
    <row r="479" spans="2:11">
      <c r="B479" s="404"/>
      <c r="C479" s="409"/>
      <c r="D479" s="409"/>
      <c r="E479" s="409"/>
      <c r="F479" s="409"/>
      <c r="G479" s="410"/>
      <c r="H479" s="411"/>
      <c r="I479" s="411"/>
      <c r="J479" s="411"/>
      <c r="K479" s="403"/>
    </row>
    <row r="480" spans="2:11">
      <c r="B480" s="376"/>
      <c r="C480" s="409"/>
      <c r="D480" s="409"/>
      <c r="E480" s="409"/>
      <c r="F480" s="409"/>
      <c r="G480" s="410"/>
      <c r="H480" s="411"/>
      <c r="I480" s="411"/>
      <c r="J480" s="411"/>
      <c r="K480" s="403"/>
    </row>
    <row r="481" spans="2:11">
      <c r="B481" s="412"/>
      <c r="C481" s="409"/>
      <c r="D481" s="409"/>
      <c r="E481" s="409"/>
      <c r="F481" s="409"/>
      <c r="G481" s="410"/>
      <c r="H481" s="411"/>
      <c r="I481" s="411"/>
      <c r="J481" s="411"/>
      <c r="K481" s="403"/>
    </row>
    <row r="482" spans="2:11">
      <c r="B482" s="413"/>
      <c r="C482" s="414"/>
      <c r="D482" s="414"/>
      <c r="E482" s="414"/>
      <c r="F482" s="414"/>
      <c r="G482" s="410"/>
      <c r="H482" s="415"/>
      <c r="I482" s="415"/>
      <c r="J482" s="415"/>
      <c r="K482" s="403"/>
    </row>
    <row r="483" spans="2:11">
      <c r="B483" s="413"/>
      <c r="C483" s="414"/>
      <c r="D483" s="414"/>
      <c r="E483" s="414"/>
      <c r="F483" s="414"/>
      <c r="G483" s="410"/>
      <c r="H483" s="415"/>
      <c r="I483" s="415"/>
      <c r="J483" s="415"/>
      <c r="K483" s="403"/>
    </row>
    <row r="484" spans="2:11">
      <c r="B484" s="413"/>
      <c r="C484" s="414"/>
      <c r="D484" s="414"/>
      <c r="E484" s="414"/>
      <c r="F484" s="414"/>
      <c r="G484" s="410"/>
      <c r="H484" s="415"/>
      <c r="I484" s="415"/>
      <c r="J484" s="415"/>
      <c r="K484" s="403"/>
    </row>
    <row r="485" spans="2:11">
      <c r="B485" s="413"/>
      <c r="C485" s="414"/>
      <c r="D485" s="414"/>
      <c r="E485" s="414"/>
      <c r="F485" s="414"/>
      <c r="G485" s="410"/>
      <c r="H485" s="415"/>
      <c r="I485" s="415"/>
      <c r="J485" s="415"/>
      <c r="K485" s="403"/>
    </row>
    <row r="486" spans="2:11">
      <c r="B486" s="413"/>
      <c r="C486" s="414"/>
      <c r="D486" s="414"/>
      <c r="E486" s="414"/>
      <c r="F486" s="414"/>
      <c r="G486" s="410"/>
      <c r="H486" s="415"/>
      <c r="I486" s="415"/>
      <c r="J486" s="415"/>
      <c r="K486" s="403"/>
    </row>
    <row r="487" spans="2:11">
      <c r="B487" s="404"/>
      <c r="C487" s="409"/>
      <c r="D487" s="409"/>
      <c r="E487" s="409"/>
      <c r="F487" s="409"/>
      <c r="G487" s="410"/>
      <c r="H487" s="411"/>
      <c r="I487" s="411"/>
      <c r="J487" s="411"/>
      <c r="K487" s="403"/>
    </row>
    <row r="488" spans="2:11">
      <c r="B488" s="376"/>
      <c r="C488" s="409"/>
      <c r="D488" s="409"/>
      <c r="E488" s="409"/>
      <c r="F488" s="416"/>
      <c r="G488" s="410"/>
      <c r="H488" s="411"/>
      <c r="I488" s="411"/>
      <c r="J488" s="411"/>
      <c r="K488" s="403"/>
    </row>
    <row r="489" spans="2:11">
      <c r="B489" s="376"/>
      <c r="C489" s="409"/>
      <c r="D489" s="409"/>
      <c r="E489" s="409"/>
      <c r="F489" s="416"/>
      <c r="G489" s="410"/>
      <c r="H489" s="411"/>
      <c r="I489" s="411"/>
      <c r="J489" s="411"/>
      <c r="K489" s="403"/>
    </row>
    <row r="490" spans="2:11">
      <c r="B490" s="413"/>
      <c r="C490" s="409"/>
      <c r="D490" s="409"/>
      <c r="E490" s="409"/>
      <c r="F490" s="416"/>
      <c r="G490" s="410"/>
      <c r="H490" s="411"/>
      <c r="I490" s="411"/>
      <c r="J490" s="411"/>
      <c r="K490" s="403"/>
    </row>
    <row r="491" spans="2:11">
      <c r="B491" s="382"/>
      <c r="C491" s="382"/>
      <c r="D491" s="382"/>
      <c r="E491" s="382"/>
      <c r="F491" s="382"/>
      <c r="G491" s="382"/>
      <c r="H491" s="382"/>
      <c r="I491" s="382"/>
      <c r="J491" s="382"/>
      <c r="K491" s="403"/>
    </row>
    <row r="492" spans="2:11">
      <c r="B492" s="382"/>
      <c r="C492" s="382"/>
      <c r="D492" s="382"/>
      <c r="E492" s="382"/>
      <c r="F492" s="382"/>
      <c r="G492" s="382"/>
      <c r="H492" s="382"/>
      <c r="I492" s="382"/>
      <c r="J492" s="382"/>
      <c r="K492" s="403"/>
    </row>
    <row r="493" spans="2:11">
      <c r="B493" s="382"/>
      <c r="C493" s="382"/>
      <c r="D493" s="382"/>
      <c r="E493" s="382"/>
      <c r="F493" s="382"/>
      <c r="G493" s="382"/>
      <c r="H493" s="382"/>
      <c r="I493" s="382"/>
      <c r="J493" s="382"/>
      <c r="K493" s="403"/>
    </row>
    <row r="494" spans="2:11">
      <c r="B494" s="378"/>
      <c r="C494" s="378"/>
      <c r="D494" s="378"/>
      <c r="E494" s="378"/>
      <c r="F494" s="378"/>
      <c r="G494" s="378"/>
      <c r="H494" s="378"/>
      <c r="I494" s="378"/>
      <c r="J494" s="378"/>
      <c r="K494" s="403"/>
    </row>
    <row r="495" spans="2:11">
      <c r="B495" s="382"/>
      <c r="C495" s="382"/>
      <c r="D495" s="382"/>
      <c r="E495" s="382"/>
      <c r="F495" s="382"/>
      <c r="G495" s="382"/>
      <c r="H495" s="382"/>
      <c r="I495" s="382"/>
      <c r="J495" s="382"/>
      <c r="K495" s="403"/>
    </row>
    <row r="496" spans="2:11">
      <c r="B496" s="382"/>
      <c r="C496" s="382"/>
      <c r="D496" s="382"/>
      <c r="E496" s="382"/>
      <c r="F496" s="382"/>
      <c r="G496" s="382"/>
      <c r="H496" s="382"/>
      <c r="I496" s="382"/>
      <c r="J496" s="382"/>
      <c r="K496" s="403"/>
    </row>
    <row r="497" spans="2:11">
      <c r="B497" s="382"/>
      <c r="C497" s="382"/>
      <c r="D497" s="382"/>
      <c r="E497" s="382"/>
      <c r="F497" s="382"/>
      <c r="G497" s="382"/>
      <c r="H497" s="382"/>
      <c r="I497" s="382"/>
      <c r="J497" s="382"/>
      <c r="K497" s="403"/>
    </row>
    <row r="498" spans="2:11">
      <c r="B498" s="413"/>
      <c r="C498" s="382"/>
      <c r="D498" s="382"/>
      <c r="E498" s="382"/>
      <c r="F498" s="382"/>
      <c r="G498" s="382"/>
      <c r="H498" s="382"/>
      <c r="I498" s="382"/>
      <c r="J498" s="382"/>
      <c r="K498" s="403"/>
    </row>
    <row r="499" spans="2:11">
      <c r="B499" s="413"/>
      <c r="C499" s="382"/>
      <c r="D499" s="382"/>
      <c r="E499" s="382"/>
      <c r="F499" s="382"/>
      <c r="G499" s="382"/>
      <c r="H499" s="382"/>
      <c r="I499" s="382"/>
      <c r="J499" s="382"/>
      <c r="K499" s="403"/>
    </row>
    <row r="500" spans="2:11">
      <c r="B500" s="413"/>
      <c r="C500" s="382"/>
      <c r="D500" s="382"/>
      <c r="E500" s="382"/>
      <c r="F500" s="382"/>
      <c r="G500" s="382"/>
      <c r="H500" s="382"/>
      <c r="I500" s="382"/>
      <c r="J500" s="382"/>
      <c r="K500" s="403"/>
    </row>
    <row r="504" spans="2:11">
      <c r="B504" s="100"/>
    </row>
    <row r="508" spans="2:11">
      <c r="B508" s="100"/>
      <c r="C508" s="172"/>
    </row>
    <row r="509" spans="2:11">
      <c r="B509" s="179"/>
    </row>
    <row r="511" spans="2:11">
      <c r="B511" s="209"/>
      <c r="C511" s="203"/>
    </row>
    <row r="512" spans="2:11">
      <c r="B512" s="179"/>
      <c r="C512" s="178"/>
    </row>
    <row r="513" spans="2:3">
      <c r="B513" s="179"/>
      <c r="C513" s="178"/>
    </row>
    <row r="514" spans="2:3">
      <c r="B514" s="179"/>
      <c r="C514" s="178"/>
    </row>
    <row r="515" spans="2:3">
      <c r="B515" s="179"/>
      <c r="C515" s="178"/>
    </row>
    <row r="518" spans="2:3">
      <c r="B518" s="100"/>
    </row>
    <row r="519" spans="2:3">
      <c r="B519" s="178"/>
    </row>
    <row r="525" spans="2:3">
      <c r="B525" s="178"/>
    </row>
    <row r="528" spans="2:3">
      <c r="B528" s="100"/>
    </row>
    <row r="536" spans="2:2">
      <c r="B536" s="178"/>
    </row>
    <row r="543" spans="2:2">
      <c r="B543" s="98"/>
    </row>
    <row r="549" spans="2:17" ht="29.25" customHeight="1"/>
    <row r="550" spans="2:17">
      <c r="B550" s="98"/>
      <c r="C550" s="98"/>
      <c r="D550" s="98"/>
    </row>
    <row r="551" spans="2:17">
      <c r="B551" s="98"/>
      <c r="C551" s="345"/>
      <c r="D551" s="346"/>
    </row>
    <row r="552" spans="2:17">
      <c r="B552" s="98"/>
    </row>
    <row r="554" spans="2:17">
      <c r="B554" s="98"/>
      <c r="C554" s="98"/>
      <c r="D554" s="98"/>
      <c r="E554" s="98"/>
      <c r="F554" s="98"/>
      <c r="G554" s="98"/>
      <c r="H554" s="98"/>
      <c r="I554" s="98"/>
      <c r="J554" s="98"/>
      <c r="K554" s="98"/>
      <c r="L554" s="98"/>
      <c r="M554" s="98"/>
      <c r="N554" s="98"/>
      <c r="O554" s="98"/>
      <c r="P554" s="98"/>
      <c r="Q554" s="98"/>
    </row>
    <row r="555" spans="2:17" ht="32.549999999999997" customHeight="1">
      <c r="B555" s="350"/>
      <c r="C555" s="78"/>
      <c r="D555" s="78"/>
      <c r="E555" s="78"/>
      <c r="F555" s="78"/>
      <c r="G555" s="78"/>
      <c r="H555" s="78"/>
      <c r="I555" s="78"/>
      <c r="J555" s="78"/>
      <c r="K555" s="78"/>
      <c r="L555" s="78"/>
      <c r="M555" s="78"/>
      <c r="N555" s="78"/>
      <c r="O555" s="78"/>
      <c r="P555" s="78"/>
      <c r="Q555" s="78"/>
    </row>
    <row r="556" spans="2:17" ht="80.55" customHeight="1">
      <c r="B556" s="350"/>
      <c r="C556" s="78"/>
      <c r="D556" s="78"/>
      <c r="E556" s="78"/>
      <c r="F556" s="78"/>
      <c r="G556" s="78"/>
      <c r="H556" s="78"/>
      <c r="I556" s="78"/>
      <c r="J556" s="78"/>
      <c r="K556" s="78"/>
      <c r="L556" s="78"/>
      <c r="M556" s="78"/>
      <c r="N556" s="78"/>
      <c r="O556" s="78"/>
      <c r="P556" s="78"/>
      <c r="Q556" s="78"/>
    </row>
    <row r="557" spans="2:17" ht="81" customHeight="1">
      <c r="B557" s="350"/>
      <c r="C557" s="78"/>
      <c r="D557" s="78"/>
      <c r="E557" s="78"/>
      <c r="F557" s="78"/>
      <c r="G557" s="78"/>
      <c r="H557" s="78"/>
      <c r="I557" s="78"/>
      <c r="J557" s="78"/>
      <c r="K557" s="78"/>
      <c r="L557" s="78"/>
      <c r="M557" s="78"/>
      <c r="N557" s="78"/>
      <c r="O557" s="78"/>
      <c r="P557" s="78"/>
      <c r="Q557" s="78"/>
    </row>
    <row r="558" spans="2:17">
      <c r="B558" s="350"/>
      <c r="C558" s="78"/>
      <c r="D558" s="78"/>
      <c r="E558" s="78"/>
      <c r="F558" s="78"/>
      <c r="G558" s="78"/>
      <c r="H558" s="78"/>
      <c r="I558" s="78"/>
      <c r="J558" s="78"/>
      <c r="K558" s="78"/>
      <c r="L558" s="78"/>
      <c r="M558" s="78"/>
      <c r="N558" s="78"/>
      <c r="O558" s="78"/>
      <c r="P558" s="78"/>
      <c r="Q558" s="78"/>
    </row>
    <row r="559" spans="2:17">
      <c r="B559" s="350"/>
      <c r="C559" s="78"/>
      <c r="D559" s="78"/>
      <c r="E559" s="78"/>
      <c r="F559" s="78"/>
      <c r="G559" s="78"/>
      <c r="H559" s="78"/>
      <c r="I559" s="78"/>
      <c r="J559" s="78"/>
      <c r="K559" s="78"/>
      <c r="L559" s="78"/>
      <c r="M559" s="78"/>
      <c r="N559" s="78"/>
      <c r="O559" s="78"/>
      <c r="P559" s="78"/>
      <c r="Q559" s="78"/>
    </row>
    <row r="560" spans="2:17">
      <c r="B560" s="350"/>
      <c r="C560" s="78"/>
      <c r="D560" s="78"/>
      <c r="E560" s="78"/>
      <c r="F560" s="78"/>
      <c r="G560" s="78"/>
      <c r="H560" s="78"/>
      <c r="I560" s="78"/>
      <c r="J560" s="78"/>
      <c r="K560" s="78"/>
      <c r="L560" s="78"/>
      <c r="M560" s="78"/>
      <c r="N560" s="78"/>
      <c r="O560" s="78"/>
      <c r="P560" s="78"/>
      <c r="Q560" s="78"/>
    </row>
    <row r="561" spans="2:17">
      <c r="B561" s="350"/>
      <c r="C561" s="78"/>
      <c r="D561" s="78"/>
      <c r="E561" s="78"/>
      <c r="F561" s="78"/>
      <c r="G561" s="78"/>
      <c r="H561" s="78"/>
      <c r="I561" s="78"/>
      <c r="J561" s="78"/>
      <c r="K561" s="78"/>
      <c r="L561" s="78"/>
      <c r="M561" s="78"/>
      <c r="N561" s="78"/>
      <c r="O561" s="78"/>
      <c r="P561" s="78"/>
      <c r="Q561" s="78"/>
    </row>
    <row r="562" spans="2:17">
      <c r="B562" s="350"/>
      <c r="C562" s="78"/>
      <c r="D562" s="78"/>
      <c r="E562" s="78"/>
      <c r="F562" s="78"/>
      <c r="G562" s="78"/>
      <c r="H562" s="78"/>
      <c r="I562" s="78"/>
      <c r="J562" s="78"/>
      <c r="K562" s="78"/>
      <c r="L562" s="78"/>
      <c r="M562" s="78"/>
      <c r="N562" s="78"/>
      <c r="O562" s="78"/>
      <c r="P562" s="78"/>
      <c r="Q562" s="78"/>
    </row>
    <row r="563" spans="2:17">
      <c r="B563" s="350"/>
      <c r="C563" s="78"/>
      <c r="D563" s="78"/>
      <c r="E563" s="78"/>
      <c r="F563" s="78"/>
      <c r="G563" s="78"/>
      <c r="H563" s="78"/>
      <c r="I563" s="78"/>
      <c r="J563" s="78"/>
      <c r="K563" s="78"/>
      <c r="L563" s="78"/>
      <c r="M563" s="78"/>
      <c r="N563" s="78"/>
      <c r="O563" s="78"/>
      <c r="P563" s="78"/>
      <c r="Q563" s="78"/>
    </row>
    <row r="564" spans="2:17">
      <c r="B564" s="350"/>
      <c r="C564" s="356"/>
      <c r="D564" s="78"/>
      <c r="E564" s="78"/>
      <c r="F564" s="78"/>
      <c r="G564" s="78"/>
      <c r="H564" s="78"/>
      <c r="I564" s="78"/>
      <c r="J564" s="78"/>
      <c r="K564" s="78"/>
      <c r="L564" s="78"/>
      <c r="M564" s="78"/>
      <c r="N564" s="78"/>
      <c r="O564" s="78"/>
      <c r="P564" s="78"/>
      <c r="Q564" s="78"/>
    </row>
    <row r="565" spans="2:17">
      <c r="B565" s="82"/>
    </row>
    <row r="566" spans="2:17">
      <c r="B566" s="82"/>
    </row>
    <row r="567" spans="2:17">
      <c r="B567" s="82"/>
    </row>
    <row r="569" spans="2:17" ht="54" customHeight="1">
      <c r="B569" s="357"/>
      <c r="C569" s="357"/>
      <c r="D569" s="86"/>
      <c r="E569" s="86"/>
      <c r="F569" s="86"/>
      <c r="G569" s="86"/>
    </row>
    <row r="570" spans="2:17">
      <c r="B570" s="357"/>
      <c r="C570" s="358"/>
      <c r="D570" s="86"/>
      <c r="E570" s="86"/>
      <c r="F570" s="86"/>
      <c r="G570" s="86"/>
    </row>
    <row r="571" spans="2:17">
      <c r="B571" s="357"/>
      <c r="C571" s="360"/>
      <c r="D571" s="86"/>
      <c r="E571" s="86"/>
      <c r="F571" s="86"/>
      <c r="G571" s="86"/>
    </row>
    <row r="572" spans="2:17">
      <c r="B572" s="357"/>
      <c r="C572" s="360"/>
      <c r="D572" s="86"/>
      <c r="E572" s="86"/>
      <c r="F572" s="86"/>
      <c r="G572" s="86"/>
    </row>
    <row r="573" spans="2:17">
      <c r="B573" s="357"/>
      <c r="C573" s="417"/>
    </row>
    <row r="591" spans="1:2">
      <c r="B591" s="82"/>
    </row>
    <row r="592" spans="1:2">
      <c r="A592" s="97"/>
      <c r="B592" s="98"/>
    </row>
    <row r="597" spans="2:12">
      <c r="B597" s="364"/>
    </row>
    <row r="600" spans="2:12">
      <c r="B600" s="100"/>
    </row>
    <row r="603" spans="2:12" ht="15.6">
      <c r="B603" s="365"/>
      <c r="C603" s="365"/>
      <c r="D603" s="365"/>
      <c r="E603" s="365"/>
      <c r="F603" s="365"/>
      <c r="G603" s="365"/>
      <c r="H603" s="365"/>
      <c r="I603" s="365"/>
      <c r="J603" s="365"/>
      <c r="K603" s="365"/>
      <c r="L603" s="365"/>
    </row>
    <row r="604" spans="2:12">
      <c r="B604" s="346"/>
      <c r="C604" s="319"/>
      <c r="D604" s="243"/>
      <c r="E604" s="244"/>
    </row>
    <row r="605" spans="2:12">
      <c r="B605" s="366"/>
      <c r="C605" s="367"/>
      <c r="D605" s="368"/>
      <c r="E605" s="369"/>
    </row>
    <row r="606" spans="2:12">
      <c r="B606" s="346"/>
      <c r="C606" s="319"/>
      <c r="D606" s="243"/>
      <c r="E606" s="244"/>
    </row>
    <row r="607" spans="2:12">
      <c r="B607" s="346"/>
      <c r="C607" s="319"/>
      <c r="D607" s="243"/>
      <c r="E607" s="244"/>
    </row>
    <row r="608" spans="2:12">
      <c r="B608" s="346"/>
      <c r="C608" s="319"/>
      <c r="D608" s="243"/>
      <c r="E608" s="244"/>
    </row>
    <row r="609" spans="2:7">
      <c r="B609" s="346"/>
      <c r="C609" s="319"/>
      <c r="D609" s="243"/>
      <c r="E609" s="244"/>
    </row>
    <row r="610" spans="2:7">
      <c r="B610" s="366"/>
      <c r="C610" s="367"/>
      <c r="D610" s="368"/>
      <c r="E610" s="369"/>
    </row>
    <row r="611" spans="2:7">
      <c r="B611" s="346"/>
      <c r="C611" s="319"/>
      <c r="D611" s="243"/>
      <c r="E611" s="244"/>
    </row>
    <row r="612" spans="2:7">
      <c r="B612" s="346"/>
      <c r="C612" s="319"/>
      <c r="D612" s="243"/>
      <c r="E612" s="244"/>
    </row>
    <row r="613" spans="2:7">
      <c r="B613" s="346"/>
      <c r="C613" s="319"/>
      <c r="D613" s="243"/>
      <c r="E613" s="244"/>
      <c r="G613" s="244"/>
    </row>
    <row r="614" spans="2:7">
      <c r="B614" s="346"/>
      <c r="C614" s="319"/>
      <c r="D614" s="243"/>
      <c r="E614" s="244"/>
      <c r="G614" s="244"/>
    </row>
    <row r="615" spans="2:7">
      <c r="B615" s="346"/>
      <c r="C615" s="319"/>
      <c r="D615" s="243"/>
      <c r="E615" s="244"/>
      <c r="G615" s="244"/>
    </row>
    <row r="616" spans="2:7">
      <c r="B616" s="346"/>
      <c r="C616" s="319"/>
      <c r="D616" s="243"/>
      <c r="E616" s="244"/>
      <c r="G616" s="244"/>
    </row>
    <row r="617" spans="2:7">
      <c r="B617" s="346"/>
      <c r="C617" s="319"/>
      <c r="D617" s="243"/>
      <c r="E617" s="244"/>
      <c r="G617" s="244"/>
    </row>
    <row r="618" spans="2:7">
      <c r="C618" s="319"/>
      <c r="D618" s="243"/>
      <c r="E618" s="244"/>
    </row>
    <row r="619" spans="2:7">
      <c r="C619" s="319"/>
      <c r="D619" s="243"/>
      <c r="E619" s="244"/>
    </row>
    <row r="620" spans="2:7">
      <c r="C620" s="319"/>
      <c r="D620" s="243"/>
      <c r="E620" s="244"/>
    </row>
    <row r="621" spans="2:7">
      <c r="C621" s="319"/>
      <c r="D621" s="243"/>
      <c r="E621" s="244"/>
    </row>
    <row r="622" spans="2:7">
      <c r="C622" s="319"/>
      <c r="D622" s="243"/>
      <c r="E622" s="244"/>
    </row>
    <row r="623" spans="2:7">
      <c r="C623" s="319"/>
      <c r="D623" s="243"/>
      <c r="E623" s="244"/>
    </row>
    <row r="624" spans="2:7">
      <c r="C624" s="319"/>
      <c r="D624" s="243"/>
      <c r="E624" s="244"/>
    </row>
    <row r="625" spans="2:10">
      <c r="C625" s="319"/>
      <c r="D625" s="243"/>
      <c r="E625" s="244"/>
    </row>
    <row r="626" spans="2:10">
      <c r="C626" s="319"/>
      <c r="D626" s="243"/>
      <c r="E626" s="244"/>
    </row>
    <row r="627" spans="2:10">
      <c r="C627" s="319"/>
      <c r="D627" s="243"/>
      <c r="E627" s="244"/>
    </row>
    <row r="628" spans="2:10">
      <c r="B628" s="346"/>
      <c r="C628" s="319"/>
      <c r="D628" s="243"/>
      <c r="E628" s="244"/>
      <c r="H628" s="99"/>
      <c r="I628" s="99"/>
      <c r="J628" s="99"/>
    </row>
    <row r="629" spans="2:10">
      <c r="B629" s="346"/>
      <c r="C629" s="319"/>
      <c r="D629" s="243"/>
      <c r="E629" s="244"/>
      <c r="H629" s="99"/>
      <c r="I629" s="99"/>
      <c r="J629" s="99"/>
    </row>
    <row r="630" spans="2:10">
      <c r="B630" s="346"/>
      <c r="C630" s="319"/>
      <c r="D630" s="243"/>
      <c r="E630" s="244"/>
      <c r="H630" s="99"/>
      <c r="I630" s="99"/>
      <c r="J630" s="99"/>
    </row>
    <row r="631" spans="2:10">
      <c r="B631" s="346"/>
      <c r="C631" s="319"/>
      <c r="D631" s="243"/>
      <c r="E631" s="244"/>
      <c r="H631" s="99"/>
      <c r="I631" s="99"/>
      <c r="J631" s="99"/>
    </row>
    <row r="632" spans="2:10">
      <c r="B632" s="346"/>
      <c r="C632" s="319"/>
      <c r="D632" s="243"/>
      <c r="E632" s="244"/>
      <c r="H632" s="99"/>
      <c r="I632" s="99"/>
      <c r="J632" s="99"/>
    </row>
    <row r="633" spans="2:10">
      <c r="B633" s="346"/>
      <c r="C633" s="319"/>
      <c r="D633" s="243"/>
      <c r="E633" s="244"/>
    </row>
    <row r="634" spans="2:10">
      <c r="B634" s="346"/>
      <c r="C634" s="319"/>
      <c r="D634" s="243"/>
      <c r="E634" s="244"/>
    </row>
    <row r="635" spans="2:10">
      <c r="B635" s="346"/>
      <c r="C635" s="319"/>
      <c r="D635" s="243"/>
      <c r="E635" s="244"/>
    </row>
    <row r="636" spans="2:10">
      <c r="B636" s="346"/>
      <c r="C636" s="319"/>
      <c r="D636" s="243"/>
      <c r="E636" s="244"/>
    </row>
    <row r="637" spans="2:10">
      <c r="B637" s="346"/>
      <c r="C637" s="319"/>
      <c r="D637" s="243"/>
      <c r="E637" s="244"/>
    </row>
    <row r="651" spans="2:2">
      <c r="B651" s="98"/>
    </row>
    <row r="655" spans="2:2">
      <c r="B655" s="402"/>
    </row>
    <row r="656" spans="2:2">
      <c r="B656" s="152"/>
    </row>
    <row r="659" spans="2:16">
      <c r="B659" s="100"/>
    </row>
    <row r="660" spans="2:16">
      <c r="B660" s="371"/>
      <c r="C660" s="372"/>
      <c r="D660" s="372"/>
      <c r="E660" s="373"/>
      <c r="F660" s="372"/>
    </row>
    <row r="661" spans="2:16">
      <c r="B661" s="371"/>
      <c r="C661" s="372"/>
      <c r="D661" s="372"/>
      <c r="E661" s="373"/>
      <c r="F661" s="372"/>
    </row>
    <row r="662" spans="2:16">
      <c r="B662" s="374"/>
      <c r="C662" s="372"/>
      <c r="D662" s="372"/>
      <c r="E662" s="373"/>
      <c r="F662" s="375"/>
    </row>
    <row r="663" spans="2:16">
      <c r="B663" s="376"/>
      <c r="C663" s="377"/>
      <c r="D663" s="377"/>
      <c r="E663" s="377"/>
      <c r="F663" s="377"/>
      <c r="P663" s="100"/>
    </row>
    <row r="664" spans="2:16">
      <c r="B664" s="378"/>
      <c r="C664" s="379"/>
      <c r="D664" s="379"/>
      <c r="E664" s="379"/>
      <c r="F664" s="379"/>
    </row>
    <row r="665" spans="2:16">
      <c r="B665" s="378"/>
      <c r="C665" s="379"/>
      <c r="D665" s="379"/>
      <c r="E665" s="379"/>
      <c r="F665" s="379"/>
    </row>
    <row r="666" spans="2:16">
      <c r="B666" s="378"/>
      <c r="C666" s="379"/>
      <c r="D666" s="379"/>
      <c r="E666" s="379"/>
      <c r="F666" s="379"/>
    </row>
    <row r="667" spans="2:16">
      <c r="B667" s="378"/>
      <c r="C667" s="379"/>
      <c r="D667" s="379"/>
      <c r="E667" s="379"/>
      <c r="F667" s="379"/>
    </row>
    <row r="668" spans="2:16">
      <c r="B668" s="378"/>
      <c r="C668" s="379"/>
      <c r="D668" s="379"/>
      <c r="E668" s="379"/>
      <c r="F668" s="379"/>
    </row>
    <row r="669" spans="2:16">
      <c r="B669" s="378"/>
      <c r="C669" s="379"/>
      <c r="D669" s="379"/>
      <c r="E669" s="379"/>
      <c r="F669" s="379"/>
    </row>
    <row r="670" spans="2:16">
      <c r="B670" s="380"/>
      <c r="C670" s="381"/>
      <c r="D670" s="381"/>
      <c r="E670" s="381"/>
      <c r="F670" s="381"/>
    </row>
    <row r="671" spans="2:16">
      <c r="B671" s="382"/>
      <c r="C671" s="372"/>
      <c r="D671" s="372"/>
      <c r="E671" s="373"/>
      <c r="F671" s="372"/>
    </row>
    <row r="672" spans="2:16">
      <c r="B672" s="382"/>
      <c r="C672" s="372"/>
    </row>
    <row r="677" spans="2:3">
      <c r="B677" s="383"/>
      <c r="C677" s="383"/>
    </row>
    <row r="678" spans="2:3">
      <c r="B678" s="383"/>
      <c r="C678" s="384"/>
    </row>
    <row r="679" spans="2:3">
      <c r="B679" s="378"/>
      <c r="C679" s="379"/>
    </row>
    <row r="680" spans="2:3">
      <c r="B680" s="378"/>
      <c r="C680" s="379"/>
    </row>
    <row r="681" spans="2:3">
      <c r="B681" s="378"/>
      <c r="C681" s="379"/>
    </row>
    <row r="682" spans="2:3">
      <c r="B682" s="378"/>
      <c r="C682" s="379"/>
    </row>
    <row r="683" spans="2:3">
      <c r="B683" s="378"/>
      <c r="C683" s="379"/>
    </row>
    <row r="684" spans="2:3">
      <c r="B684" s="378"/>
      <c r="C684" s="379"/>
    </row>
    <row r="685" spans="2:3">
      <c r="B685" s="380"/>
      <c r="C685" s="381"/>
    </row>
    <row r="686" spans="2:3">
      <c r="B686" s="382"/>
      <c r="C686" s="385"/>
    </row>
    <row r="687" spans="2:3">
      <c r="B687" s="382"/>
      <c r="C687" s="385"/>
    </row>
    <row r="689" spans="2:16">
      <c r="P689" s="98"/>
    </row>
    <row r="690" spans="2:16">
      <c r="P690" s="98"/>
    </row>
    <row r="691" spans="2:16">
      <c r="B691" s="100"/>
      <c r="P691" s="98"/>
    </row>
    <row r="717" spans="2:2">
      <c r="B717" s="98"/>
    </row>
    <row r="718" spans="2:2">
      <c r="B718" s="98"/>
    </row>
    <row r="719" spans="2:2">
      <c r="B719" s="98"/>
    </row>
    <row r="721" spans="2:3">
      <c r="B721" s="98"/>
    </row>
    <row r="724" spans="2:3">
      <c r="B724" s="100"/>
    </row>
    <row r="727" spans="2:3">
      <c r="B727" s="383"/>
      <c r="C727" s="383"/>
    </row>
    <row r="728" spans="2:3">
      <c r="B728" s="383"/>
      <c r="C728" s="384"/>
    </row>
    <row r="729" spans="2:3">
      <c r="B729" s="378"/>
      <c r="C729" s="379"/>
    </row>
    <row r="730" spans="2:3">
      <c r="B730" s="378"/>
      <c r="C730" s="379"/>
    </row>
    <row r="731" spans="2:3">
      <c r="B731" s="378"/>
      <c r="C731" s="379"/>
    </row>
    <row r="732" spans="2:3">
      <c r="B732" s="378"/>
      <c r="C732" s="379"/>
    </row>
    <row r="733" spans="2:3">
      <c r="B733" s="378"/>
      <c r="C733" s="379"/>
    </row>
    <row r="734" spans="2:3">
      <c r="B734" s="378"/>
      <c r="C734" s="379"/>
    </row>
    <row r="735" spans="2:3">
      <c r="B735" s="380"/>
      <c r="C735" s="381"/>
    </row>
    <row r="736" spans="2:3">
      <c r="B736" s="382"/>
      <c r="C736" s="385"/>
    </row>
    <row r="737" spans="2:4">
      <c r="B737" s="382"/>
      <c r="C737" s="385"/>
    </row>
    <row r="740" spans="2:4">
      <c r="B740" s="100"/>
    </row>
    <row r="744" spans="2:4">
      <c r="B744" s="383"/>
      <c r="C744" s="383"/>
    </row>
    <row r="745" spans="2:4">
      <c r="B745" s="383"/>
      <c r="C745" s="384"/>
    </row>
    <row r="746" spans="2:4">
      <c r="B746" s="378"/>
      <c r="C746" s="379"/>
    </row>
    <row r="747" spans="2:4">
      <c r="B747" s="378"/>
      <c r="C747" s="379"/>
    </row>
    <row r="748" spans="2:4">
      <c r="B748" s="378"/>
      <c r="C748" s="379"/>
      <c r="D748" s="243"/>
    </row>
    <row r="749" spans="2:4">
      <c r="B749" s="378"/>
      <c r="C749" s="379"/>
    </row>
    <row r="750" spans="2:4">
      <c r="B750" s="378"/>
      <c r="C750" s="379"/>
    </row>
    <row r="751" spans="2:4">
      <c r="B751" s="378"/>
      <c r="C751" s="379"/>
    </row>
    <row r="752" spans="2:4">
      <c r="B752" s="380"/>
      <c r="C752" s="379"/>
    </row>
    <row r="753" spans="2:10">
      <c r="B753" s="382"/>
      <c r="C753" s="385"/>
    </row>
    <row r="754" spans="2:10">
      <c r="B754" s="382"/>
      <c r="C754" s="385"/>
    </row>
    <row r="756" spans="2:10">
      <c r="B756" s="100"/>
    </row>
    <row r="757" spans="2:10">
      <c r="B757" s="152"/>
    </row>
    <row r="763" spans="2:10" ht="15.6">
      <c r="B763" s="386"/>
      <c r="C763" s="162"/>
      <c r="D763" s="162"/>
      <c r="E763" s="163"/>
      <c r="F763" s="163"/>
      <c r="G763" s="163"/>
      <c r="H763" s="163"/>
      <c r="I763" s="163"/>
    </row>
    <row r="764" spans="2:10">
      <c r="B764" s="163"/>
      <c r="C764" s="162"/>
      <c r="D764" s="162"/>
      <c r="E764" s="163"/>
      <c r="F764" s="201"/>
      <c r="G764" s="201"/>
      <c r="H764" s="163"/>
      <c r="I764" s="202"/>
    </row>
    <row r="765" spans="2:10">
      <c r="B765" s="209"/>
      <c r="C765" s="203"/>
      <c r="D765" s="203"/>
      <c r="E765" s="203"/>
      <c r="F765" s="203"/>
      <c r="G765" s="203"/>
      <c r="H765" s="203"/>
      <c r="I765" s="203"/>
      <c r="J765" s="203"/>
    </row>
    <row r="766" spans="2:10">
      <c r="B766" s="179"/>
      <c r="C766" s="178"/>
      <c r="D766" s="178"/>
      <c r="E766" s="178"/>
      <c r="F766" s="178"/>
      <c r="G766" s="178"/>
      <c r="H766" s="178"/>
      <c r="I766" s="178"/>
    </row>
    <row r="767" spans="2:10">
      <c r="B767" s="179"/>
      <c r="C767" s="178"/>
      <c r="D767" s="178"/>
      <c r="E767" s="178"/>
      <c r="F767" s="178"/>
      <c r="G767" s="178"/>
      <c r="H767" s="178"/>
      <c r="I767" s="178"/>
    </row>
    <row r="768" spans="2:10">
      <c r="B768" s="179"/>
      <c r="C768" s="178"/>
      <c r="D768" s="178"/>
      <c r="E768" s="178"/>
      <c r="F768" s="178"/>
      <c r="G768" s="178"/>
      <c r="H768" s="178"/>
      <c r="I768" s="178"/>
    </row>
    <row r="769" spans="2:9">
      <c r="B769" s="179"/>
      <c r="C769" s="178"/>
      <c r="D769" s="178"/>
      <c r="E769" s="178"/>
      <c r="F769" s="178"/>
      <c r="G769" s="178"/>
      <c r="H769" s="178"/>
      <c r="I769" s="178"/>
    </row>
    <row r="770" spans="2:9">
      <c r="B770" s="209"/>
      <c r="C770" s="387"/>
      <c r="D770" s="387"/>
      <c r="E770" s="387"/>
      <c r="F770" s="387"/>
      <c r="G770" s="387"/>
      <c r="H770" s="387"/>
      <c r="I770" s="387"/>
    </row>
    <row r="771" spans="2:9">
      <c r="B771" s="100"/>
      <c r="C771" s="172"/>
      <c r="D771" s="163"/>
      <c r="E771" s="163"/>
      <c r="F771" s="163"/>
      <c r="G771" s="163"/>
      <c r="H771" s="163"/>
      <c r="I771" s="173"/>
    </row>
    <row r="772" spans="2:9">
      <c r="B772" s="179"/>
    </row>
    <row r="774" spans="2:9">
      <c r="B774" s="209"/>
      <c r="C774" s="203"/>
    </row>
    <row r="775" spans="2:9">
      <c r="B775" s="179"/>
      <c r="C775" s="178"/>
    </row>
    <row r="776" spans="2:9">
      <c r="B776" s="179"/>
      <c r="C776" s="178"/>
    </row>
    <row r="777" spans="2:9">
      <c r="B777" s="179"/>
      <c r="C777" s="178"/>
    </row>
    <row r="778" spans="2:9">
      <c r="B778" s="179"/>
      <c r="C778" s="178"/>
    </row>
    <row r="779" spans="2:9">
      <c r="B779" s="178"/>
      <c r="C779" s="178"/>
    </row>
    <row r="780" spans="2:9">
      <c r="B780" s="178"/>
      <c r="C780" s="178"/>
    </row>
    <row r="783" spans="2:9">
      <c r="B783" s="388"/>
      <c r="C783" s="389"/>
      <c r="D783" s="389"/>
      <c r="E783" s="389"/>
      <c r="F783" s="389"/>
    </row>
    <row r="784" spans="2:9">
      <c r="B784" s="388"/>
      <c r="C784" s="390"/>
      <c r="D784" s="390"/>
      <c r="E784" s="390"/>
      <c r="F784" s="391"/>
    </row>
    <row r="785" spans="2:6">
      <c r="B785" s="392"/>
      <c r="C785" s="391"/>
      <c r="D785" s="391"/>
      <c r="E785" s="390"/>
      <c r="F785" s="393"/>
    </row>
    <row r="793" spans="2:6">
      <c r="B793" s="394"/>
      <c r="C793" s="391"/>
      <c r="D793" s="391"/>
    </row>
    <row r="794" spans="2:6">
      <c r="B794" s="395"/>
      <c r="C794" s="396"/>
      <c r="D794" s="393"/>
    </row>
    <row r="795" spans="2:6">
      <c r="B795" s="395"/>
      <c r="C795" s="396"/>
      <c r="D795" s="393"/>
    </row>
    <row r="800" spans="2:6">
      <c r="B800" s="397"/>
      <c r="C800" s="390"/>
      <c r="D800" s="390"/>
      <c r="E800" s="395"/>
    </row>
    <row r="801" spans="2:9">
      <c r="B801" s="397"/>
      <c r="C801" s="390"/>
      <c r="D801" s="390"/>
      <c r="E801" s="391"/>
    </row>
    <row r="802" spans="2:9">
      <c r="B802" s="395"/>
      <c r="C802" s="396"/>
      <c r="D802" s="396"/>
      <c r="E802" s="393"/>
    </row>
    <row r="803" spans="2:9">
      <c r="B803" s="398"/>
      <c r="C803" s="396"/>
      <c r="D803" s="396"/>
      <c r="E803" s="393"/>
    </row>
    <row r="804" spans="2:9">
      <c r="B804" s="395"/>
      <c r="C804" s="396"/>
      <c r="D804" s="396"/>
      <c r="E804" s="393"/>
    </row>
    <row r="805" spans="2:9">
      <c r="B805" s="395"/>
      <c r="C805" s="396"/>
      <c r="D805" s="396"/>
      <c r="E805" s="399"/>
    </row>
    <row r="807" spans="2:9">
      <c r="B807" s="100"/>
    </row>
    <row r="810" spans="2:9" ht="15.6">
      <c r="B810" s="204"/>
      <c r="C810" s="162"/>
      <c r="D810" s="162"/>
      <c r="E810" s="163"/>
      <c r="F810" s="163"/>
      <c r="G810" s="163"/>
      <c r="H810" s="163"/>
      <c r="I810" s="163"/>
    </row>
    <row r="811" spans="2:9">
      <c r="B811" s="163"/>
      <c r="C811" s="162"/>
      <c r="D811" s="162"/>
      <c r="E811" s="163"/>
      <c r="F811" s="201"/>
      <c r="G811" s="201"/>
      <c r="H811" s="163"/>
      <c r="I811" s="202"/>
    </row>
    <row r="812" spans="2:9">
      <c r="B812" s="209"/>
      <c r="C812" s="203"/>
      <c r="D812" s="203"/>
      <c r="E812" s="203"/>
      <c r="F812" s="203"/>
      <c r="G812" s="203"/>
      <c r="H812" s="203"/>
      <c r="I812" s="203"/>
    </row>
    <row r="813" spans="2:9">
      <c r="B813" s="179"/>
      <c r="C813" s="178"/>
      <c r="D813" s="178"/>
      <c r="E813" s="178"/>
      <c r="F813" s="178"/>
      <c r="G813" s="178"/>
      <c r="H813" s="178"/>
      <c r="I813" s="178"/>
    </row>
    <row r="814" spans="2:9">
      <c r="B814" s="179"/>
      <c r="C814" s="178"/>
      <c r="D814" s="178"/>
      <c r="E814" s="178"/>
      <c r="F814" s="178"/>
      <c r="G814" s="178"/>
      <c r="H814" s="178"/>
      <c r="I814" s="178"/>
    </row>
    <row r="815" spans="2:9">
      <c r="B815" s="179"/>
      <c r="C815" s="178"/>
      <c r="D815" s="178"/>
      <c r="E815" s="178"/>
      <c r="F815" s="178"/>
      <c r="G815" s="178"/>
      <c r="H815" s="178"/>
      <c r="I815" s="178"/>
    </row>
    <row r="816" spans="2:9">
      <c r="B816" s="179"/>
      <c r="C816" s="178"/>
      <c r="D816" s="178"/>
      <c r="E816" s="178"/>
      <c r="F816" s="178"/>
      <c r="G816" s="178"/>
      <c r="H816" s="178"/>
      <c r="I816" s="178"/>
    </row>
    <row r="817" spans="2:9">
      <c r="B817" s="209"/>
      <c r="C817" s="387"/>
      <c r="D817" s="387"/>
      <c r="E817" s="387"/>
      <c r="F817" s="387"/>
      <c r="G817" s="387"/>
      <c r="H817" s="387"/>
      <c r="I817" s="387"/>
    </row>
    <row r="818" spans="2:9">
      <c r="B818" s="162"/>
      <c r="C818" s="210"/>
      <c r="D818" s="163"/>
      <c r="E818" s="163"/>
      <c r="F818" s="163"/>
      <c r="G818" s="163"/>
      <c r="H818" s="163"/>
      <c r="I818" s="173"/>
    </row>
    <row r="819" spans="2:9">
      <c r="B819" s="179"/>
    </row>
    <row r="824" spans="2:9">
      <c r="B824" s="391"/>
      <c r="C824" s="391"/>
    </row>
    <row r="825" spans="2:9">
      <c r="B825" s="179"/>
      <c r="C825" s="400"/>
    </row>
    <row r="829" spans="2:9">
      <c r="B829" s="100"/>
    </row>
    <row r="830" spans="2:9">
      <c r="B830" s="178"/>
    </row>
    <row r="836" spans="2:9">
      <c r="B836" s="178"/>
    </row>
    <row r="837" spans="2:9">
      <c r="B837" s="178"/>
    </row>
    <row r="838" spans="2:9">
      <c r="B838" s="178"/>
    </row>
    <row r="839" spans="2:9">
      <c r="B839" s="99"/>
      <c r="C839" s="99"/>
      <c r="D839" s="99"/>
      <c r="E839" s="99"/>
      <c r="F839" s="99"/>
      <c r="G839" s="99"/>
      <c r="H839" s="99"/>
      <c r="I839" s="99"/>
    </row>
    <row r="840" spans="2:9">
      <c r="B840" s="99"/>
      <c r="C840" s="99"/>
      <c r="D840" s="99"/>
      <c r="E840" s="99"/>
      <c r="F840" s="99"/>
      <c r="G840" s="99"/>
      <c r="H840" s="99"/>
      <c r="I840" s="99"/>
    </row>
    <row r="841" spans="2:9">
      <c r="B841" s="99"/>
      <c r="C841" s="99"/>
      <c r="D841" s="99"/>
      <c r="E841" s="99"/>
      <c r="F841" s="99"/>
      <c r="G841" s="99"/>
      <c r="H841" s="99"/>
      <c r="I841" s="99"/>
    </row>
    <row r="842" spans="2:9">
      <c r="B842" s="99"/>
      <c r="C842" s="99"/>
      <c r="D842" s="99"/>
      <c r="E842" s="99"/>
      <c r="F842" s="99"/>
      <c r="G842" s="99"/>
      <c r="H842" s="99"/>
      <c r="I842" s="99"/>
    </row>
    <row r="843" spans="2:9">
      <c r="B843" s="99"/>
      <c r="C843" s="99"/>
      <c r="D843" s="99"/>
      <c r="E843" s="99"/>
      <c r="F843" s="99"/>
      <c r="G843" s="99"/>
      <c r="H843" s="99"/>
      <c r="I843" s="99"/>
    </row>
    <row r="848" spans="2:9">
      <c r="B848" s="100"/>
    </row>
    <row r="856" spans="2:5">
      <c r="B856" s="178"/>
    </row>
    <row r="858" spans="2:5">
      <c r="E858" s="98"/>
    </row>
    <row r="865" spans="2:6">
      <c r="B865" s="98"/>
    </row>
    <row r="869" spans="2:6">
      <c r="B869" s="402"/>
    </row>
    <row r="870" spans="2:6">
      <c r="B870" s="152"/>
    </row>
    <row r="873" spans="2:6">
      <c r="B873" s="100"/>
    </row>
    <row r="875" spans="2:6">
      <c r="B875" s="371"/>
      <c r="C875" s="372"/>
      <c r="D875" s="372"/>
      <c r="E875" s="373"/>
      <c r="F875" s="372"/>
    </row>
    <row r="876" spans="2:6">
      <c r="B876" s="371"/>
      <c r="C876" s="372"/>
      <c r="D876" s="372"/>
      <c r="E876" s="373"/>
      <c r="F876" s="372"/>
    </row>
    <row r="877" spans="2:6">
      <c r="B877" s="374"/>
      <c r="C877" s="372"/>
      <c r="D877" s="372"/>
      <c r="E877" s="373"/>
      <c r="F877" s="375"/>
    </row>
    <row r="878" spans="2:6">
      <c r="B878" s="376"/>
      <c r="C878" s="377"/>
      <c r="D878" s="377"/>
      <c r="E878" s="377"/>
      <c r="F878" s="377"/>
    </row>
    <row r="879" spans="2:6">
      <c r="B879" s="378"/>
      <c r="C879" s="379"/>
      <c r="D879" s="379"/>
      <c r="E879" s="379"/>
      <c r="F879" s="379"/>
    </row>
    <row r="880" spans="2:6">
      <c r="B880" s="378"/>
      <c r="C880" s="379"/>
      <c r="D880" s="379"/>
      <c r="E880" s="379"/>
      <c r="F880" s="379"/>
    </row>
    <row r="881" spans="2:11">
      <c r="B881" s="378"/>
      <c r="C881" s="379"/>
      <c r="D881" s="379"/>
      <c r="E881" s="379"/>
      <c r="F881" s="379"/>
    </row>
    <row r="882" spans="2:11">
      <c r="B882" s="378"/>
      <c r="C882" s="379"/>
      <c r="D882" s="379"/>
      <c r="E882" s="379"/>
      <c r="F882" s="379"/>
    </row>
    <row r="883" spans="2:11">
      <c r="B883" s="378"/>
      <c r="C883" s="379"/>
      <c r="D883" s="379"/>
      <c r="E883" s="379"/>
      <c r="F883" s="379"/>
    </row>
    <row r="884" spans="2:11">
      <c r="B884" s="378"/>
      <c r="C884" s="379"/>
      <c r="D884" s="379"/>
      <c r="E884" s="379"/>
      <c r="F884" s="379"/>
    </row>
    <row r="885" spans="2:11">
      <c r="B885" s="380"/>
      <c r="C885" s="381"/>
      <c r="D885" s="381"/>
      <c r="E885" s="381"/>
      <c r="F885" s="381"/>
    </row>
    <row r="886" spans="2:11">
      <c r="B886" s="382"/>
      <c r="C886" s="372"/>
      <c r="D886" s="372"/>
      <c r="E886" s="373"/>
      <c r="F886" s="372"/>
    </row>
    <row r="887" spans="2:11">
      <c r="B887" s="382"/>
      <c r="C887" s="372"/>
    </row>
    <row r="892" spans="2:11">
      <c r="B892" s="403"/>
      <c r="C892" s="403"/>
      <c r="D892" s="403"/>
      <c r="E892" s="403"/>
      <c r="F892" s="403"/>
      <c r="G892" s="403"/>
      <c r="H892" s="403"/>
      <c r="I892" s="403"/>
      <c r="J892" s="403"/>
      <c r="K892" s="403"/>
    </row>
    <row r="893" spans="2:11">
      <c r="B893" s="404"/>
      <c r="C893" s="405"/>
      <c r="D893" s="405"/>
      <c r="E893" s="405"/>
      <c r="F893" s="405"/>
      <c r="G893" s="405"/>
      <c r="H893" s="405"/>
      <c r="I893" s="405"/>
      <c r="J893" s="405"/>
      <c r="K893" s="403"/>
    </row>
    <row r="894" spans="2:11">
      <c r="B894" s="406"/>
      <c r="C894" s="405"/>
      <c r="D894" s="405"/>
      <c r="E894" s="405"/>
      <c r="F894" s="405"/>
      <c r="G894" s="405"/>
      <c r="H894" s="405"/>
      <c r="I894" s="405"/>
      <c r="J894" s="405"/>
      <c r="K894" s="403"/>
    </row>
    <row r="895" spans="2:11">
      <c r="B895" s="383"/>
      <c r="C895" s="407"/>
      <c r="D895" s="407"/>
      <c r="E895" s="407"/>
      <c r="F895" s="407"/>
      <c r="G895" s="407"/>
      <c r="H895" s="407"/>
      <c r="I895" s="407"/>
      <c r="J895" s="407"/>
      <c r="K895" s="403"/>
    </row>
    <row r="896" spans="2:11">
      <c r="B896" s="383"/>
      <c r="C896" s="408"/>
      <c r="D896" s="408"/>
      <c r="E896" s="408"/>
      <c r="F896" s="408"/>
      <c r="G896" s="408"/>
      <c r="H896" s="408"/>
      <c r="I896" s="408"/>
      <c r="J896" s="408"/>
      <c r="K896" s="403"/>
    </row>
    <row r="897" spans="2:11">
      <c r="B897" s="376"/>
      <c r="C897" s="409"/>
      <c r="D897" s="409"/>
      <c r="E897" s="409"/>
      <c r="F897" s="409"/>
      <c r="G897" s="410"/>
      <c r="H897" s="411"/>
      <c r="I897" s="411"/>
      <c r="J897" s="411"/>
      <c r="K897" s="403"/>
    </row>
    <row r="898" spans="2:11">
      <c r="B898" s="376"/>
      <c r="C898" s="409"/>
      <c r="D898" s="409"/>
      <c r="E898" s="409"/>
      <c r="F898" s="409"/>
      <c r="G898" s="410"/>
      <c r="H898" s="411"/>
      <c r="I898" s="411"/>
      <c r="J898" s="411"/>
      <c r="K898" s="403"/>
    </row>
    <row r="899" spans="2:11">
      <c r="B899" s="412"/>
      <c r="C899" s="409"/>
      <c r="D899" s="409"/>
      <c r="E899" s="409"/>
      <c r="F899" s="409"/>
      <c r="G899" s="410"/>
      <c r="H899" s="411"/>
      <c r="I899" s="411"/>
      <c r="J899" s="411"/>
      <c r="K899" s="403"/>
    </row>
    <row r="900" spans="2:11">
      <c r="B900" s="413"/>
      <c r="C900" s="414"/>
      <c r="D900" s="414"/>
      <c r="E900" s="414"/>
      <c r="F900" s="414"/>
      <c r="G900" s="410"/>
      <c r="H900" s="415"/>
      <c r="I900" s="415"/>
      <c r="J900" s="415"/>
      <c r="K900" s="403"/>
    </row>
    <row r="901" spans="2:11">
      <c r="B901" s="413"/>
      <c r="C901" s="414"/>
      <c r="D901" s="414"/>
      <c r="E901" s="414"/>
      <c r="F901" s="414"/>
      <c r="G901" s="410"/>
      <c r="H901" s="415"/>
      <c r="I901" s="415"/>
      <c r="J901" s="415"/>
      <c r="K901" s="403"/>
    </row>
    <row r="902" spans="2:11">
      <c r="B902" s="413"/>
      <c r="C902" s="414"/>
      <c r="D902" s="414"/>
      <c r="E902" s="414"/>
      <c r="F902" s="414"/>
      <c r="G902" s="410"/>
      <c r="H902" s="415"/>
      <c r="I902" s="415"/>
      <c r="J902" s="415"/>
      <c r="K902" s="403"/>
    </row>
    <row r="903" spans="2:11">
      <c r="B903" s="413"/>
      <c r="C903" s="414"/>
      <c r="D903" s="414"/>
      <c r="E903" s="414"/>
      <c r="F903" s="414"/>
      <c r="G903" s="410"/>
      <c r="H903" s="415"/>
      <c r="I903" s="415"/>
      <c r="J903" s="415"/>
      <c r="K903" s="403"/>
    </row>
    <row r="904" spans="2:11">
      <c r="B904" s="413"/>
      <c r="C904" s="414"/>
      <c r="D904" s="414"/>
      <c r="E904" s="414"/>
      <c r="F904" s="414"/>
      <c r="G904" s="410"/>
      <c r="H904" s="415"/>
      <c r="I904" s="415"/>
      <c r="J904" s="415"/>
      <c r="K904" s="403"/>
    </row>
    <row r="905" spans="2:11">
      <c r="B905" s="413"/>
      <c r="C905" s="414"/>
      <c r="D905" s="414"/>
      <c r="E905" s="414"/>
      <c r="F905" s="414"/>
      <c r="G905" s="410"/>
      <c r="H905" s="415"/>
      <c r="I905" s="415"/>
      <c r="J905" s="415"/>
      <c r="K905" s="403"/>
    </row>
    <row r="906" spans="2:11">
      <c r="B906" s="413"/>
      <c r="C906" s="414"/>
      <c r="D906" s="414"/>
      <c r="E906" s="414"/>
      <c r="F906" s="414"/>
      <c r="G906" s="410"/>
      <c r="H906" s="415"/>
      <c r="I906" s="415"/>
      <c r="J906" s="415"/>
      <c r="K906" s="403"/>
    </row>
    <row r="907" spans="2:11">
      <c r="B907" s="413"/>
      <c r="C907" s="414"/>
      <c r="D907" s="414"/>
      <c r="E907" s="414"/>
      <c r="F907" s="414"/>
      <c r="G907" s="410"/>
      <c r="H907" s="415"/>
      <c r="I907" s="415"/>
      <c r="J907" s="415"/>
      <c r="K907" s="403"/>
    </row>
    <row r="908" spans="2:11">
      <c r="B908" s="413"/>
      <c r="C908" s="414"/>
      <c r="D908" s="414"/>
      <c r="E908" s="414"/>
      <c r="F908" s="414"/>
      <c r="G908" s="410"/>
      <c r="H908" s="415"/>
      <c r="I908" s="415"/>
      <c r="J908" s="415"/>
      <c r="K908" s="403"/>
    </row>
    <row r="909" spans="2:11">
      <c r="B909" s="404"/>
      <c r="C909" s="409"/>
      <c r="D909" s="409"/>
      <c r="E909" s="409"/>
      <c r="F909" s="409"/>
      <c r="G909" s="410"/>
      <c r="H909" s="411"/>
      <c r="I909" s="411"/>
      <c r="J909" s="411"/>
      <c r="K909" s="403"/>
    </row>
    <row r="910" spans="2:11">
      <c r="B910" s="376"/>
      <c r="C910" s="409"/>
      <c r="D910" s="409"/>
      <c r="E910" s="409"/>
      <c r="F910" s="409"/>
      <c r="G910" s="410"/>
      <c r="H910" s="411"/>
      <c r="I910" s="411"/>
      <c r="J910" s="411"/>
      <c r="K910" s="403"/>
    </row>
    <row r="911" spans="2:11">
      <c r="B911" s="412"/>
      <c r="C911" s="409"/>
      <c r="D911" s="409"/>
      <c r="E911" s="409"/>
      <c r="F911" s="409"/>
      <c r="G911" s="410"/>
      <c r="H911" s="411"/>
      <c r="I911" s="411"/>
      <c r="J911" s="411"/>
      <c r="K911" s="403"/>
    </row>
    <row r="912" spans="2:11">
      <c r="B912" s="413"/>
      <c r="C912" s="414"/>
      <c r="D912" s="414"/>
      <c r="E912" s="414"/>
      <c r="F912" s="414"/>
      <c r="G912" s="410"/>
      <c r="H912" s="415"/>
      <c r="I912" s="415"/>
      <c r="J912" s="415"/>
      <c r="K912" s="403"/>
    </row>
    <row r="913" spans="2:11">
      <c r="B913" s="413"/>
      <c r="C913" s="414"/>
      <c r="D913" s="414"/>
      <c r="E913" s="414"/>
      <c r="F913" s="414"/>
      <c r="G913" s="410"/>
      <c r="H913" s="415"/>
      <c r="I913" s="415"/>
      <c r="J913" s="415"/>
      <c r="K913" s="403"/>
    </row>
    <row r="914" spans="2:11">
      <c r="B914" s="413"/>
      <c r="C914" s="414"/>
      <c r="D914" s="414"/>
      <c r="E914" s="414"/>
      <c r="F914" s="414"/>
      <c r="G914" s="410"/>
      <c r="H914" s="415"/>
      <c r="I914" s="415"/>
      <c r="J914" s="415"/>
      <c r="K914" s="403"/>
    </row>
    <row r="915" spans="2:11">
      <c r="B915" s="413"/>
      <c r="C915" s="414"/>
      <c r="D915" s="414"/>
      <c r="E915" s="414"/>
      <c r="F915" s="414"/>
      <c r="G915" s="410"/>
      <c r="H915" s="415"/>
      <c r="I915" s="415"/>
      <c r="J915" s="415"/>
      <c r="K915" s="403"/>
    </row>
    <row r="916" spans="2:11">
      <c r="B916" s="413"/>
      <c r="C916" s="414"/>
      <c r="D916" s="414"/>
      <c r="E916" s="414"/>
      <c r="F916" s="414"/>
      <c r="G916" s="410"/>
      <c r="H916" s="415"/>
      <c r="I916" s="415"/>
      <c r="J916" s="415"/>
      <c r="K916" s="403"/>
    </row>
    <row r="917" spans="2:11">
      <c r="B917" s="404"/>
      <c r="C917" s="409"/>
      <c r="D917" s="409"/>
      <c r="E917" s="409"/>
      <c r="F917" s="409"/>
      <c r="G917" s="410"/>
      <c r="H917" s="411"/>
      <c r="I917" s="411"/>
      <c r="J917" s="411"/>
      <c r="K917" s="403"/>
    </row>
    <row r="918" spans="2:11">
      <c r="B918" s="376"/>
      <c r="C918" s="409"/>
      <c r="D918" s="409"/>
      <c r="E918" s="409"/>
      <c r="F918" s="416"/>
      <c r="G918" s="410"/>
      <c r="H918" s="411"/>
      <c r="I918" s="411"/>
      <c r="J918" s="411"/>
      <c r="K918" s="403"/>
    </row>
    <row r="919" spans="2:11">
      <c r="B919" s="376"/>
      <c r="C919" s="409"/>
      <c r="D919" s="409"/>
      <c r="E919" s="409"/>
      <c r="F919" s="416"/>
      <c r="G919" s="410"/>
      <c r="H919" s="411"/>
      <c r="I919" s="411"/>
      <c r="J919" s="411"/>
      <c r="K919" s="403"/>
    </row>
    <row r="920" spans="2:11">
      <c r="B920" s="413"/>
      <c r="C920" s="409"/>
      <c r="D920" s="409"/>
      <c r="E920" s="409"/>
      <c r="F920" s="416"/>
      <c r="G920" s="410"/>
      <c r="H920" s="411"/>
      <c r="I920" s="411"/>
      <c r="J920" s="411"/>
      <c r="K920" s="403"/>
    </row>
    <row r="921" spans="2:11">
      <c r="B921" s="382"/>
      <c r="C921" s="382"/>
      <c r="D921" s="382"/>
      <c r="E921" s="382"/>
      <c r="F921" s="382"/>
      <c r="G921" s="382"/>
      <c r="H921" s="382"/>
      <c r="I921" s="382"/>
      <c r="J921" s="382"/>
      <c r="K921" s="403"/>
    </row>
    <row r="922" spans="2:11">
      <c r="B922" s="382"/>
      <c r="C922" s="382"/>
      <c r="D922" s="382"/>
      <c r="E922" s="382"/>
      <c r="F922" s="382"/>
      <c r="G922" s="382"/>
      <c r="H922" s="382"/>
      <c r="I922" s="382"/>
      <c r="J922" s="382"/>
      <c r="K922" s="403"/>
    </row>
    <row r="923" spans="2:11">
      <c r="B923" s="382"/>
      <c r="C923" s="382"/>
      <c r="D923" s="382"/>
      <c r="E923" s="382"/>
      <c r="F923" s="382"/>
      <c r="G923" s="382"/>
      <c r="H923" s="382"/>
      <c r="I923" s="382"/>
      <c r="J923" s="382"/>
      <c r="K923" s="403"/>
    </row>
    <row r="924" spans="2:11">
      <c r="B924" s="378"/>
      <c r="C924" s="378"/>
      <c r="D924" s="378"/>
      <c r="E924" s="378"/>
      <c r="F924" s="378"/>
      <c r="G924" s="378"/>
      <c r="H924" s="378"/>
      <c r="I924" s="378"/>
      <c r="J924" s="378"/>
      <c r="K924" s="403"/>
    </row>
    <row r="925" spans="2:11">
      <c r="B925" s="382"/>
      <c r="C925" s="382"/>
      <c r="D925" s="382"/>
      <c r="E925" s="382"/>
      <c r="F925" s="382"/>
      <c r="G925" s="382"/>
      <c r="H925" s="382"/>
      <c r="I925" s="382"/>
      <c r="J925" s="382"/>
      <c r="K925" s="403"/>
    </row>
    <row r="926" spans="2:11">
      <c r="B926" s="382"/>
      <c r="C926" s="382"/>
      <c r="D926" s="382"/>
      <c r="E926" s="382"/>
      <c r="F926" s="382"/>
      <c r="G926" s="382"/>
      <c r="H926" s="382"/>
      <c r="I926" s="382"/>
      <c r="J926" s="382"/>
      <c r="K926" s="403"/>
    </row>
    <row r="927" spans="2:11">
      <c r="B927" s="382"/>
      <c r="C927" s="382"/>
      <c r="D927" s="382"/>
      <c r="E927" s="382"/>
      <c r="F927" s="382"/>
      <c r="G927" s="382"/>
      <c r="H927" s="382"/>
      <c r="I927" s="382"/>
      <c r="J927" s="382"/>
      <c r="K927" s="403"/>
    </row>
    <row r="928" spans="2:11">
      <c r="B928" s="413"/>
      <c r="C928" s="382"/>
      <c r="D928" s="382"/>
      <c r="E928" s="382"/>
      <c r="F928" s="382"/>
      <c r="G928" s="382"/>
      <c r="H928" s="382"/>
      <c r="I928" s="382"/>
      <c r="J928" s="382"/>
      <c r="K928" s="403"/>
    </row>
    <row r="929" spans="2:11">
      <c r="B929" s="413"/>
      <c r="C929" s="382"/>
      <c r="D929" s="382"/>
      <c r="E929" s="382"/>
      <c r="F929" s="382"/>
      <c r="G929" s="382"/>
      <c r="H929" s="382"/>
      <c r="I929" s="382"/>
      <c r="J929" s="382"/>
      <c r="K929" s="403"/>
    </row>
    <row r="930" spans="2:11">
      <c r="B930" s="413"/>
      <c r="C930" s="382"/>
      <c r="D930" s="382"/>
      <c r="E930" s="382"/>
      <c r="F930" s="382"/>
      <c r="G930" s="382"/>
      <c r="H930" s="382"/>
      <c r="I930" s="382"/>
      <c r="J930" s="382"/>
      <c r="K930" s="403"/>
    </row>
    <row r="934" spans="2:11">
      <c r="B934" s="100"/>
    </row>
    <row r="938" spans="2:11">
      <c r="B938" s="100"/>
      <c r="C938" s="172"/>
    </row>
    <row r="939" spans="2:11">
      <c r="B939" s="179"/>
    </row>
    <row r="941" spans="2:11">
      <c r="B941" s="209"/>
      <c r="C941" s="203"/>
    </row>
    <row r="942" spans="2:11">
      <c r="B942" s="179"/>
      <c r="C942" s="178"/>
    </row>
    <row r="943" spans="2:11">
      <c r="B943" s="179"/>
      <c r="C943" s="178"/>
    </row>
    <row r="944" spans="2:11">
      <c r="B944" s="179"/>
      <c r="C944" s="178"/>
    </row>
    <row r="945" spans="2:3">
      <c r="B945" s="179"/>
      <c r="C945" s="178"/>
    </row>
    <row r="948" spans="2:3">
      <c r="B948" s="100"/>
    </row>
    <row r="949" spans="2:3">
      <c r="B949" s="178"/>
    </row>
    <row r="955" spans="2:3">
      <c r="B955" s="178"/>
    </row>
    <row r="958" spans="2:3">
      <c r="B958" s="100"/>
    </row>
    <row r="966" spans="2:2">
      <c r="B966" s="178"/>
    </row>
    <row r="976" spans="2:2">
      <c r="B976" s="98"/>
    </row>
    <row r="982" spans="2:17">
      <c r="B982" s="98"/>
      <c r="C982" s="98"/>
      <c r="D982" s="98"/>
    </row>
    <row r="983" spans="2:17">
      <c r="B983" s="98"/>
      <c r="C983" s="345"/>
      <c r="D983" s="346"/>
    </row>
    <row r="984" spans="2:17">
      <c r="B984" s="98"/>
    </row>
    <row r="986" spans="2:17">
      <c r="B986" s="98"/>
      <c r="C986" s="98"/>
      <c r="D986" s="98"/>
      <c r="E986" s="98"/>
      <c r="F986" s="98"/>
      <c r="G986" s="98"/>
      <c r="H986" s="98"/>
      <c r="I986" s="98"/>
      <c r="J986" s="98"/>
      <c r="K986" s="98"/>
      <c r="L986" s="98"/>
      <c r="M986" s="98"/>
      <c r="N986" s="98"/>
      <c r="O986" s="98"/>
      <c r="P986" s="98"/>
      <c r="Q986" s="98"/>
    </row>
    <row r="987" spans="2:17">
      <c r="B987" s="350"/>
      <c r="C987" s="78"/>
      <c r="D987" s="78"/>
      <c r="E987" s="78"/>
      <c r="F987" s="78"/>
      <c r="G987" s="78"/>
      <c r="H987" s="78"/>
      <c r="I987" s="78"/>
      <c r="J987" s="78"/>
      <c r="K987" s="78"/>
      <c r="L987" s="78"/>
      <c r="M987" s="78"/>
      <c r="N987" s="78"/>
      <c r="O987" s="78"/>
      <c r="P987" s="78"/>
      <c r="Q987" s="78"/>
    </row>
    <row r="988" spans="2:17">
      <c r="B988" s="350"/>
      <c r="C988" s="78"/>
      <c r="D988" s="78"/>
      <c r="E988" s="78"/>
      <c r="F988" s="78"/>
      <c r="G988" s="78"/>
      <c r="H988" s="78"/>
      <c r="I988" s="78"/>
      <c r="J988" s="78"/>
      <c r="K988" s="78"/>
      <c r="L988" s="78"/>
      <c r="M988" s="78"/>
      <c r="N988" s="78"/>
      <c r="O988" s="78"/>
      <c r="P988" s="78"/>
      <c r="Q988" s="78"/>
    </row>
    <row r="989" spans="2:17">
      <c r="B989" s="350"/>
      <c r="C989" s="78"/>
      <c r="D989" s="78"/>
      <c r="E989" s="78"/>
      <c r="F989" s="78"/>
      <c r="G989" s="78"/>
      <c r="H989" s="78"/>
      <c r="I989" s="78"/>
      <c r="J989" s="78"/>
      <c r="K989" s="78"/>
      <c r="L989" s="78"/>
      <c r="M989" s="78"/>
      <c r="N989" s="78"/>
      <c r="O989" s="78"/>
      <c r="P989" s="78"/>
      <c r="Q989" s="78"/>
    </row>
    <row r="990" spans="2:17">
      <c r="B990" s="350"/>
      <c r="C990" s="78"/>
      <c r="D990" s="78"/>
      <c r="E990" s="78"/>
      <c r="F990" s="78"/>
      <c r="G990" s="78"/>
      <c r="H990" s="78"/>
      <c r="I990" s="78"/>
      <c r="J990" s="78"/>
      <c r="K990" s="78"/>
      <c r="L990" s="78"/>
      <c r="M990" s="78"/>
      <c r="N990" s="78"/>
      <c r="O990" s="78"/>
      <c r="P990" s="78"/>
      <c r="Q990" s="78"/>
    </row>
    <row r="991" spans="2:17">
      <c r="B991" s="350"/>
      <c r="C991" s="78"/>
      <c r="D991" s="78"/>
      <c r="E991" s="78"/>
      <c r="F991" s="78"/>
      <c r="G991" s="78"/>
      <c r="H991" s="78"/>
      <c r="I991" s="78"/>
      <c r="J991" s="78"/>
      <c r="K991" s="78"/>
      <c r="L991" s="78"/>
      <c r="M991" s="78"/>
      <c r="N991" s="78"/>
      <c r="O991" s="78"/>
      <c r="P991" s="78"/>
      <c r="Q991" s="78"/>
    </row>
    <row r="992" spans="2:17">
      <c r="B992" s="350"/>
      <c r="C992" s="78"/>
      <c r="D992" s="78"/>
      <c r="E992" s="78"/>
      <c r="F992" s="78"/>
      <c r="G992" s="78"/>
      <c r="H992" s="78"/>
      <c r="I992" s="78"/>
      <c r="J992" s="78"/>
      <c r="K992" s="78"/>
      <c r="L992" s="78"/>
      <c r="M992" s="78"/>
      <c r="N992" s="78"/>
      <c r="O992" s="78"/>
      <c r="P992" s="78"/>
      <c r="Q992" s="78"/>
    </row>
    <row r="993" spans="1:17">
      <c r="B993" s="350"/>
      <c r="C993" s="78"/>
      <c r="D993" s="78"/>
      <c r="E993" s="78"/>
      <c r="F993" s="78"/>
      <c r="G993" s="78"/>
      <c r="H993" s="78"/>
      <c r="I993" s="78"/>
      <c r="J993" s="78"/>
      <c r="K993" s="78"/>
      <c r="L993" s="78"/>
      <c r="M993" s="78"/>
      <c r="N993" s="78"/>
      <c r="O993" s="78"/>
      <c r="P993" s="78"/>
      <c r="Q993" s="78"/>
    </row>
    <row r="994" spans="1:17">
      <c r="B994" s="350"/>
      <c r="C994" s="78"/>
      <c r="D994" s="78"/>
      <c r="E994" s="78"/>
      <c r="F994" s="78"/>
      <c r="G994" s="78"/>
      <c r="H994" s="78"/>
      <c r="I994" s="78"/>
      <c r="J994" s="78"/>
      <c r="K994" s="78"/>
      <c r="L994" s="78"/>
      <c r="M994" s="78"/>
      <c r="N994" s="78"/>
      <c r="O994" s="78"/>
      <c r="P994" s="78"/>
      <c r="Q994" s="78"/>
    </row>
    <row r="995" spans="1:17">
      <c r="B995" s="350"/>
      <c r="C995" s="78"/>
      <c r="D995" s="78"/>
      <c r="E995" s="78"/>
      <c r="F995" s="78"/>
      <c r="G995" s="78"/>
      <c r="H995" s="78"/>
      <c r="I995" s="78"/>
      <c r="J995" s="78"/>
      <c r="K995" s="78"/>
      <c r="L995" s="78"/>
      <c r="M995" s="78"/>
      <c r="N995" s="78"/>
      <c r="O995" s="78"/>
      <c r="P995" s="78"/>
      <c r="Q995" s="78"/>
    </row>
    <row r="996" spans="1:17">
      <c r="B996" s="350"/>
      <c r="C996" s="356"/>
      <c r="D996" s="78"/>
      <c r="E996" s="78"/>
      <c r="F996" s="78"/>
      <c r="G996" s="78"/>
      <c r="H996" s="78"/>
      <c r="I996" s="78"/>
      <c r="J996" s="78"/>
      <c r="K996" s="78"/>
      <c r="L996" s="78"/>
      <c r="M996" s="78"/>
      <c r="N996" s="78"/>
      <c r="O996" s="78"/>
      <c r="P996" s="78"/>
      <c r="Q996" s="78"/>
    </row>
    <row r="998" spans="1:17">
      <c r="A998" s="97"/>
      <c r="B998" s="98"/>
    </row>
    <row r="1003" spans="1:17" ht="33" customHeight="1">
      <c r="B1003" s="364"/>
    </row>
    <row r="1006" spans="1:17">
      <c r="B1006" s="100"/>
    </row>
    <row r="1009" spans="2:12" ht="15.6">
      <c r="B1009" s="365"/>
      <c r="C1009" s="365"/>
      <c r="D1009" s="365"/>
      <c r="E1009" s="365"/>
      <c r="F1009" s="365"/>
      <c r="G1009" s="365"/>
      <c r="H1009" s="365"/>
      <c r="I1009" s="365"/>
      <c r="J1009" s="365"/>
      <c r="K1009" s="365"/>
      <c r="L1009" s="365"/>
    </row>
    <row r="1010" spans="2:12">
      <c r="B1010" s="346"/>
      <c r="C1010" s="319"/>
      <c r="D1010" s="243"/>
      <c r="E1010" s="244"/>
    </row>
    <row r="1011" spans="2:12">
      <c r="B1011" s="366"/>
      <c r="C1011" s="367"/>
      <c r="D1011" s="368"/>
      <c r="E1011" s="369"/>
    </row>
    <row r="1012" spans="2:12">
      <c r="B1012" s="346"/>
      <c r="C1012" s="319"/>
      <c r="D1012" s="243"/>
      <c r="E1012" s="244"/>
    </row>
    <row r="1013" spans="2:12">
      <c r="B1013" s="346"/>
      <c r="C1013" s="319"/>
      <c r="D1013" s="243"/>
      <c r="E1013" s="244"/>
    </row>
    <row r="1014" spans="2:12">
      <c r="B1014" s="346"/>
      <c r="C1014" s="319"/>
      <c r="D1014" s="243"/>
      <c r="E1014" s="244"/>
    </row>
    <row r="1015" spans="2:12">
      <c r="B1015" s="346"/>
      <c r="C1015" s="319"/>
      <c r="D1015" s="243"/>
      <c r="E1015" s="244"/>
    </row>
    <row r="1016" spans="2:12">
      <c r="B1016" s="366"/>
      <c r="C1016" s="367"/>
      <c r="D1016" s="368"/>
      <c r="E1016" s="369"/>
    </row>
    <row r="1017" spans="2:12">
      <c r="B1017" s="346"/>
      <c r="C1017" s="319"/>
      <c r="D1017" s="243"/>
      <c r="E1017" s="244"/>
    </row>
    <row r="1018" spans="2:12">
      <c r="B1018" s="346"/>
      <c r="C1018" s="319"/>
      <c r="D1018" s="243"/>
      <c r="E1018" s="244"/>
    </row>
    <row r="1019" spans="2:12">
      <c r="B1019" s="346"/>
      <c r="C1019" s="319"/>
      <c r="D1019" s="243"/>
      <c r="E1019" s="244"/>
      <c r="G1019" s="244"/>
    </row>
    <row r="1020" spans="2:12">
      <c r="B1020" s="346"/>
      <c r="C1020" s="319"/>
      <c r="D1020" s="243"/>
      <c r="E1020" s="244"/>
      <c r="G1020" s="244"/>
    </row>
    <row r="1021" spans="2:12">
      <c r="B1021" s="346"/>
      <c r="C1021" s="319"/>
      <c r="D1021" s="243"/>
      <c r="E1021" s="244"/>
      <c r="G1021" s="244"/>
    </row>
    <row r="1022" spans="2:12">
      <c r="B1022" s="346"/>
      <c r="C1022" s="319"/>
      <c r="D1022" s="243"/>
      <c r="E1022" s="244"/>
      <c r="G1022" s="244"/>
    </row>
    <row r="1023" spans="2:12">
      <c r="B1023" s="346"/>
      <c r="C1023" s="319"/>
      <c r="D1023" s="243"/>
      <c r="E1023" s="244"/>
      <c r="G1023" s="244"/>
    </row>
    <row r="1024" spans="2:12">
      <c r="C1024" s="319"/>
      <c r="D1024" s="243"/>
      <c r="E1024" s="244"/>
    </row>
    <row r="1025" spans="2:10">
      <c r="C1025" s="319"/>
      <c r="D1025" s="243"/>
      <c r="E1025" s="244"/>
    </row>
    <row r="1026" spans="2:10">
      <c r="C1026" s="319"/>
      <c r="D1026" s="243"/>
      <c r="E1026" s="244"/>
    </row>
    <row r="1027" spans="2:10">
      <c r="C1027" s="319"/>
      <c r="D1027" s="243"/>
      <c r="E1027" s="244"/>
    </row>
    <row r="1028" spans="2:10">
      <c r="C1028" s="319"/>
      <c r="D1028" s="243"/>
      <c r="E1028" s="244"/>
    </row>
    <row r="1029" spans="2:10">
      <c r="C1029" s="319"/>
      <c r="D1029" s="243"/>
      <c r="E1029" s="244"/>
    </row>
    <row r="1030" spans="2:10">
      <c r="C1030" s="319"/>
      <c r="D1030" s="243"/>
      <c r="E1030" s="244"/>
    </row>
    <row r="1031" spans="2:10">
      <c r="C1031" s="319"/>
      <c r="D1031" s="243"/>
      <c r="E1031" s="244"/>
    </row>
    <row r="1032" spans="2:10">
      <c r="C1032" s="319"/>
      <c r="D1032" s="243"/>
      <c r="E1032" s="244"/>
    </row>
    <row r="1033" spans="2:10">
      <c r="C1033" s="319"/>
      <c r="D1033" s="243"/>
      <c r="E1033" s="244"/>
    </row>
    <row r="1034" spans="2:10">
      <c r="B1034" s="346"/>
      <c r="C1034" s="319"/>
      <c r="D1034" s="243"/>
      <c r="E1034" s="244"/>
    </row>
    <row r="1035" spans="2:10">
      <c r="B1035" s="346"/>
      <c r="C1035" s="319"/>
      <c r="D1035" s="243"/>
      <c r="E1035" s="244"/>
    </row>
    <row r="1036" spans="2:10">
      <c r="B1036" s="346"/>
      <c r="C1036" s="319"/>
      <c r="D1036" s="243"/>
      <c r="E1036" s="244"/>
    </row>
    <row r="1037" spans="2:10">
      <c r="B1037" s="346"/>
      <c r="C1037" s="319"/>
      <c r="D1037" s="243"/>
      <c r="E1037" s="244"/>
    </row>
    <row r="1038" spans="2:10">
      <c r="B1038" s="346"/>
      <c r="C1038" s="319"/>
      <c r="D1038" s="243"/>
      <c r="E1038" s="244"/>
      <c r="J1038" s="370"/>
    </row>
    <row r="1039" spans="2:10">
      <c r="B1039" s="346"/>
      <c r="C1039" s="319"/>
      <c r="D1039" s="243"/>
      <c r="E1039" s="244"/>
    </row>
    <row r="1040" spans="2:10">
      <c r="B1040" s="346"/>
      <c r="C1040" s="319"/>
      <c r="D1040" s="243"/>
      <c r="E1040" s="244"/>
    </row>
    <row r="1041" spans="2:5">
      <c r="B1041" s="346"/>
      <c r="C1041" s="319"/>
      <c r="D1041" s="243"/>
      <c r="E1041" s="244"/>
    </row>
    <row r="1042" spans="2:5">
      <c r="B1042" s="346"/>
      <c r="C1042" s="319"/>
      <c r="D1042" s="243"/>
      <c r="E1042" s="244"/>
    </row>
    <row r="1043" spans="2:5">
      <c r="B1043" s="346"/>
      <c r="C1043" s="319"/>
      <c r="D1043" s="243"/>
      <c r="E1043" s="244"/>
    </row>
    <row r="1057" spans="2:16">
      <c r="B1057" s="98"/>
    </row>
    <row r="1061" spans="2:16">
      <c r="B1061" s="402"/>
    </row>
    <row r="1062" spans="2:16">
      <c r="B1062" s="152"/>
    </row>
    <row r="1065" spans="2:16">
      <c r="B1065" s="100"/>
    </row>
    <row r="1066" spans="2:16">
      <c r="B1066" s="371"/>
      <c r="C1066" s="372"/>
      <c r="D1066" s="372"/>
      <c r="E1066" s="373"/>
      <c r="F1066" s="372"/>
    </row>
    <row r="1067" spans="2:16">
      <c r="B1067" s="371"/>
      <c r="C1067" s="372"/>
      <c r="D1067" s="372"/>
      <c r="E1067" s="373"/>
      <c r="F1067" s="372"/>
    </row>
    <row r="1068" spans="2:16">
      <c r="B1068" s="374"/>
      <c r="C1068" s="372"/>
      <c r="D1068" s="372"/>
      <c r="E1068" s="373"/>
      <c r="F1068" s="375"/>
    </row>
    <row r="1069" spans="2:16">
      <c r="B1069" s="376"/>
      <c r="C1069" s="377"/>
      <c r="D1069" s="377"/>
      <c r="E1069" s="377"/>
      <c r="F1069" s="377"/>
      <c r="P1069" s="100"/>
    </row>
    <row r="1070" spans="2:16">
      <c r="B1070" s="378"/>
      <c r="C1070" s="379"/>
      <c r="D1070" s="379"/>
      <c r="E1070" s="379"/>
      <c r="F1070" s="379"/>
    </row>
    <row r="1071" spans="2:16">
      <c r="B1071" s="378"/>
      <c r="C1071" s="379"/>
      <c r="D1071" s="379"/>
      <c r="E1071" s="379"/>
      <c r="F1071" s="379"/>
    </row>
    <row r="1072" spans="2:16">
      <c r="B1072" s="378"/>
      <c r="C1072" s="379"/>
      <c r="D1072" s="379"/>
      <c r="E1072" s="379"/>
      <c r="F1072" s="379"/>
    </row>
    <row r="1073" spans="2:6">
      <c r="B1073" s="378"/>
      <c r="C1073" s="379"/>
      <c r="D1073" s="379"/>
      <c r="E1073" s="379"/>
      <c r="F1073" s="379"/>
    </row>
    <row r="1074" spans="2:6">
      <c r="B1074" s="378"/>
      <c r="C1074" s="379"/>
      <c r="D1074" s="379"/>
      <c r="E1074" s="379"/>
      <c r="F1074" s="379"/>
    </row>
    <row r="1075" spans="2:6">
      <c r="B1075" s="378"/>
      <c r="C1075" s="379"/>
      <c r="D1075" s="379"/>
      <c r="E1075" s="379"/>
      <c r="F1075" s="379"/>
    </row>
    <row r="1076" spans="2:6">
      <c r="B1076" s="380"/>
      <c r="C1076" s="381"/>
      <c r="D1076" s="381"/>
      <c r="E1076" s="381"/>
      <c r="F1076" s="381"/>
    </row>
    <row r="1077" spans="2:6">
      <c r="B1077" s="382"/>
      <c r="C1077" s="372"/>
      <c r="D1077" s="372"/>
      <c r="E1077" s="373"/>
      <c r="F1077" s="372"/>
    </row>
    <row r="1078" spans="2:6">
      <c r="B1078" s="382"/>
      <c r="C1078" s="372"/>
    </row>
    <row r="1083" spans="2:6">
      <c r="B1083" s="383"/>
      <c r="C1083" s="383"/>
    </row>
    <row r="1084" spans="2:6">
      <c r="B1084" s="383"/>
      <c r="C1084" s="384"/>
    </row>
    <row r="1085" spans="2:6">
      <c r="B1085" s="378"/>
      <c r="C1085" s="379"/>
    </row>
    <row r="1086" spans="2:6">
      <c r="B1086" s="378"/>
      <c r="C1086" s="379"/>
    </row>
    <row r="1087" spans="2:6">
      <c r="B1087" s="378"/>
      <c r="C1087" s="379"/>
    </row>
    <row r="1088" spans="2:6">
      <c r="B1088" s="378"/>
      <c r="C1088" s="379"/>
    </row>
    <row r="1089" spans="2:16">
      <c r="B1089" s="378"/>
      <c r="C1089" s="379"/>
    </row>
    <row r="1090" spans="2:16">
      <c r="B1090" s="378"/>
      <c r="C1090" s="379"/>
    </row>
    <row r="1091" spans="2:16">
      <c r="B1091" s="380"/>
      <c r="C1091" s="381"/>
    </row>
    <row r="1092" spans="2:16">
      <c r="B1092" s="382"/>
      <c r="C1092" s="385"/>
    </row>
    <row r="1093" spans="2:16">
      <c r="B1093" s="382"/>
      <c r="C1093" s="385"/>
    </row>
    <row r="1095" spans="2:16">
      <c r="P1095" s="98"/>
    </row>
    <row r="1096" spans="2:16">
      <c r="P1096" s="98"/>
    </row>
    <row r="1097" spans="2:16">
      <c r="B1097" s="100"/>
      <c r="P1097" s="98"/>
    </row>
    <row r="1123" spans="2:3">
      <c r="B1123" s="98"/>
    </row>
    <row r="1124" spans="2:3">
      <c r="B1124" s="98"/>
    </row>
    <row r="1125" spans="2:3">
      <c r="B1125" s="98"/>
    </row>
    <row r="1127" spans="2:3">
      <c r="B1127" s="98"/>
    </row>
    <row r="1130" spans="2:3">
      <c r="B1130" s="100"/>
    </row>
    <row r="1133" spans="2:3">
      <c r="B1133" s="383"/>
      <c r="C1133" s="383"/>
    </row>
    <row r="1134" spans="2:3">
      <c r="B1134" s="383"/>
      <c r="C1134" s="384"/>
    </row>
    <row r="1135" spans="2:3">
      <c r="B1135" s="378"/>
      <c r="C1135" s="379"/>
    </row>
    <row r="1136" spans="2:3">
      <c r="B1136" s="378"/>
      <c r="C1136" s="379"/>
    </row>
    <row r="1137" spans="2:3">
      <c r="B1137" s="378"/>
      <c r="C1137" s="379"/>
    </row>
    <row r="1138" spans="2:3">
      <c r="B1138" s="378"/>
      <c r="C1138" s="379"/>
    </row>
    <row r="1139" spans="2:3">
      <c r="B1139" s="378"/>
      <c r="C1139" s="379"/>
    </row>
    <row r="1140" spans="2:3">
      <c r="B1140" s="378"/>
      <c r="C1140" s="379"/>
    </row>
    <row r="1141" spans="2:3">
      <c r="B1141" s="380"/>
      <c r="C1141" s="381"/>
    </row>
    <row r="1142" spans="2:3">
      <c r="B1142" s="382"/>
      <c r="C1142" s="385"/>
    </row>
    <row r="1143" spans="2:3">
      <c r="B1143" s="382"/>
      <c r="C1143" s="385"/>
    </row>
    <row r="1146" spans="2:3">
      <c r="B1146" s="100"/>
    </row>
    <row r="1150" spans="2:3">
      <c r="B1150" s="383"/>
      <c r="C1150" s="383"/>
    </row>
    <row r="1151" spans="2:3">
      <c r="B1151" s="383"/>
      <c r="C1151" s="384"/>
    </row>
    <row r="1152" spans="2:3">
      <c r="B1152" s="378"/>
      <c r="C1152" s="379"/>
    </row>
    <row r="1153" spans="2:4">
      <c r="B1153" s="378"/>
      <c r="C1153" s="379"/>
    </row>
    <row r="1154" spans="2:4">
      <c r="B1154" s="378"/>
      <c r="C1154" s="379"/>
      <c r="D1154" s="243"/>
    </row>
    <row r="1155" spans="2:4">
      <c r="B1155" s="378"/>
      <c r="C1155" s="379"/>
    </row>
    <row r="1156" spans="2:4">
      <c r="B1156" s="378"/>
      <c r="C1156" s="379"/>
    </row>
    <row r="1157" spans="2:4">
      <c r="B1157" s="378"/>
      <c r="C1157" s="379"/>
    </row>
    <row r="1158" spans="2:4">
      <c r="B1158" s="380"/>
      <c r="C1158" s="379"/>
    </row>
    <row r="1159" spans="2:4">
      <c r="B1159" s="382"/>
      <c r="C1159" s="385"/>
    </row>
    <row r="1160" spans="2:4">
      <c r="B1160" s="382"/>
      <c r="C1160" s="385"/>
    </row>
    <row r="1162" spans="2:4">
      <c r="B1162" s="100"/>
    </row>
    <row r="1163" spans="2:4">
      <c r="B1163" s="152"/>
    </row>
    <row r="1169" spans="2:10" ht="15.6">
      <c r="B1169" s="386"/>
      <c r="C1169" s="162"/>
      <c r="D1169" s="162"/>
      <c r="E1169" s="163"/>
      <c r="F1169" s="163"/>
      <c r="G1169" s="163"/>
      <c r="H1169" s="163"/>
      <c r="I1169" s="163"/>
    </row>
    <row r="1170" spans="2:10">
      <c r="B1170" s="163"/>
      <c r="C1170" s="162"/>
      <c r="D1170" s="162"/>
      <c r="E1170" s="163"/>
      <c r="F1170" s="201"/>
      <c r="G1170" s="201"/>
      <c r="H1170" s="163"/>
      <c r="I1170" s="202"/>
    </row>
    <row r="1171" spans="2:10">
      <c r="B1171" s="209"/>
      <c r="C1171" s="203"/>
      <c r="D1171" s="203"/>
      <c r="E1171" s="203"/>
      <c r="F1171" s="203"/>
      <c r="G1171" s="203"/>
      <c r="H1171" s="203"/>
      <c r="I1171" s="203"/>
      <c r="J1171" s="203"/>
    </row>
    <row r="1172" spans="2:10">
      <c r="B1172" s="179"/>
      <c r="C1172" s="178"/>
      <c r="D1172" s="178"/>
      <c r="E1172" s="178"/>
      <c r="F1172" s="178"/>
      <c r="G1172" s="178"/>
      <c r="H1172" s="178"/>
      <c r="I1172" s="178"/>
    </row>
    <row r="1173" spans="2:10">
      <c r="B1173" s="179"/>
      <c r="C1173" s="178"/>
      <c r="D1173" s="178"/>
      <c r="E1173" s="178"/>
      <c r="F1173" s="178"/>
      <c r="G1173" s="178"/>
      <c r="H1173" s="178"/>
      <c r="I1173" s="178"/>
    </row>
    <row r="1174" spans="2:10">
      <c r="B1174" s="179"/>
      <c r="C1174" s="178"/>
      <c r="D1174" s="178"/>
      <c r="E1174" s="178"/>
      <c r="F1174" s="178"/>
      <c r="G1174" s="178"/>
      <c r="H1174" s="178"/>
      <c r="I1174" s="178"/>
    </row>
    <row r="1175" spans="2:10">
      <c r="B1175" s="179"/>
      <c r="C1175" s="178"/>
      <c r="D1175" s="178"/>
      <c r="E1175" s="178"/>
      <c r="F1175" s="178"/>
      <c r="G1175" s="178"/>
      <c r="H1175" s="178"/>
      <c r="I1175" s="178"/>
    </row>
    <row r="1176" spans="2:10">
      <c r="B1176" s="209"/>
      <c r="C1176" s="387"/>
      <c r="D1176" s="387"/>
      <c r="E1176" s="387"/>
      <c r="F1176" s="387"/>
      <c r="G1176" s="387"/>
      <c r="H1176" s="387"/>
      <c r="I1176" s="387"/>
    </row>
    <row r="1177" spans="2:10">
      <c r="B1177" s="100"/>
      <c r="C1177" s="172"/>
      <c r="D1177" s="163"/>
      <c r="E1177" s="163"/>
      <c r="F1177" s="163"/>
      <c r="G1177" s="163"/>
      <c r="H1177" s="163"/>
      <c r="I1177" s="173"/>
    </row>
    <row r="1178" spans="2:10">
      <c r="B1178" s="179"/>
    </row>
    <row r="1180" spans="2:10">
      <c r="B1180" s="209"/>
      <c r="C1180" s="203"/>
    </row>
    <row r="1181" spans="2:10">
      <c r="B1181" s="179"/>
      <c r="C1181" s="178"/>
    </row>
    <row r="1182" spans="2:10">
      <c r="B1182" s="179"/>
      <c r="C1182" s="178"/>
    </row>
    <row r="1183" spans="2:10">
      <c r="B1183" s="179"/>
      <c r="C1183" s="178"/>
    </row>
    <row r="1184" spans="2:10">
      <c r="B1184" s="179"/>
      <c r="C1184" s="178"/>
    </row>
    <row r="1185" spans="2:6">
      <c r="B1185" s="178"/>
      <c r="C1185" s="178"/>
    </row>
    <row r="1186" spans="2:6">
      <c r="B1186" s="178"/>
      <c r="C1186" s="178"/>
    </row>
    <row r="1189" spans="2:6">
      <c r="B1189" s="388"/>
      <c r="C1189" s="389"/>
      <c r="D1189" s="389"/>
      <c r="E1189" s="389"/>
      <c r="F1189" s="389"/>
    </row>
    <row r="1190" spans="2:6">
      <c r="B1190" s="388"/>
      <c r="C1190" s="390"/>
      <c r="D1190" s="390"/>
      <c r="E1190" s="390"/>
      <c r="F1190" s="391"/>
    </row>
    <row r="1191" spans="2:6">
      <c r="B1191" s="392"/>
      <c r="C1191" s="391"/>
      <c r="D1191" s="391"/>
      <c r="E1191" s="390"/>
      <c r="F1191" s="393"/>
    </row>
    <row r="1199" spans="2:6">
      <c r="B1199" s="394"/>
      <c r="C1199" s="391"/>
      <c r="D1199" s="391"/>
    </row>
    <row r="1200" spans="2:6">
      <c r="B1200" s="395"/>
      <c r="C1200" s="396"/>
      <c r="D1200" s="393"/>
    </row>
    <row r="1201" spans="2:9">
      <c r="B1201" s="395"/>
      <c r="C1201" s="396"/>
      <c r="D1201" s="393"/>
    </row>
    <row r="1206" spans="2:9">
      <c r="B1206" s="397"/>
      <c r="C1206" s="390"/>
      <c r="D1206" s="390"/>
      <c r="E1206" s="395"/>
    </row>
    <row r="1207" spans="2:9">
      <c r="B1207" s="397"/>
      <c r="C1207" s="390"/>
      <c r="D1207" s="390"/>
      <c r="E1207" s="391"/>
    </row>
    <row r="1208" spans="2:9">
      <c r="B1208" s="395"/>
      <c r="C1208" s="396"/>
      <c r="D1208" s="396"/>
      <c r="E1208" s="393"/>
    </row>
    <row r="1209" spans="2:9">
      <c r="B1209" s="398"/>
      <c r="C1209" s="396"/>
      <c r="D1209" s="396"/>
      <c r="E1209" s="393"/>
    </row>
    <row r="1210" spans="2:9">
      <c r="B1210" s="395"/>
      <c r="C1210" s="396"/>
      <c r="D1210" s="396"/>
      <c r="E1210" s="393"/>
    </row>
    <row r="1211" spans="2:9">
      <c r="B1211" s="395"/>
      <c r="C1211" s="396"/>
      <c r="D1211" s="396"/>
      <c r="E1211" s="399"/>
    </row>
    <row r="1213" spans="2:9">
      <c r="B1213" s="100"/>
    </row>
    <row r="1216" spans="2:9" ht="15.6">
      <c r="B1216" s="204"/>
      <c r="C1216" s="162"/>
      <c r="D1216" s="162"/>
      <c r="E1216" s="163"/>
      <c r="F1216" s="163"/>
      <c r="G1216" s="163"/>
      <c r="H1216" s="163"/>
      <c r="I1216" s="163"/>
    </row>
    <row r="1217" spans="2:9">
      <c r="B1217" s="163"/>
      <c r="C1217" s="162"/>
      <c r="D1217" s="162"/>
      <c r="E1217" s="163"/>
      <c r="F1217" s="201"/>
      <c r="G1217" s="201"/>
      <c r="H1217" s="163"/>
      <c r="I1217" s="202"/>
    </row>
    <row r="1218" spans="2:9">
      <c r="B1218" s="209"/>
      <c r="C1218" s="203"/>
      <c r="D1218" s="203"/>
      <c r="E1218" s="203"/>
      <c r="F1218" s="203"/>
      <c r="G1218" s="203"/>
      <c r="H1218" s="203"/>
      <c r="I1218" s="203"/>
    </row>
    <row r="1219" spans="2:9">
      <c r="B1219" s="179"/>
      <c r="C1219" s="178"/>
      <c r="D1219" s="178"/>
      <c r="E1219" s="178"/>
      <c r="F1219" s="178"/>
      <c r="G1219" s="178"/>
      <c r="H1219" s="178"/>
      <c r="I1219" s="178"/>
    </row>
    <row r="1220" spans="2:9">
      <c r="B1220" s="179"/>
      <c r="C1220" s="178"/>
      <c r="D1220" s="178"/>
      <c r="E1220" s="178"/>
      <c r="F1220" s="178"/>
      <c r="G1220" s="178"/>
      <c r="H1220" s="178"/>
      <c r="I1220" s="178"/>
    </row>
    <row r="1221" spans="2:9">
      <c r="B1221" s="179"/>
      <c r="C1221" s="178"/>
      <c r="D1221" s="178"/>
      <c r="E1221" s="178"/>
      <c r="F1221" s="178"/>
      <c r="G1221" s="178"/>
      <c r="H1221" s="178"/>
      <c r="I1221" s="178"/>
    </row>
    <row r="1222" spans="2:9">
      <c r="B1222" s="179"/>
      <c r="C1222" s="178"/>
      <c r="D1222" s="178"/>
      <c r="E1222" s="178"/>
      <c r="F1222" s="178"/>
      <c r="G1222" s="178"/>
      <c r="H1222" s="178"/>
      <c r="I1222" s="178"/>
    </row>
    <row r="1223" spans="2:9">
      <c r="B1223" s="209"/>
      <c r="C1223" s="387"/>
      <c r="D1223" s="387"/>
      <c r="E1223" s="387"/>
      <c r="F1223" s="387"/>
      <c r="G1223" s="387"/>
      <c r="H1223" s="387"/>
      <c r="I1223" s="387"/>
    </row>
    <row r="1224" spans="2:9">
      <c r="B1224" s="162"/>
      <c r="C1224" s="210"/>
      <c r="D1224" s="163"/>
      <c r="E1224" s="163"/>
      <c r="F1224" s="163"/>
      <c r="G1224" s="163"/>
      <c r="H1224" s="163"/>
      <c r="I1224" s="173"/>
    </row>
    <row r="1225" spans="2:9">
      <c r="B1225" s="179"/>
    </row>
    <row r="1230" spans="2:9">
      <c r="B1230" s="391"/>
      <c r="C1230" s="391"/>
    </row>
    <row r="1231" spans="2:9">
      <c r="B1231" s="179"/>
      <c r="C1231" s="400"/>
    </row>
    <row r="1235" spans="2:9">
      <c r="B1235" s="100"/>
    </row>
    <row r="1236" spans="2:9">
      <c r="B1236" s="178"/>
    </row>
    <row r="1242" spans="2:9">
      <c r="B1242" s="178"/>
    </row>
    <row r="1243" spans="2:9">
      <c r="B1243" s="178"/>
    </row>
    <row r="1244" spans="2:9">
      <c r="B1244" s="178"/>
    </row>
    <row r="1245" spans="2:9">
      <c r="B1245" s="99"/>
      <c r="C1245" s="99"/>
      <c r="D1245" s="99"/>
      <c r="E1245" s="99"/>
      <c r="F1245" s="99"/>
      <c r="G1245" s="99"/>
      <c r="H1245" s="99"/>
      <c r="I1245" s="99"/>
    </row>
    <row r="1246" spans="2:9">
      <c r="B1246" s="99"/>
      <c r="C1246" s="99"/>
      <c r="D1246" s="99"/>
      <c r="E1246" s="99"/>
      <c r="F1246" s="99"/>
      <c r="G1246" s="99"/>
      <c r="H1246" s="99"/>
      <c r="I1246" s="99"/>
    </row>
    <row r="1247" spans="2:9">
      <c r="B1247" s="99"/>
      <c r="C1247" s="99"/>
      <c r="D1247" s="99"/>
      <c r="E1247" s="99"/>
      <c r="F1247" s="99"/>
      <c r="G1247" s="99"/>
      <c r="H1247" s="99"/>
      <c r="I1247" s="99"/>
    </row>
    <row r="1248" spans="2:9">
      <c r="B1248" s="99"/>
      <c r="C1248" s="99"/>
      <c r="D1248" s="99"/>
      <c r="E1248" s="99"/>
      <c r="F1248" s="99"/>
      <c r="G1248" s="99"/>
      <c r="H1248" s="99"/>
      <c r="I1248" s="99"/>
    </row>
    <row r="1249" spans="2:9">
      <c r="B1249" s="99"/>
      <c r="C1249" s="99"/>
      <c r="D1249" s="99"/>
      <c r="E1249" s="99"/>
      <c r="F1249" s="99"/>
      <c r="G1249" s="99"/>
      <c r="H1249" s="99"/>
      <c r="I1249" s="99"/>
    </row>
    <row r="1254" spans="2:9">
      <c r="B1254" s="100"/>
    </row>
    <row r="1262" spans="2:9">
      <c r="B1262" s="178"/>
    </row>
    <row r="1264" spans="2:9">
      <c r="E1264" s="98"/>
    </row>
    <row r="1271" spans="2:2">
      <c r="B1271" s="98"/>
    </row>
    <row r="1293" spans="2:4">
      <c r="B1293" s="98"/>
      <c r="C1293" s="98"/>
      <c r="D1293" s="98"/>
    </row>
    <row r="1294" spans="2:4">
      <c r="B1294" s="98"/>
      <c r="C1294" s="345"/>
      <c r="D1294" s="346"/>
    </row>
    <row r="1295" spans="2:4">
      <c r="B1295" s="98"/>
    </row>
    <row r="1297" spans="2:17">
      <c r="B1297" s="98"/>
      <c r="C1297" s="98"/>
      <c r="D1297" s="98"/>
      <c r="E1297" s="98"/>
      <c r="F1297" s="98"/>
      <c r="G1297" s="98"/>
      <c r="H1297" s="98"/>
      <c r="I1297" s="98"/>
      <c r="J1297" s="98"/>
      <c r="K1297" s="98"/>
      <c r="L1297" s="98"/>
      <c r="M1297" s="98"/>
      <c r="N1297" s="98"/>
      <c r="O1297" s="98"/>
      <c r="P1297" s="98"/>
      <c r="Q1297" s="98"/>
    </row>
    <row r="1298" spans="2:17">
      <c r="B1298" s="350"/>
      <c r="C1298" s="78"/>
      <c r="D1298" s="78"/>
      <c r="E1298" s="78"/>
      <c r="F1298" s="78"/>
      <c r="G1298" s="78"/>
      <c r="H1298" s="78"/>
      <c r="I1298" s="78"/>
      <c r="J1298" s="78"/>
      <c r="K1298" s="78"/>
      <c r="L1298" s="78"/>
      <c r="M1298" s="78"/>
      <c r="N1298" s="78"/>
      <c r="O1298" s="78"/>
      <c r="P1298" s="78"/>
      <c r="Q1298" s="78"/>
    </row>
    <row r="1299" spans="2:17">
      <c r="B1299" s="350"/>
      <c r="C1299" s="78"/>
      <c r="D1299" s="78"/>
      <c r="E1299" s="78"/>
      <c r="F1299" s="78"/>
      <c r="G1299" s="78"/>
      <c r="H1299" s="78"/>
      <c r="I1299" s="78"/>
      <c r="J1299" s="78"/>
      <c r="K1299" s="78"/>
      <c r="L1299" s="78"/>
      <c r="M1299" s="78"/>
      <c r="N1299" s="78"/>
      <c r="O1299" s="78"/>
      <c r="P1299" s="78"/>
      <c r="Q1299" s="78"/>
    </row>
    <row r="1300" spans="2:17" ht="16.05" customHeight="1">
      <c r="B1300" s="350"/>
      <c r="C1300" s="78"/>
      <c r="D1300" s="78"/>
      <c r="E1300" s="78"/>
      <c r="F1300" s="78"/>
      <c r="G1300" s="78"/>
      <c r="H1300" s="78"/>
      <c r="I1300" s="78"/>
      <c r="J1300" s="78"/>
      <c r="K1300" s="78"/>
      <c r="L1300" s="78"/>
      <c r="M1300" s="78"/>
      <c r="N1300" s="78"/>
      <c r="O1300" s="78"/>
      <c r="P1300" s="78"/>
      <c r="Q1300" s="78"/>
    </row>
    <row r="1301" spans="2:17">
      <c r="B1301" s="350"/>
      <c r="C1301" s="78"/>
      <c r="D1301" s="78"/>
      <c r="E1301" s="78"/>
      <c r="F1301" s="78"/>
      <c r="G1301" s="78"/>
      <c r="H1301" s="78"/>
      <c r="I1301" s="78"/>
      <c r="J1301" s="78"/>
      <c r="K1301" s="78"/>
      <c r="L1301" s="78"/>
      <c r="M1301" s="78"/>
      <c r="N1301" s="78"/>
      <c r="O1301" s="78"/>
      <c r="P1301" s="78"/>
      <c r="Q1301" s="78"/>
    </row>
    <row r="1302" spans="2:17">
      <c r="B1302" s="350"/>
      <c r="C1302" s="78"/>
      <c r="D1302" s="78"/>
      <c r="E1302" s="78"/>
      <c r="F1302" s="78"/>
      <c r="G1302" s="78"/>
      <c r="H1302" s="78"/>
      <c r="I1302" s="78"/>
      <c r="J1302" s="78"/>
      <c r="K1302" s="78"/>
      <c r="L1302" s="78"/>
      <c r="M1302" s="78"/>
      <c r="N1302" s="78"/>
      <c r="O1302" s="78"/>
      <c r="P1302" s="78"/>
      <c r="Q1302" s="78"/>
    </row>
    <row r="1303" spans="2:17">
      <c r="B1303" s="350"/>
      <c r="C1303" s="78"/>
      <c r="D1303" s="78"/>
      <c r="E1303" s="78"/>
      <c r="F1303" s="78"/>
      <c r="G1303" s="78"/>
      <c r="H1303" s="78"/>
      <c r="I1303" s="78"/>
      <c r="J1303" s="78"/>
      <c r="K1303" s="78"/>
      <c r="L1303" s="78"/>
      <c r="M1303" s="78"/>
      <c r="N1303" s="78"/>
      <c r="O1303" s="78"/>
      <c r="P1303" s="78"/>
      <c r="Q1303" s="78"/>
    </row>
    <row r="1304" spans="2:17">
      <c r="B1304" s="350"/>
      <c r="C1304" s="78"/>
      <c r="D1304" s="78"/>
      <c r="E1304" s="78"/>
      <c r="F1304" s="78"/>
      <c r="G1304" s="78"/>
      <c r="H1304" s="78"/>
      <c r="I1304" s="78"/>
      <c r="J1304" s="78"/>
      <c r="K1304" s="78"/>
      <c r="L1304" s="78"/>
      <c r="M1304" s="78"/>
      <c r="N1304" s="78"/>
      <c r="O1304" s="78"/>
      <c r="P1304" s="78"/>
      <c r="Q1304" s="78"/>
    </row>
    <row r="1305" spans="2:17" ht="16.05" customHeight="1">
      <c r="B1305" s="350"/>
      <c r="C1305" s="78"/>
      <c r="D1305" s="78"/>
      <c r="E1305" s="78"/>
      <c r="F1305" s="78"/>
      <c r="G1305" s="78"/>
      <c r="H1305" s="78"/>
      <c r="I1305" s="78"/>
      <c r="J1305" s="78"/>
      <c r="K1305" s="78"/>
      <c r="L1305" s="78"/>
      <c r="M1305" s="78"/>
      <c r="N1305" s="78"/>
      <c r="O1305" s="78"/>
      <c r="P1305" s="78"/>
      <c r="Q1305" s="78"/>
    </row>
    <row r="1306" spans="2:17">
      <c r="B1306" s="350"/>
      <c r="C1306" s="78"/>
      <c r="D1306" s="78"/>
      <c r="E1306" s="78"/>
      <c r="F1306" s="78"/>
      <c r="G1306" s="78"/>
      <c r="H1306" s="78"/>
      <c r="I1306" s="78"/>
      <c r="J1306" s="78"/>
      <c r="K1306" s="78"/>
      <c r="L1306" s="78"/>
      <c r="M1306" s="78"/>
      <c r="N1306" s="78"/>
      <c r="O1306" s="78"/>
      <c r="P1306" s="78"/>
      <c r="Q1306" s="78"/>
    </row>
    <row r="1307" spans="2:17">
      <c r="B1307" s="350"/>
      <c r="C1307" s="356"/>
      <c r="D1307" s="356"/>
      <c r="E1307" s="356"/>
      <c r="F1307" s="356"/>
      <c r="G1307" s="356"/>
      <c r="H1307" s="356"/>
      <c r="I1307" s="356"/>
      <c r="J1307" s="356"/>
      <c r="K1307" s="356"/>
      <c r="L1307" s="356"/>
      <c r="M1307" s="356"/>
      <c r="N1307" s="356"/>
      <c r="O1307" s="356"/>
      <c r="P1307" s="356"/>
      <c r="Q1307" s="356"/>
    </row>
    <row r="1315" spans="2:17">
      <c r="B1315" s="98"/>
      <c r="C1315" s="98"/>
      <c r="D1315" s="98"/>
    </row>
    <row r="1316" spans="2:17">
      <c r="B1316" s="98"/>
      <c r="C1316" s="345"/>
      <c r="D1316" s="346"/>
    </row>
    <row r="1317" spans="2:17">
      <c r="B1317" s="98"/>
    </row>
    <row r="1319" spans="2:17">
      <c r="B1319" s="98"/>
      <c r="C1319" s="98"/>
      <c r="D1319" s="98"/>
      <c r="E1319" s="98"/>
      <c r="F1319" s="98"/>
      <c r="G1319" s="98"/>
      <c r="H1319" s="98"/>
      <c r="I1319" s="98"/>
      <c r="J1319" s="98"/>
      <c r="K1319" s="98"/>
      <c r="L1319" s="98"/>
      <c r="M1319" s="98"/>
      <c r="N1319" s="98"/>
      <c r="O1319" s="98"/>
      <c r="P1319" s="98"/>
      <c r="Q1319" s="98"/>
    </row>
    <row r="1320" spans="2:17">
      <c r="B1320" s="350"/>
      <c r="C1320" s="78"/>
      <c r="D1320" s="78"/>
      <c r="E1320" s="78"/>
      <c r="F1320" s="78"/>
      <c r="G1320" s="78"/>
      <c r="H1320" s="78"/>
      <c r="I1320" s="78"/>
      <c r="J1320" s="78"/>
      <c r="K1320" s="78"/>
      <c r="L1320" s="78"/>
      <c r="M1320" s="78"/>
      <c r="N1320" s="78"/>
      <c r="O1320" s="78"/>
      <c r="P1320" s="78"/>
      <c r="Q1320" s="78"/>
    </row>
    <row r="1321" spans="2:17">
      <c r="B1321" s="350"/>
      <c r="C1321" s="78"/>
      <c r="D1321" s="78"/>
      <c r="E1321" s="78"/>
      <c r="F1321" s="78"/>
      <c r="G1321" s="78"/>
      <c r="H1321" s="78"/>
      <c r="I1321" s="78"/>
      <c r="J1321" s="78"/>
      <c r="K1321" s="78"/>
      <c r="L1321" s="78"/>
      <c r="M1321" s="78"/>
      <c r="N1321" s="78"/>
      <c r="O1321" s="78"/>
      <c r="P1321" s="78"/>
      <c r="Q1321" s="78"/>
    </row>
    <row r="1322" spans="2:17" ht="16.05" customHeight="1">
      <c r="B1322" s="350"/>
      <c r="C1322" s="78"/>
      <c r="D1322" s="78"/>
      <c r="E1322" s="78"/>
      <c r="F1322" s="78"/>
      <c r="G1322" s="78"/>
      <c r="H1322" s="78"/>
      <c r="I1322" s="78"/>
      <c r="J1322" s="78"/>
      <c r="K1322" s="78"/>
      <c r="L1322" s="78"/>
      <c r="M1322" s="78"/>
      <c r="N1322" s="78"/>
      <c r="O1322" s="78"/>
      <c r="P1322" s="78"/>
      <c r="Q1322" s="78"/>
    </row>
    <row r="1323" spans="2:17">
      <c r="B1323" s="350"/>
      <c r="C1323" s="78"/>
      <c r="D1323" s="78"/>
      <c r="E1323" s="78"/>
      <c r="F1323" s="78"/>
      <c r="G1323" s="78"/>
      <c r="H1323" s="78"/>
      <c r="I1323" s="78"/>
      <c r="J1323" s="78"/>
      <c r="K1323" s="78"/>
      <c r="L1323" s="78"/>
      <c r="M1323" s="78"/>
      <c r="N1323" s="78"/>
      <c r="O1323" s="78"/>
      <c r="P1323" s="78"/>
      <c r="Q1323" s="78"/>
    </row>
    <row r="1324" spans="2:17">
      <c r="B1324" s="350"/>
      <c r="C1324" s="78"/>
      <c r="D1324" s="78"/>
      <c r="E1324" s="78"/>
      <c r="F1324" s="78"/>
      <c r="G1324" s="78"/>
      <c r="H1324" s="78"/>
      <c r="I1324" s="78"/>
      <c r="J1324" s="78"/>
      <c r="K1324" s="78"/>
      <c r="L1324" s="78"/>
      <c r="M1324" s="78"/>
      <c r="N1324" s="78"/>
      <c r="O1324" s="78"/>
      <c r="P1324" s="78"/>
      <c r="Q1324" s="78"/>
    </row>
    <row r="1325" spans="2:17">
      <c r="B1325" s="350"/>
      <c r="C1325" s="78"/>
      <c r="D1325" s="78"/>
      <c r="E1325" s="78"/>
      <c r="F1325" s="78"/>
      <c r="G1325" s="78"/>
      <c r="H1325" s="78"/>
      <c r="I1325" s="78"/>
      <c r="J1325" s="78"/>
      <c r="K1325" s="78"/>
      <c r="L1325" s="78"/>
      <c r="M1325" s="78"/>
      <c r="N1325" s="78"/>
      <c r="O1325" s="78"/>
      <c r="P1325" s="78"/>
      <c r="Q1325" s="78"/>
    </row>
    <row r="1326" spans="2:17">
      <c r="B1326" s="350"/>
      <c r="C1326" s="78"/>
      <c r="D1326" s="78"/>
      <c r="E1326" s="78"/>
      <c r="F1326" s="78"/>
      <c r="G1326" s="78"/>
      <c r="H1326" s="78"/>
      <c r="I1326" s="78"/>
      <c r="J1326" s="78"/>
      <c r="K1326" s="78"/>
      <c r="L1326" s="78"/>
      <c r="M1326" s="78"/>
      <c r="N1326" s="78"/>
      <c r="O1326" s="78"/>
      <c r="P1326" s="78"/>
      <c r="Q1326" s="78"/>
    </row>
    <row r="1327" spans="2:17">
      <c r="B1327" s="350"/>
      <c r="C1327" s="78"/>
      <c r="D1327" s="78"/>
      <c r="E1327" s="78"/>
      <c r="F1327" s="78"/>
      <c r="G1327" s="78"/>
      <c r="H1327" s="78"/>
      <c r="I1327" s="78"/>
      <c r="J1327" s="78"/>
      <c r="K1327" s="78"/>
      <c r="L1327" s="78"/>
      <c r="M1327" s="78"/>
      <c r="N1327" s="78"/>
      <c r="O1327" s="78"/>
      <c r="P1327" s="78"/>
      <c r="Q1327" s="78"/>
    </row>
    <row r="1328" spans="2:17">
      <c r="B1328" s="350"/>
      <c r="C1328" s="78"/>
      <c r="D1328" s="78"/>
      <c r="E1328" s="78"/>
      <c r="F1328" s="78"/>
      <c r="G1328" s="78"/>
      <c r="H1328" s="78"/>
      <c r="I1328" s="78"/>
      <c r="J1328" s="78"/>
      <c r="K1328" s="78"/>
      <c r="L1328" s="78"/>
      <c r="M1328" s="78"/>
      <c r="N1328" s="78"/>
      <c r="O1328" s="78"/>
      <c r="P1328" s="78"/>
      <c r="Q1328" s="78"/>
    </row>
    <row r="1329" spans="2:17">
      <c r="B1329" s="350"/>
      <c r="C1329" s="356"/>
      <c r="D1329" s="356"/>
      <c r="E1329" s="356"/>
      <c r="F1329" s="356"/>
      <c r="G1329" s="356"/>
      <c r="H1329" s="356"/>
      <c r="I1329" s="356"/>
      <c r="J1329" s="356"/>
      <c r="K1329" s="356"/>
      <c r="L1329" s="356"/>
      <c r="M1329" s="356"/>
      <c r="N1329" s="356"/>
      <c r="O1329" s="356"/>
      <c r="P1329" s="356"/>
      <c r="Q1329" s="356"/>
    </row>
    <row r="1375" ht="29.25" customHeight="1"/>
  </sheetData>
  <mergeCells count="23">
    <mergeCell ref="B5:D5"/>
    <mergeCell ref="F5:Q5"/>
    <mergeCell ref="F6:G6"/>
    <mergeCell ref="H6:Q6"/>
    <mergeCell ref="C7:D7"/>
    <mergeCell ref="F7:G8"/>
    <mergeCell ref="H7:Q8"/>
    <mergeCell ref="C8:D8"/>
    <mergeCell ref="C10:D10"/>
    <mergeCell ref="C12:D12"/>
    <mergeCell ref="B14:Q14"/>
    <mergeCell ref="C15:Q15"/>
    <mergeCell ref="C16:Q16"/>
    <mergeCell ref="C17:Q17"/>
    <mergeCell ref="C18:Q18"/>
    <mergeCell ref="C19:Q19"/>
    <mergeCell ref="C20:Q20"/>
    <mergeCell ref="H104:J104"/>
    <mergeCell ref="C21:Q21"/>
    <mergeCell ref="C22:Q22"/>
    <mergeCell ref="C23:Q23"/>
    <mergeCell ref="D27:E27"/>
    <mergeCell ref="I73:J73"/>
  </mergeCells>
  <conditionalFormatting sqref="C1317">
    <cfRule type="containsText" dxfId="915" priority="70" operator="containsText" text="Calcul validé">
      <formula>NOT(ISERROR(SEARCH("Calcul validé",C1317)))</formula>
    </cfRule>
  </conditionalFormatting>
  <conditionalFormatting sqref="C1317">
    <cfRule type="containsText" dxfId="914" priority="69" operator="containsText" text="Bon ordre de grandeur">
      <formula>NOT(ISERROR(SEARCH("Bon ordre de grandeur",C1317)))</formula>
    </cfRule>
  </conditionalFormatting>
  <conditionalFormatting sqref="C1317">
    <cfRule type="containsText" dxfId="913" priority="68" operator="containsText" text="Calcul brouillon, ordre de grandeur">
      <formula>NOT(ISERROR(SEARCH("Calcul brouillon, ordre de grandeur",C1317)))</formula>
    </cfRule>
  </conditionalFormatting>
  <conditionalFormatting sqref="C1317">
    <cfRule type="containsText" dxfId="912" priority="67" operator="containsText" text="Pas ok">
      <formula>NOT(ISERROR(SEARCH("Pas ok",C1317)))</formula>
    </cfRule>
  </conditionalFormatting>
  <conditionalFormatting sqref="C1317">
    <cfRule type="containsText" dxfId="911" priority="66" operator="containsText" text="Calcul validé">
      <formula>NOT(ISERROR(SEARCH("Calcul validé",C1317)))</formula>
    </cfRule>
  </conditionalFormatting>
  <conditionalFormatting sqref="C1317">
    <cfRule type="containsText" dxfId="910" priority="65" operator="containsText" text="Calcul validé">
      <formula>NOT(ISERROR(SEARCH("Calcul validé",C1317)))</formula>
    </cfRule>
  </conditionalFormatting>
  <conditionalFormatting sqref="C1317">
    <cfRule type="containsText" dxfId="909" priority="64" operator="containsText" text="Bon ordre de grandeur">
      <formula>NOT(ISERROR(SEARCH("Bon ordre de grandeur",C1317)))</formula>
    </cfRule>
  </conditionalFormatting>
  <conditionalFormatting sqref="C1317">
    <cfRule type="containsText" dxfId="908" priority="63" operator="containsText" text="Calcul brouillon, ordre de grandeur">
      <formula>NOT(ISERROR(SEARCH("Calcul brouillon, ordre de grandeur",C1317)))</formula>
    </cfRule>
  </conditionalFormatting>
  <conditionalFormatting sqref="C1317">
    <cfRule type="containsText" dxfId="907" priority="62" operator="containsText" text="Pas ok">
      <formula>NOT(ISERROR(SEARCH("Pas ok",C1317)))</formula>
    </cfRule>
  </conditionalFormatting>
  <conditionalFormatting sqref="C1317:D1317">
    <cfRule type="containsText" dxfId="906" priority="61" operator="containsText" text="Calcul brouillon, odg">
      <formula>NOT(ISERROR(SEARCH("Calcul brouillon, odg",C1317)))</formula>
    </cfRule>
  </conditionalFormatting>
  <conditionalFormatting sqref="C1295">
    <cfRule type="containsText" dxfId="905" priority="60" operator="containsText" text="Calcul validé">
      <formula>NOT(ISERROR(SEARCH("Calcul validé",C1295)))</formula>
    </cfRule>
  </conditionalFormatting>
  <conditionalFormatting sqref="C1295">
    <cfRule type="containsText" dxfId="904" priority="59" operator="containsText" text="Bon ordre de grandeur">
      <formula>NOT(ISERROR(SEARCH("Bon ordre de grandeur",C1295)))</formula>
    </cfRule>
  </conditionalFormatting>
  <conditionalFormatting sqref="C1295">
    <cfRule type="containsText" dxfId="903" priority="58" operator="containsText" text="Calcul brouillon, ordre de grandeur">
      <formula>NOT(ISERROR(SEARCH("Calcul brouillon, ordre de grandeur",C1295)))</formula>
    </cfRule>
  </conditionalFormatting>
  <conditionalFormatting sqref="C1295">
    <cfRule type="containsText" dxfId="902" priority="57" operator="containsText" text="Pas ok">
      <formula>NOT(ISERROR(SEARCH("Pas ok",C1295)))</formula>
    </cfRule>
  </conditionalFormatting>
  <conditionalFormatting sqref="C1295">
    <cfRule type="containsText" dxfId="901" priority="56" operator="containsText" text="Calcul validé">
      <formula>NOT(ISERROR(SEARCH("Calcul validé",C1295)))</formula>
    </cfRule>
  </conditionalFormatting>
  <conditionalFormatting sqref="C1295">
    <cfRule type="containsText" dxfId="900" priority="55" operator="containsText" text="Calcul validé">
      <formula>NOT(ISERROR(SEARCH("Calcul validé",C1295)))</formula>
    </cfRule>
  </conditionalFormatting>
  <conditionalFormatting sqref="C1295">
    <cfRule type="containsText" dxfId="899" priority="54" operator="containsText" text="Bon ordre de grandeur">
      <formula>NOT(ISERROR(SEARCH("Bon ordre de grandeur",C1295)))</formula>
    </cfRule>
  </conditionalFormatting>
  <conditionalFormatting sqref="C1295">
    <cfRule type="containsText" dxfId="898" priority="53" operator="containsText" text="Calcul brouillon, ordre de grandeur">
      <formula>NOT(ISERROR(SEARCH("Calcul brouillon, ordre de grandeur",C1295)))</formula>
    </cfRule>
  </conditionalFormatting>
  <conditionalFormatting sqref="C1295">
    <cfRule type="containsText" dxfId="897" priority="52" operator="containsText" text="Pas ok">
      <formula>NOT(ISERROR(SEARCH("Pas ok",C1295)))</formula>
    </cfRule>
  </conditionalFormatting>
  <conditionalFormatting sqref="C1295:D1295">
    <cfRule type="containsText" dxfId="896" priority="51" operator="containsText" text="Calcul brouillon, odg">
      <formula>NOT(ISERROR(SEARCH("Calcul brouillon, odg",C1295)))</formula>
    </cfRule>
  </conditionalFormatting>
  <conditionalFormatting sqref="C8">
    <cfRule type="containsText" dxfId="895" priority="50" operator="containsText" text="Calcul validé">
      <formula>NOT(ISERROR(SEARCH("Calcul validé",C8)))</formula>
    </cfRule>
  </conditionalFormatting>
  <conditionalFormatting sqref="C8">
    <cfRule type="containsText" dxfId="894" priority="49" operator="containsText" text="Bon ordre de grandeur">
      <formula>NOT(ISERROR(SEARCH("Bon ordre de grandeur",C8)))</formula>
    </cfRule>
  </conditionalFormatting>
  <conditionalFormatting sqref="C8">
    <cfRule type="containsText" dxfId="893" priority="48" operator="containsText" text="Calcul brouillon, ordre de grandeur">
      <formula>NOT(ISERROR(SEARCH("Calcul brouillon, ordre de grandeur",C8)))</formula>
    </cfRule>
  </conditionalFormatting>
  <conditionalFormatting sqref="C8">
    <cfRule type="containsText" dxfId="892" priority="47" operator="containsText" text="Pas ok">
      <formula>NOT(ISERROR(SEARCH("Pas ok",C8)))</formula>
    </cfRule>
  </conditionalFormatting>
  <conditionalFormatting sqref="C8">
    <cfRule type="containsText" dxfId="891" priority="46" operator="containsText" text="Calcul validé">
      <formula>NOT(ISERROR(SEARCH("Calcul validé",C8)))</formula>
    </cfRule>
  </conditionalFormatting>
  <conditionalFormatting sqref="C8">
    <cfRule type="containsText" dxfId="890" priority="45" operator="containsText" text="Calcul validé">
      <formula>NOT(ISERROR(SEARCH("Calcul validé",C8)))</formula>
    </cfRule>
  </conditionalFormatting>
  <conditionalFormatting sqref="C8">
    <cfRule type="containsText" dxfId="889" priority="44" operator="containsText" text="Bon ordre de grandeur">
      <formula>NOT(ISERROR(SEARCH("Bon ordre de grandeur",C8)))</formula>
    </cfRule>
  </conditionalFormatting>
  <conditionalFormatting sqref="C8">
    <cfRule type="containsText" dxfId="888" priority="43" operator="containsText" text="Calcul brouillon, ordre de grandeur">
      <formula>NOT(ISERROR(SEARCH("Calcul brouillon, ordre de grandeur",C8)))</formula>
    </cfRule>
  </conditionalFormatting>
  <conditionalFormatting sqref="C8">
    <cfRule type="containsText" dxfId="887" priority="42" operator="containsText" text="Pas ok">
      <formula>NOT(ISERROR(SEARCH("Pas ok",C8)))</formula>
    </cfRule>
  </conditionalFormatting>
  <conditionalFormatting sqref="C8">
    <cfRule type="containsText" dxfId="886" priority="41" operator="containsText" text="Calcul brouillon, odg">
      <formula>NOT(ISERROR(SEARCH("Calcul brouillon, odg",C8)))</formula>
    </cfRule>
  </conditionalFormatting>
  <conditionalFormatting sqref="C984">
    <cfRule type="containsText" dxfId="885" priority="40" operator="containsText" text="Calcul validé">
      <formula>NOT(ISERROR(SEARCH("Calcul validé",C984)))</formula>
    </cfRule>
  </conditionalFormatting>
  <conditionalFormatting sqref="C984">
    <cfRule type="containsText" dxfId="884" priority="39" operator="containsText" text="Bon ordre de grandeur">
      <formula>NOT(ISERROR(SEARCH("Bon ordre de grandeur",C984)))</formula>
    </cfRule>
  </conditionalFormatting>
  <conditionalFormatting sqref="C984">
    <cfRule type="containsText" dxfId="883" priority="38" operator="containsText" text="Calcul brouillon, ordre de grandeur">
      <formula>NOT(ISERROR(SEARCH("Calcul brouillon, ordre de grandeur",C984)))</formula>
    </cfRule>
  </conditionalFormatting>
  <conditionalFormatting sqref="C984">
    <cfRule type="containsText" dxfId="882" priority="37" operator="containsText" text="Pas ok">
      <formula>NOT(ISERROR(SEARCH("Pas ok",C984)))</formula>
    </cfRule>
  </conditionalFormatting>
  <conditionalFormatting sqref="C984">
    <cfRule type="containsText" dxfId="881" priority="36" operator="containsText" text="Calcul validé">
      <formula>NOT(ISERROR(SEARCH("Calcul validé",C984)))</formula>
    </cfRule>
  </conditionalFormatting>
  <conditionalFormatting sqref="C984">
    <cfRule type="containsText" dxfId="880" priority="35" operator="containsText" text="Calcul validé">
      <formula>NOT(ISERROR(SEARCH("Calcul validé",C984)))</formula>
    </cfRule>
  </conditionalFormatting>
  <conditionalFormatting sqref="C984">
    <cfRule type="containsText" dxfId="879" priority="34" operator="containsText" text="Bon ordre de grandeur">
      <formula>NOT(ISERROR(SEARCH("Bon ordre de grandeur",C984)))</formula>
    </cfRule>
  </conditionalFormatting>
  <conditionalFormatting sqref="C984">
    <cfRule type="containsText" dxfId="878" priority="33" operator="containsText" text="Calcul brouillon, ordre de grandeur">
      <formula>NOT(ISERROR(SEARCH("Calcul brouillon, ordre de grandeur",C984)))</formula>
    </cfRule>
  </conditionalFormatting>
  <conditionalFormatting sqref="C984">
    <cfRule type="containsText" dxfId="877" priority="32" operator="containsText" text="Pas ok">
      <formula>NOT(ISERROR(SEARCH("Pas ok",C984)))</formula>
    </cfRule>
  </conditionalFormatting>
  <conditionalFormatting sqref="C984:D984">
    <cfRule type="containsText" dxfId="876" priority="31" operator="containsText" text="Calcul brouillon, odg">
      <formula>NOT(ISERROR(SEARCH("Calcul brouillon, odg",C984)))</formula>
    </cfRule>
  </conditionalFormatting>
  <conditionalFormatting sqref="C552">
    <cfRule type="containsText" dxfId="875" priority="30" operator="containsText" text="Calcul validé">
      <formula>NOT(ISERROR(SEARCH("Calcul validé",C552)))</formula>
    </cfRule>
  </conditionalFormatting>
  <conditionalFormatting sqref="C552">
    <cfRule type="containsText" dxfId="874" priority="29" operator="containsText" text="Bon ordre de grandeur">
      <formula>NOT(ISERROR(SEARCH("Bon ordre de grandeur",C552)))</formula>
    </cfRule>
  </conditionalFormatting>
  <conditionalFormatting sqref="C552">
    <cfRule type="containsText" dxfId="873" priority="28" operator="containsText" text="Calcul brouillon, ordre de grandeur">
      <formula>NOT(ISERROR(SEARCH("Calcul brouillon, ordre de grandeur",C552)))</formula>
    </cfRule>
  </conditionalFormatting>
  <conditionalFormatting sqref="C552">
    <cfRule type="containsText" dxfId="872" priority="27" operator="containsText" text="Pas ok">
      <formula>NOT(ISERROR(SEARCH("Pas ok",C552)))</formula>
    </cfRule>
  </conditionalFormatting>
  <conditionalFormatting sqref="C552">
    <cfRule type="containsText" dxfId="871" priority="26" operator="containsText" text="Calcul validé">
      <formula>NOT(ISERROR(SEARCH("Calcul validé",C552)))</formula>
    </cfRule>
  </conditionalFormatting>
  <conditionalFormatting sqref="C552">
    <cfRule type="containsText" dxfId="870" priority="25" operator="containsText" text="Calcul validé">
      <formula>NOT(ISERROR(SEARCH("Calcul validé",C552)))</formula>
    </cfRule>
  </conditionalFormatting>
  <conditionalFormatting sqref="C552">
    <cfRule type="containsText" dxfId="869" priority="24" operator="containsText" text="Bon ordre de grandeur">
      <formula>NOT(ISERROR(SEARCH("Bon ordre de grandeur",C552)))</formula>
    </cfRule>
  </conditionalFormatting>
  <conditionalFormatting sqref="C552">
    <cfRule type="containsText" dxfId="868" priority="23" operator="containsText" text="Calcul brouillon, ordre de grandeur">
      <formula>NOT(ISERROR(SEARCH("Calcul brouillon, ordre de grandeur",C552)))</formula>
    </cfRule>
  </conditionalFormatting>
  <conditionalFormatting sqref="C552">
    <cfRule type="containsText" dxfId="867" priority="22" operator="containsText" text="Pas ok">
      <formula>NOT(ISERROR(SEARCH("Pas ok",C552)))</formula>
    </cfRule>
  </conditionalFormatting>
  <conditionalFormatting sqref="C552:D552">
    <cfRule type="containsText" dxfId="866" priority="21" operator="containsText" text="Calcul brouillon, odg">
      <formula>NOT(ISERROR(SEARCH("Calcul brouillon, odg",C552)))</formula>
    </cfRule>
  </conditionalFormatting>
  <conditionalFormatting sqref="C110">
    <cfRule type="containsText" dxfId="865" priority="20" operator="containsText" text="Calcul validé">
      <formula>NOT(ISERROR(SEARCH("Calcul validé",C110)))</formula>
    </cfRule>
  </conditionalFormatting>
  <conditionalFormatting sqref="C110">
    <cfRule type="containsText" dxfId="864" priority="19" operator="containsText" text="Bon ordre de grandeur">
      <formula>NOT(ISERROR(SEARCH("Bon ordre de grandeur",C110)))</formula>
    </cfRule>
  </conditionalFormatting>
  <conditionalFormatting sqref="C110">
    <cfRule type="containsText" dxfId="863" priority="18" operator="containsText" text="Calcul brouillon, ordre de grandeur">
      <formula>NOT(ISERROR(SEARCH("Calcul brouillon, ordre de grandeur",C110)))</formula>
    </cfRule>
  </conditionalFormatting>
  <conditionalFormatting sqref="C110">
    <cfRule type="containsText" dxfId="862" priority="17" operator="containsText" text="Pas ok">
      <formula>NOT(ISERROR(SEARCH("Pas ok",C110)))</formula>
    </cfRule>
  </conditionalFormatting>
  <conditionalFormatting sqref="C110">
    <cfRule type="containsText" dxfId="861" priority="16" operator="containsText" text="Calcul validé">
      <formula>NOT(ISERROR(SEARCH("Calcul validé",C110)))</formula>
    </cfRule>
  </conditionalFormatting>
  <conditionalFormatting sqref="C110">
    <cfRule type="containsText" dxfId="860" priority="15" operator="containsText" text="Calcul validé">
      <formula>NOT(ISERROR(SEARCH("Calcul validé",C110)))</formula>
    </cfRule>
  </conditionalFormatting>
  <conditionalFormatting sqref="C110">
    <cfRule type="containsText" dxfId="859" priority="14" operator="containsText" text="Bon ordre de grandeur">
      <formula>NOT(ISERROR(SEARCH("Bon ordre de grandeur",C110)))</formula>
    </cfRule>
  </conditionalFormatting>
  <conditionalFormatting sqref="C110">
    <cfRule type="containsText" dxfId="858" priority="13" operator="containsText" text="Calcul brouillon, ordre de grandeur">
      <formula>NOT(ISERROR(SEARCH("Calcul brouillon, ordre de grandeur",C110)))</formula>
    </cfRule>
  </conditionalFormatting>
  <conditionalFormatting sqref="C110">
    <cfRule type="containsText" dxfId="857" priority="12" operator="containsText" text="Pas ok">
      <formula>NOT(ISERROR(SEARCH("Pas ok",C110)))</formula>
    </cfRule>
  </conditionalFormatting>
  <conditionalFormatting sqref="C110:D110">
    <cfRule type="containsText" dxfId="856" priority="11" operator="containsText" text="Calcul brouillon, odg">
      <formula>NOT(ISERROR(SEARCH("Calcul brouillon, odg",C110)))</formula>
    </cfRule>
  </conditionalFormatting>
  <conditionalFormatting sqref="C12">
    <cfRule type="containsText" dxfId="855" priority="10" operator="containsText" text="Calcul validé">
      <formula>NOT(ISERROR(SEARCH("Calcul validé",C12)))</formula>
    </cfRule>
  </conditionalFormatting>
  <conditionalFormatting sqref="C12">
    <cfRule type="containsText" dxfId="854" priority="9" operator="containsText" text="Bon ordre de grandeur">
      <formula>NOT(ISERROR(SEARCH("Bon ordre de grandeur",C12)))</formula>
    </cfRule>
  </conditionalFormatting>
  <conditionalFormatting sqref="C12">
    <cfRule type="containsText" dxfId="853" priority="8" operator="containsText" text="Calcul brouillon, ordre de grandeur">
      <formula>NOT(ISERROR(SEARCH("Calcul brouillon, ordre de grandeur",C12)))</formula>
    </cfRule>
  </conditionalFormatting>
  <conditionalFormatting sqref="C12">
    <cfRule type="containsText" dxfId="852" priority="7" operator="containsText" text="Pas ok">
      <formula>NOT(ISERROR(SEARCH("Pas ok",C12)))</formula>
    </cfRule>
  </conditionalFormatting>
  <conditionalFormatting sqref="C12">
    <cfRule type="containsText" dxfId="851" priority="6" operator="containsText" text="Calcul validé">
      <formula>NOT(ISERROR(SEARCH("Calcul validé",C12)))</formula>
    </cfRule>
  </conditionalFormatting>
  <conditionalFormatting sqref="C12">
    <cfRule type="containsText" dxfId="850" priority="5" operator="containsText" text="Calcul validé">
      <formula>NOT(ISERROR(SEARCH("Calcul validé",C12)))</formula>
    </cfRule>
  </conditionalFormatting>
  <conditionalFormatting sqref="C12">
    <cfRule type="containsText" dxfId="849" priority="4" operator="containsText" text="Bon ordre de grandeur">
      <formula>NOT(ISERROR(SEARCH("Bon ordre de grandeur",C12)))</formula>
    </cfRule>
  </conditionalFormatting>
  <conditionalFormatting sqref="C12">
    <cfRule type="containsText" dxfId="848" priority="3" operator="containsText" text="Calcul brouillon, ordre de grandeur">
      <formula>NOT(ISERROR(SEARCH("Calcul brouillon, ordre de grandeur",C12)))</formula>
    </cfRule>
  </conditionalFormatting>
  <conditionalFormatting sqref="C12">
    <cfRule type="containsText" dxfId="847" priority="2" operator="containsText" text="Pas ok">
      <formula>NOT(ISERROR(SEARCH("Pas ok",C12)))</formula>
    </cfRule>
  </conditionalFormatting>
  <conditionalFormatting sqref="C12:D12">
    <cfRule type="containsText" dxfId="846" priority="1" operator="containsText" text="Calcul brouillon, odg">
      <formula>NOT(ISERROR(SEARCH("Calcul brouillon, odg",C12)))</formula>
    </cfRule>
  </conditionalFormatting>
  <hyperlinks>
    <hyperlink ref="J68" r:id="rId1" xr:uid="{00000000-0004-0000-0500-000000000000}"/>
    <hyperlink ref="J69:J72" r:id="rId2" display="https://www.bilans-ges.ademe.fr/fr/accueil/documentation-gene/index/page/Reseau_de_chaleur.  FE moyen (après avoir retir les valeurs nulles et les F)" xr:uid="{00000000-0004-0000-0500-000001000000}"/>
    <hyperlink ref="J98" r:id="rId3" xr:uid="{00000000-0004-0000-0500-000002000000}"/>
    <hyperlink ref="J99:J102" r:id="rId4" display="https://www.bilans-ges.ademe.fr/fr/accueil/documentation-gene/index/page/Reseau_de_chaleur.  FE moyen (après avoir retir les valeurs nulles et les F)" xr:uid="{00000000-0004-0000-0500-000003000000}"/>
  </hyperlinks>
  <pageMargins left="0.7" right="0.7" top="0.75" bottom="0.75" header="0.3" footer="0.3"/>
  <pageSetup paperSize="9" orientation="portrait"/>
  <drawing r:id="rId5"/>
  <legacyDrawing r:id="rId6"/>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'Annexe 1'!$B$5:$B$8</xm:f>
          </x14:formula1>
          <xm:sqref>C1317 C1295 C984 C552 C110 C12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23">
    <tabColor indexed="5"/>
  </sheetPr>
  <dimension ref="B2:AC25"/>
  <sheetViews>
    <sheetView topLeftCell="B1" zoomScale="90" workbookViewId="0">
      <pane ySplit="2" topLeftCell="A3" activePane="bottomLeft" state="frozen"/>
      <selection activeCell="H7" sqref="H7:Q8"/>
      <selection pane="bottomLeft" activeCell="B1" sqref="B1"/>
    </sheetView>
  </sheetViews>
  <sheetFormatPr baseColWidth="10" defaultRowHeight="14.4"/>
  <cols>
    <col min="2" max="2" width="43.109375" customWidth="1"/>
    <col min="3" max="3" width="13.6640625" bestFit="1" customWidth="1"/>
    <col min="4" max="4" width="14" bestFit="1" customWidth="1"/>
    <col min="7" max="7" width="12.44140625" bestFit="1" customWidth="1"/>
    <col min="13" max="13" width="10.77734375" customWidth="1"/>
    <col min="20" max="20" width="14.33203125" customWidth="1"/>
  </cols>
  <sheetData>
    <row r="2" spans="2:29" ht="18">
      <c r="B2" s="57" t="s">
        <v>35</v>
      </c>
    </row>
    <row r="5" spans="2:29">
      <c r="B5" s="1297" t="s">
        <v>90</v>
      </c>
      <c r="C5" s="1298"/>
      <c r="D5" s="1299"/>
      <c r="F5" s="1340" t="s">
        <v>63</v>
      </c>
      <c r="G5" s="1341"/>
      <c r="H5" s="1341"/>
      <c r="I5" s="1341"/>
      <c r="J5" s="1341"/>
      <c r="K5" s="1341"/>
      <c r="L5" s="1341"/>
      <c r="M5" s="1341"/>
      <c r="N5" s="1341"/>
      <c r="O5" s="1341"/>
      <c r="P5" s="1341"/>
      <c r="Q5" s="1342"/>
    </row>
    <row r="6" spans="2:29">
      <c r="B6" s="58" t="s">
        <v>64</v>
      </c>
      <c r="C6" s="59">
        <f>C15</f>
        <v>31.88441606665198</v>
      </c>
      <c r="D6" s="60" t="s">
        <v>65</v>
      </c>
      <c r="F6" s="1303" t="s">
        <v>66</v>
      </c>
      <c r="G6" s="1304"/>
      <c r="H6" s="1343" t="s">
        <v>333</v>
      </c>
      <c r="I6" s="1306"/>
      <c r="J6" s="1306"/>
      <c r="K6" s="1306"/>
      <c r="L6" s="1306"/>
      <c r="M6" s="1306"/>
      <c r="N6" s="1306"/>
      <c r="O6" s="1306"/>
      <c r="P6" s="1306"/>
      <c r="Q6" s="1307"/>
    </row>
    <row r="7" spans="2:29">
      <c r="B7" s="61" t="s">
        <v>68</v>
      </c>
      <c r="C7" s="1344" t="str">
        <f>B15</f>
        <v>v1.12</v>
      </c>
      <c r="D7" s="1345"/>
      <c r="F7" s="1308" t="s">
        <v>69</v>
      </c>
      <c r="G7" s="1309"/>
      <c r="H7" s="1346" t="s">
        <v>334</v>
      </c>
      <c r="I7" s="1313"/>
      <c r="J7" s="1313"/>
      <c r="K7" s="1313"/>
      <c r="L7" s="1313"/>
      <c r="M7" s="1313"/>
      <c r="N7" s="1313"/>
      <c r="O7" s="1313"/>
      <c r="P7" s="1313"/>
      <c r="Q7" s="1314"/>
    </row>
    <row r="8" spans="2:29">
      <c r="B8" s="63" t="s">
        <v>28</v>
      </c>
      <c r="C8" s="1318" t="str">
        <f>D15</f>
        <v>Bon ordre de grandeur</v>
      </c>
      <c r="D8" s="1319"/>
      <c r="F8" s="1310"/>
      <c r="G8" s="1311"/>
      <c r="H8" s="1315"/>
      <c r="I8" s="1316"/>
      <c r="J8" s="1316"/>
      <c r="K8" s="1316"/>
      <c r="L8" s="1316"/>
      <c r="M8" s="1316"/>
      <c r="N8" s="1316"/>
      <c r="O8" s="1316"/>
      <c r="P8" s="1316"/>
      <c r="Q8" s="1317"/>
    </row>
    <row r="13" spans="2:29" ht="15" customHeight="1">
      <c r="D13" s="418"/>
      <c r="E13" s="1338" t="s">
        <v>335</v>
      </c>
      <c r="F13" s="1339"/>
      <c r="G13" s="1339"/>
      <c r="H13" s="1339"/>
      <c r="I13" s="1339"/>
      <c r="J13" s="1339"/>
      <c r="K13" s="1339"/>
      <c r="L13" s="1339"/>
      <c r="M13" s="1339"/>
      <c r="N13" s="1339"/>
      <c r="O13" s="1339"/>
      <c r="P13" s="1339"/>
      <c r="Q13" s="1339"/>
      <c r="R13" s="1339"/>
      <c r="S13" s="1339"/>
      <c r="T13" s="1339"/>
      <c r="U13" s="1339"/>
      <c r="V13" s="1339"/>
      <c r="W13" s="1339"/>
      <c r="X13" s="1339"/>
      <c r="Y13" s="1339"/>
      <c r="Z13" s="1339"/>
      <c r="AA13" s="1339"/>
      <c r="AB13" s="1339"/>
      <c r="AC13" s="419"/>
    </row>
    <row r="14" spans="2:29" ht="57.6">
      <c r="B14" s="420" t="s">
        <v>336</v>
      </c>
      <c r="C14" s="421" t="s">
        <v>337</v>
      </c>
      <c r="D14" s="422" t="s">
        <v>338</v>
      </c>
      <c r="E14" s="423" t="s">
        <v>339</v>
      </c>
      <c r="F14" s="424" t="s">
        <v>337</v>
      </c>
      <c r="G14" s="425" t="s">
        <v>338</v>
      </c>
      <c r="H14" s="423" t="s">
        <v>340</v>
      </c>
      <c r="I14" s="424" t="s">
        <v>337</v>
      </c>
      <c r="J14" s="425" t="s">
        <v>338</v>
      </c>
      <c r="K14" s="423" t="s">
        <v>341</v>
      </c>
      <c r="L14" s="424" t="s">
        <v>337</v>
      </c>
      <c r="M14" s="425" t="s">
        <v>338</v>
      </c>
      <c r="N14" s="423" t="s">
        <v>342</v>
      </c>
      <c r="O14" s="424" t="s">
        <v>337</v>
      </c>
      <c r="P14" s="425" t="s">
        <v>338</v>
      </c>
      <c r="Q14" s="426" t="s">
        <v>343</v>
      </c>
      <c r="R14" s="424" t="s">
        <v>337</v>
      </c>
      <c r="S14" s="425" t="s">
        <v>338</v>
      </c>
      <c r="T14" s="423" t="s">
        <v>344</v>
      </c>
      <c r="U14" s="424" t="s">
        <v>337</v>
      </c>
      <c r="V14" s="425" t="s">
        <v>338</v>
      </c>
      <c r="W14" s="423" t="s">
        <v>345</v>
      </c>
      <c r="X14" s="424" t="s">
        <v>337</v>
      </c>
      <c r="Y14" s="425" t="s">
        <v>338</v>
      </c>
    </row>
    <row r="15" spans="2:29">
      <c r="B15" s="110" t="s">
        <v>346</v>
      </c>
      <c r="C15" s="110">
        <f>SUM(I15,L15,F15,O15,U15,X15)</f>
        <v>31.88441606665198</v>
      </c>
      <c r="D15" s="427" t="s">
        <v>98</v>
      </c>
      <c r="E15" s="428" t="s">
        <v>347</v>
      </c>
      <c r="F15" s="110">
        <f>'9.médicaments'!C12</f>
        <v>14.45</v>
      </c>
      <c r="G15" s="429"/>
      <c r="H15" s="428" t="s">
        <v>259</v>
      </c>
      <c r="I15" s="110">
        <f>'9.alimentaire'!C18</f>
        <v>5.2712956590590814</v>
      </c>
      <c r="J15" s="429"/>
      <c r="K15" s="428" t="s">
        <v>348</v>
      </c>
      <c r="L15" s="110">
        <f>'9.dispositifs_médicaux'!C12</f>
        <v>10.192901167333602</v>
      </c>
      <c r="M15" s="429"/>
      <c r="N15" s="428" t="s">
        <v>349</v>
      </c>
      <c r="O15" s="110">
        <f>'9. Linge '!C6</f>
        <v>0.82965005162094951</v>
      </c>
      <c r="P15" s="429"/>
      <c r="Q15" s="428" t="s">
        <v>350</v>
      </c>
      <c r="R15" s="110"/>
      <c r="S15" s="429"/>
      <c r="T15" s="428" t="s">
        <v>347</v>
      </c>
      <c r="U15" s="110">
        <f>'9.fournitures_administratives'!C6</f>
        <v>4.7702488638349944E-2</v>
      </c>
      <c r="V15" s="429"/>
      <c r="W15" s="428" t="s">
        <v>351</v>
      </c>
      <c r="X15" s="110">
        <f>'9.services'!C6</f>
        <v>1.0928667000000001</v>
      </c>
      <c r="Y15" s="429"/>
    </row>
    <row r="21" spans="7:7">
      <c r="G21" s="430"/>
    </row>
    <row r="22" spans="7:7">
      <c r="G22" s="430"/>
    </row>
    <row r="23" spans="7:7">
      <c r="G23" s="430"/>
    </row>
    <row r="24" spans="7:7">
      <c r="G24" s="430"/>
    </row>
    <row r="25" spans="7:7">
      <c r="G25" s="430"/>
    </row>
  </sheetData>
  <mergeCells count="9">
    <mergeCell ref="E13:AB13"/>
    <mergeCell ref="B5:D5"/>
    <mergeCell ref="F5:Q5"/>
    <mergeCell ref="F6:G6"/>
    <mergeCell ref="H6:Q6"/>
    <mergeCell ref="C7:D7"/>
    <mergeCell ref="F7:G8"/>
    <mergeCell ref="H7:Q8"/>
    <mergeCell ref="C8:D8"/>
  </mergeCells>
  <conditionalFormatting sqref="C8">
    <cfRule type="containsText" dxfId="845" priority="1350" operator="containsText" text="Calcul validé">
      <formula>NOT(ISERROR(SEARCH("Calcul validé",C8)))</formula>
    </cfRule>
  </conditionalFormatting>
  <conditionalFormatting sqref="C8">
    <cfRule type="containsText" dxfId="844" priority="1349" operator="containsText" text="Bon ordre de grandeur">
      <formula>NOT(ISERROR(SEARCH("Bon ordre de grandeur",C8)))</formula>
    </cfRule>
  </conditionalFormatting>
  <conditionalFormatting sqref="C8">
    <cfRule type="containsText" dxfId="843" priority="1348" operator="containsText" text="Calcul brouillon, ordre de grandeur">
      <formula>NOT(ISERROR(SEARCH("Calcul brouillon, ordre de grandeur",C8)))</formula>
    </cfRule>
  </conditionalFormatting>
  <conditionalFormatting sqref="C8">
    <cfRule type="containsText" dxfId="842" priority="1347" operator="containsText" text="Pas ok">
      <formula>NOT(ISERROR(SEARCH("Pas ok",C8)))</formula>
    </cfRule>
  </conditionalFormatting>
  <conditionalFormatting sqref="C8">
    <cfRule type="containsText" dxfId="841" priority="1346" operator="containsText" text="Calcul validé">
      <formula>NOT(ISERROR(SEARCH("Calcul validé",C8)))</formula>
    </cfRule>
  </conditionalFormatting>
  <conditionalFormatting sqref="C8">
    <cfRule type="containsText" dxfId="840" priority="1345" operator="containsText" text="Calcul validé">
      <formula>NOT(ISERROR(SEARCH("Calcul validé",C8)))</formula>
    </cfRule>
  </conditionalFormatting>
  <conditionalFormatting sqref="C8">
    <cfRule type="containsText" dxfId="839" priority="1344" operator="containsText" text="Bon ordre de grandeur">
      <formula>NOT(ISERROR(SEARCH("Bon ordre de grandeur",C8)))</formula>
    </cfRule>
  </conditionalFormatting>
  <conditionalFormatting sqref="C8">
    <cfRule type="containsText" dxfId="838" priority="1343" operator="containsText" text="Calcul brouillon, ordre de grandeur">
      <formula>NOT(ISERROR(SEARCH("Calcul brouillon, ordre de grandeur",C8)))</formula>
    </cfRule>
  </conditionalFormatting>
  <conditionalFormatting sqref="C8">
    <cfRule type="containsText" dxfId="837" priority="1342" operator="containsText" text="Pas ok">
      <formula>NOT(ISERROR(SEARCH("Pas ok",C8)))</formula>
    </cfRule>
  </conditionalFormatting>
  <conditionalFormatting sqref="C8">
    <cfRule type="containsText" dxfId="836" priority="1341" operator="containsText" text="Calcul brouillon, odg">
      <formula>NOT(ISERROR(SEARCH("Calcul brouillon, odg",C8)))</formula>
    </cfRule>
  </conditionalFormatting>
  <conditionalFormatting sqref="G15">
    <cfRule type="containsText" dxfId="835" priority="400" operator="containsText" text="Calcul validé">
      <formula>NOT(ISERROR(SEARCH("Calcul validé",G15)))</formula>
    </cfRule>
  </conditionalFormatting>
  <conditionalFormatting sqref="G15">
    <cfRule type="containsText" dxfId="834" priority="399" operator="containsText" text="Bon ordre de grandeur">
      <formula>NOT(ISERROR(SEARCH("Bon ordre de grandeur",G15)))</formula>
    </cfRule>
  </conditionalFormatting>
  <conditionalFormatting sqref="G15">
    <cfRule type="containsText" dxfId="833" priority="398" operator="containsText" text="Calcul brouillon, ordre de grandeur">
      <formula>NOT(ISERROR(SEARCH("Calcul brouillon, ordre de grandeur",G15)))</formula>
    </cfRule>
  </conditionalFormatting>
  <conditionalFormatting sqref="G15">
    <cfRule type="containsText" dxfId="832" priority="397" operator="containsText" text="Pas ok">
      <formula>NOT(ISERROR(SEARCH("Pas ok",G15)))</formula>
    </cfRule>
  </conditionalFormatting>
  <conditionalFormatting sqref="G15">
    <cfRule type="containsText" dxfId="831" priority="396" operator="containsText" text="Calcul validé">
      <formula>NOT(ISERROR(SEARCH("Calcul validé",G15)))</formula>
    </cfRule>
  </conditionalFormatting>
  <conditionalFormatting sqref="G15">
    <cfRule type="containsText" dxfId="830" priority="395" operator="containsText" text="Calcul validé">
      <formula>NOT(ISERROR(SEARCH("Calcul validé",G15)))</formula>
    </cfRule>
  </conditionalFormatting>
  <conditionalFormatting sqref="G15">
    <cfRule type="containsText" dxfId="829" priority="394" operator="containsText" text="Bon ordre de grandeur">
      <formula>NOT(ISERROR(SEARCH("Bon ordre de grandeur",G15)))</formula>
    </cfRule>
  </conditionalFormatting>
  <conditionalFormatting sqref="G15">
    <cfRule type="containsText" dxfId="828" priority="393" operator="containsText" text="Calcul brouillon, ordre de grandeur">
      <formula>NOT(ISERROR(SEARCH("Calcul brouillon, ordre de grandeur",G15)))</formula>
    </cfRule>
  </conditionalFormatting>
  <conditionalFormatting sqref="G15">
    <cfRule type="containsText" dxfId="827" priority="392" operator="containsText" text="Pas ok">
      <formula>NOT(ISERROR(SEARCH("Pas ok",G15)))</formula>
    </cfRule>
  </conditionalFormatting>
  <conditionalFormatting sqref="G15">
    <cfRule type="containsText" dxfId="826" priority="391" operator="containsText" text="Calcul brouillon, odg">
      <formula>NOT(ISERROR(SEARCH("Calcul brouillon, odg",G15)))</formula>
    </cfRule>
  </conditionalFormatting>
  <conditionalFormatting sqref="D15">
    <cfRule type="containsText" dxfId="825" priority="390" operator="containsText" text="Calcul validé">
      <formula>NOT(ISERROR(SEARCH("Calcul validé",D15)))</formula>
    </cfRule>
  </conditionalFormatting>
  <conditionalFormatting sqref="D15">
    <cfRule type="containsText" dxfId="824" priority="389" operator="containsText" text="Bon ordre de grandeur">
      <formula>NOT(ISERROR(SEARCH("Bon ordre de grandeur",D15)))</formula>
    </cfRule>
  </conditionalFormatting>
  <conditionalFormatting sqref="D15">
    <cfRule type="containsText" dxfId="823" priority="388" operator="containsText" text="Calcul brouillon, ordre de grandeur">
      <formula>NOT(ISERROR(SEARCH("Calcul brouillon, ordre de grandeur",D15)))</formula>
    </cfRule>
  </conditionalFormatting>
  <conditionalFormatting sqref="D15">
    <cfRule type="containsText" dxfId="822" priority="387" operator="containsText" text="Pas ok">
      <formula>NOT(ISERROR(SEARCH("Pas ok",D15)))</formula>
    </cfRule>
  </conditionalFormatting>
  <conditionalFormatting sqref="D15">
    <cfRule type="containsText" dxfId="821" priority="386" operator="containsText" text="Calcul validé">
      <formula>NOT(ISERROR(SEARCH("Calcul validé",D15)))</formula>
    </cfRule>
  </conditionalFormatting>
  <conditionalFormatting sqref="D15">
    <cfRule type="containsText" dxfId="820" priority="385" operator="containsText" text="Calcul validé">
      <formula>NOT(ISERROR(SEARCH("Calcul validé",D15)))</formula>
    </cfRule>
  </conditionalFormatting>
  <conditionalFormatting sqref="D15">
    <cfRule type="containsText" dxfId="819" priority="384" operator="containsText" text="Bon ordre de grandeur">
      <formula>NOT(ISERROR(SEARCH("Bon ordre de grandeur",D15)))</formula>
    </cfRule>
  </conditionalFormatting>
  <conditionalFormatting sqref="D15">
    <cfRule type="containsText" dxfId="818" priority="383" operator="containsText" text="Calcul brouillon, ordre de grandeur">
      <formula>NOT(ISERROR(SEARCH("Calcul brouillon, ordre de grandeur",D15)))</formula>
    </cfRule>
  </conditionalFormatting>
  <conditionalFormatting sqref="D15">
    <cfRule type="containsText" dxfId="817" priority="382" operator="containsText" text="Pas ok">
      <formula>NOT(ISERROR(SEARCH("Pas ok",D15)))</formula>
    </cfRule>
  </conditionalFormatting>
  <conditionalFormatting sqref="D15">
    <cfRule type="containsText" dxfId="816" priority="381" operator="containsText" text="Calcul brouillon, odg">
      <formula>NOT(ISERROR(SEARCH("Calcul brouillon, odg",D15)))</formula>
    </cfRule>
  </conditionalFormatting>
  <conditionalFormatting sqref="M15">
    <cfRule type="containsText" dxfId="815" priority="380" operator="containsText" text="Calcul validé">
      <formula>NOT(ISERROR(SEARCH("Calcul validé",M15)))</formula>
    </cfRule>
  </conditionalFormatting>
  <conditionalFormatting sqref="M15">
    <cfRule type="containsText" dxfId="814" priority="379" operator="containsText" text="Bon ordre de grandeur">
      <formula>NOT(ISERROR(SEARCH("Bon ordre de grandeur",M15)))</formula>
    </cfRule>
  </conditionalFormatting>
  <conditionalFormatting sqref="M15">
    <cfRule type="containsText" dxfId="813" priority="378" operator="containsText" text="Calcul brouillon, ordre de grandeur">
      <formula>NOT(ISERROR(SEARCH("Calcul brouillon, ordre de grandeur",M15)))</formula>
    </cfRule>
  </conditionalFormatting>
  <conditionalFormatting sqref="M15">
    <cfRule type="containsText" dxfId="812" priority="377" operator="containsText" text="Pas ok">
      <formula>NOT(ISERROR(SEARCH("Pas ok",M15)))</formula>
    </cfRule>
  </conditionalFormatting>
  <conditionalFormatting sqref="M15">
    <cfRule type="containsText" dxfId="811" priority="376" operator="containsText" text="Calcul validé">
      <formula>NOT(ISERROR(SEARCH("Calcul validé",M15)))</formula>
    </cfRule>
  </conditionalFormatting>
  <conditionalFormatting sqref="M15">
    <cfRule type="containsText" dxfId="810" priority="375" operator="containsText" text="Calcul validé">
      <formula>NOT(ISERROR(SEARCH("Calcul validé",M15)))</formula>
    </cfRule>
  </conditionalFormatting>
  <conditionalFormatting sqref="M15">
    <cfRule type="containsText" dxfId="809" priority="374" operator="containsText" text="Bon ordre de grandeur">
      <formula>NOT(ISERROR(SEARCH("Bon ordre de grandeur",M15)))</formula>
    </cfRule>
  </conditionalFormatting>
  <conditionalFormatting sqref="M15">
    <cfRule type="containsText" dxfId="808" priority="373" operator="containsText" text="Calcul brouillon, ordre de grandeur">
      <formula>NOT(ISERROR(SEARCH("Calcul brouillon, ordre de grandeur",M15)))</formula>
    </cfRule>
  </conditionalFormatting>
  <conditionalFormatting sqref="M15">
    <cfRule type="containsText" dxfId="807" priority="372" operator="containsText" text="Pas ok">
      <formula>NOT(ISERROR(SEARCH("Pas ok",M15)))</formula>
    </cfRule>
  </conditionalFormatting>
  <conditionalFormatting sqref="M15">
    <cfRule type="containsText" dxfId="806" priority="371" operator="containsText" text="Calcul brouillon, odg">
      <formula>NOT(ISERROR(SEARCH("Calcul brouillon, odg",M15)))</formula>
    </cfRule>
  </conditionalFormatting>
  <conditionalFormatting sqref="P15">
    <cfRule type="containsText" dxfId="805" priority="360" operator="containsText" text="Calcul validé">
      <formula>NOT(ISERROR(SEARCH("Calcul validé",P15)))</formula>
    </cfRule>
  </conditionalFormatting>
  <conditionalFormatting sqref="P15">
    <cfRule type="containsText" dxfId="804" priority="359" operator="containsText" text="Bon ordre de grandeur">
      <formula>NOT(ISERROR(SEARCH("Bon ordre de grandeur",P15)))</formula>
    </cfRule>
  </conditionalFormatting>
  <conditionalFormatting sqref="P15">
    <cfRule type="containsText" dxfId="803" priority="358" operator="containsText" text="Calcul brouillon, ordre de grandeur">
      <formula>NOT(ISERROR(SEARCH("Calcul brouillon, ordre de grandeur",P15)))</formula>
    </cfRule>
  </conditionalFormatting>
  <conditionalFormatting sqref="P15">
    <cfRule type="containsText" dxfId="802" priority="357" operator="containsText" text="Pas ok">
      <formula>NOT(ISERROR(SEARCH("Pas ok",P15)))</formula>
    </cfRule>
  </conditionalFormatting>
  <conditionalFormatting sqref="P15">
    <cfRule type="containsText" dxfId="801" priority="356" operator="containsText" text="Calcul validé">
      <formula>NOT(ISERROR(SEARCH("Calcul validé",P15)))</formula>
    </cfRule>
  </conditionalFormatting>
  <conditionalFormatting sqref="P15">
    <cfRule type="containsText" dxfId="800" priority="355" operator="containsText" text="Calcul validé">
      <formula>NOT(ISERROR(SEARCH("Calcul validé",P15)))</formula>
    </cfRule>
  </conditionalFormatting>
  <conditionalFormatting sqref="P15">
    <cfRule type="containsText" dxfId="799" priority="354" operator="containsText" text="Bon ordre de grandeur">
      <formula>NOT(ISERROR(SEARCH("Bon ordre de grandeur",P15)))</formula>
    </cfRule>
  </conditionalFormatting>
  <conditionalFormatting sqref="P15">
    <cfRule type="containsText" dxfId="798" priority="353" operator="containsText" text="Calcul brouillon, ordre de grandeur">
      <formula>NOT(ISERROR(SEARCH("Calcul brouillon, ordre de grandeur",P15)))</formula>
    </cfRule>
  </conditionalFormatting>
  <conditionalFormatting sqref="P15">
    <cfRule type="containsText" dxfId="797" priority="352" operator="containsText" text="Pas ok">
      <formula>NOT(ISERROR(SEARCH("Pas ok",P15)))</formula>
    </cfRule>
  </conditionalFormatting>
  <conditionalFormatting sqref="P15">
    <cfRule type="containsText" dxfId="796" priority="351" operator="containsText" text="Calcul brouillon, odg">
      <formula>NOT(ISERROR(SEARCH("Calcul brouillon, odg",P15)))</formula>
    </cfRule>
  </conditionalFormatting>
  <conditionalFormatting sqref="S15">
    <cfRule type="containsText" dxfId="795" priority="350" operator="containsText" text="Calcul validé">
      <formula>NOT(ISERROR(SEARCH("Calcul validé",S15)))</formula>
    </cfRule>
  </conditionalFormatting>
  <conditionalFormatting sqref="S15">
    <cfRule type="containsText" dxfId="794" priority="349" operator="containsText" text="Bon ordre de grandeur">
      <formula>NOT(ISERROR(SEARCH("Bon ordre de grandeur",S15)))</formula>
    </cfRule>
  </conditionalFormatting>
  <conditionalFormatting sqref="S15">
    <cfRule type="containsText" dxfId="793" priority="348" operator="containsText" text="Calcul brouillon, ordre de grandeur">
      <formula>NOT(ISERROR(SEARCH("Calcul brouillon, ordre de grandeur",S15)))</formula>
    </cfRule>
  </conditionalFormatting>
  <conditionalFormatting sqref="S15">
    <cfRule type="containsText" dxfId="792" priority="347" operator="containsText" text="Pas ok">
      <formula>NOT(ISERROR(SEARCH("Pas ok",S15)))</formula>
    </cfRule>
  </conditionalFormatting>
  <conditionalFormatting sqref="S15">
    <cfRule type="containsText" dxfId="791" priority="346" operator="containsText" text="Calcul validé">
      <formula>NOT(ISERROR(SEARCH("Calcul validé",S15)))</formula>
    </cfRule>
  </conditionalFormatting>
  <conditionalFormatting sqref="S15">
    <cfRule type="containsText" dxfId="790" priority="345" operator="containsText" text="Calcul validé">
      <formula>NOT(ISERROR(SEARCH("Calcul validé",S15)))</formula>
    </cfRule>
  </conditionalFormatting>
  <conditionalFormatting sqref="S15">
    <cfRule type="containsText" dxfId="789" priority="344" operator="containsText" text="Bon ordre de grandeur">
      <formula>NOT(ISERROR(SEARCH("Bon ordre de grandeur",S15)))</formula>
    </cfRule>
  </conditionalFormatting>
  <conditionalFormatting sqref="S15">
    <cfRule type="containsText" dxfId="788" priority="343" operator="containsText" text="Calcul brouillon, ordre de grandeur">
      <formula>NOT(ISERROR(SEARCH("Calcul brouillon, ordre de grandeur",S15)))</formula>
    </cfRule>
  </conditionalFormatting>
  <conditionalFormatting sqref="S15">
    <cfRule type="containsText" dxfId="787" priority="342" operator="containsText" text="Pas ok">
      <formula>NOT(ISERROR(SEARCH("Pas ok",S15)))</formula>
    </cfRule>
  </conditionalFormatting>
  <conditionalFormatting sqref="S15">
    <cfRule type="containsText" dxfId="786" priority="341" operator="containsText" text="Calcul brouillon, odg">
      <formula>NOT(ISERROR(SEARCH("Calcul brouillon, odg",S15)))</formula>
    </cfRule>
  </conditionalFormatting>
  <conditionalFormatting sqref="J15">
    <cfRule type="containsText" dxfId="785" priority="340" operator="containsText" text="Calcul validé">
      <formula>NOT(ISERROR(SEARCH("Calcul validé",J15)))</formula>
    </cfRule>
  </conditionalFormatting>
  <conditionalFormatting sqref="J15">
    <cfRule type="containsText" dxfId="784" priority="339" operator="containsText" text="Bon ordre de grandeur">
      <formula>NOT(ISERROR(SEARCH("Bon ordre de grandeur",J15)))</formula>
    </cfRule>
  </conditionalFormatting>
  <conditionalFormatting sqref="J15">
    <cfRule type="containsText" dxfId="783" priority="338" operator="containsText" text="Calcul brouillon, ordre de grandeur">
      <formula>NOT(ISERROR(SEARCH("Calcul brouillon, ordre de grandeur",J15)))</formula>
    </cfRule>
  </conditionalFormatting>
  <conditionalFormatting sqref="J15">
    <cfRule type="containsText" dxfId="782" priority="337" operator="containsText" text="Pas ok">
      <formula>NOT(ISERROR(SEARCH("Pas ok",J15)))</formula>
    </cfRule>
  </conditionalFormatting>
  <conditionalFormatting sqref="J15">
    <cfRule type="containsText" dxfId="781" priority="336" operator="containsText" text="Calcul validé">
      <formula>NOT(ISERROR(SEARCH("Calcul validé",J15)))</formula>
    </cfRule>
  </conditionalFormatting>
  <conditionalFormatting sqref="J15">
    <cfRule type="containsText" dxfId="780" priority="335" operator="containsText" text="Calcul validé">
      <formula>NOT(ISERROR(SEARCH("Calcul validé",J15)))</formula>
    </cfRule>
  </conditionalFormatting>
  <conditionalFormatting sqref="J15">
    <cfRule type="containsText" dxfId="779" priority="334" operator="containsText" text="Bon ordre de grandeur">
      <formula>NOT(ISERROR(SEARCH("Bon ordre de grandeur",J15)))</formula>
    </cfRule>
  </conditionalFormatting>
  <conditionalFormatting sqref="J15">
    <cfRule type="containsText" dxfId="778" priority="333" operator="containsText" text="Calcul brouillon, ordre de grandeur">
      <formula>NOT(ISERROR(SEARCH("Calcul brouillon, ordre de grandeur",J15)))</formula>
    </cfRule>
  </conditionalFormatting>
  <conditionalFormatting sqref="J15">
    <cfRule type="containsText" dxfId="777" priority="332" operator="containsText" text="Pas ok">
      <formula>NOT(ISERROR(SEARCH("Pas ok",J15)))</formula>
    </cfRule>
  </conditionalFormatting>
  <conditionalFormatting sqref="J15">
    <cfRule type="containsText" dxfId="776" priority="331" operator="containsText" text="Calcul brouillon, odg">
      <formula>NOT(ISERROR(SEARCH("Calcul brouillon, odg",J15)))</formula>
    </cfRule>
  </conditionalFormatting>
  <conditionalFormatting sqref="V15">
    <cfRule type="containsText" dxfId="775" priority="320" operator="containsText" text="Calcul validé">
      <formula>NOT(ISERROR(SEARCH("Calcul validé",V15)))</formula>
    </cfRule>
  </conditionalFormatting>
  <conditionalFormatting sqref="V15">
    <cfRule type="containsText" dxfId="774" priority="319" operator="containsText" text="Bon ordre de grandeur">
      <formula>NOT(ISERROR(SEARCH("Bon ordre de grandeur",V15)))</formula>
    </cfRule>
  </conditionalFormatting>
  <conditionalFormatting sqref="V15">
    <cfRule type="containsText" dxfId="773" priority="318" operator="containsText" text="Calcul brouillon, ordre de grandeur">
      <formula>NOT(ISERROR(SEARCH("Calcul brouillon, ordre de grandeur",V15)))</formula>
    </cfRule>
  </conditionalFormatting>
  <conditionalFormatting sqref="V15">
    <cfRule type="containsText" dxfId="772" priority="317" operator="containsText" text="Pas ok">
      <formula>NOT(ISERROR(SEARCH("Pas ok",V15)))</formula>
    </cfRule>
  </conditionalFormatting>
  <conditionalFormatting sqref="V15">
    <cfRule type="containsText" dxfId="771" priority="316" operator="containsText" text="Calcul validé">
      <formula>NOT(ISERROR(SEARCH("Calcul validé",V15)))</formula>
    </cfRule>
  </conditionalFormatting>
  <conditionalFormatting sqref="V15">
    <cfRule type="containsText" dxfId="770" priority="315" operator="containsText" text="Calcul validé">
      <formula>NOT(ISERROR(SEARCH("Calcul validé",V15)))</formula>
    </cfRule>
  </conditionalFormatting>
  <conditionalFormatting sqref="V15">
    <cfRule type="containsText" dxfId="769" priority="314" operator="containsText" text="Bon ordre de grandeur">
      <formula>NOT(ISERROR(SEARCH("Bon ordre de grandeur",V15)))</formula>
    </cfRule>
  </conditionalFormatting>
  <conditionalFormatting sqref="V15">
    <cfRule type="containsText" dxfId="768" priority="313" operator="containsText" text="Calcul brouillon, ordre de grandeur">
      <formula>NOT(ISERROR(SEARCH("Calcul brouillon, ordre de grandeur",V15)))</formula>
    </cfRule>
  </conditionalFormatting>
  <conditionalFormatting sqref="V15">
    <cfRule type="containsText" dxfId="767" priority="312" operator="containsText" text="Pas ok">
      <formula>NOT(ISERROR(SEARCH("Pas ok",V15)))</formula>
    </cfRule>
  </conditionalFormatting>
  <conditionalFormatting sqref="V15">
    <cfRule type="containsText" dxfId="766" priority="311" operator="containsText" text="Calcul brouillon, odg">
      <formula>NOT(ISERROR(SEARCH("Calcul brouillon, odg",V15)))</formula>
    </cfRule>
  </conditionalFormatting>
  <conditionalFormatting sqref="Y15">
    <cfRule type="containsText" dxfId="765" priority="30" operator="containsText" text="Calcul validé">
      <formula>NOT(ISERROR(SEARCH("Calcul validé",Y15)))</formula>
    </cfRule>
  </conditionalFormatting>
  <conditionalFormatting sqref="Y15">
    <cfRule type="containsText" dxfId="764" priority="29" operator="containsText" text="Bon ordre de grandeur">
      <formula>NOT(ISERROR(SEARCH("Bon ordre de grandeur",Y15)))</formula>
    </cfRule>
  </conditionalFormatting>
  <conditionalFormatting sqref="Y15">
    <cfRule type="containsText" dxfId="763" priority="28" operator="containsText" text="Calcul brouillon, ordre de grandeur">
      <formula>NOT(ISERROR(SEARCH("Calcul brouillon, ordre de grandeur",Y15)))</formula>
    </cfRule>
  </conditionalFormatting>
  <conditionalFormatting sqref="Y15">
    <cfRule type="containsText" dxfId="762" priority="27" operator="containsText" text="Pas ok">
      <formula>NOT(ISERROR(SEARCH("Pas ok",Y15)))</formula>
    </cfRule>
  </conditionalFormatting>
  <conditionalFormatting sqref="Y15">
    <cfRule type="containsText" dxfId="761" priority="26" operator="containsText" text="Calcul validé">
      <formula>NOT(ISERROR(SEARCH("Calcul validé",Y15)))</formula>
    </cfRule>
  </conditionalFormatting>
  <conditionalFormatting sqref="Y15">
    <cfRule type="containsText" dxfId="760" priority="25" operator="containsText" text="Calcul validé">
      <formula>NOT(ISERROR(SEARCH("Calcul validé",Y15)))</formula>
    </cfRule>
  </conditionalFormatting>
  <conditionalFormatting sqref="Y15">
    <cfRule type="containsText" dxfId="759" priority="24" operator="containsText" text="Bon ordre de grandeur">
      <formula>NOT(ISERROR(SEARCH("Bon ordre de grandeur",Y15)))</formula>
    </cfRule>
  </conditionalFormatting>
  <conditionalFormatting sqref="Y15">
    <cfRule type="containsText" dxfId="758" priority="23" operator="containsText" text="Calcul brouillon, ordre de grandeur">
      <formula>NOT(ISERROR(SEARCH("Calcul brouillon, ordre de grandeur",Y15)))</formula>
    </cfRule>
  </conditionalFormatting>
  <conditionalFormatting sqref="Y15">
    <cfRule type="containsText" dxfId="757" priority="22" operator="containsText" text="Pas ok">
      <formula>NOT(ISERROR(SEARCH("Pas ok",Y15)))</formula>
    </cfRule>
  </conditionalFormatting>
  <conditionalFormatting sqref="Y15">
    <cfRule type="containsText" dxfId="756" priority="21" operator="containsText" text="Calcul brouillon, odg">
      <formula>NOT(ISERROR(SEARCH("Calcul brouillon, odg",Y15)))</formula>
    </cfRule>
  </conditionalFormatting>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'Annexe 1'!$B$5:$B$8</xm:f>
          </x14:formula1>
          <xm:sqref>D15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25">
    <tabColor theme="7" tint="0.59999389629810485"/>
  </sheetPr>
  <dimension ref="B2:S255"/>
  <sheetViews>
    <sheetView zoomScale="70" workbookViewId="0">
      <pane ySplit="2" topLeftCell="A3" activePane="bottomLeft" state="frozen"/>
      <selection activeCell="H7" sqref="H7:Q8"/>
      <selection pane="bottomLeft"/>
    </sheetView>
  </sheetViews>
  <sheetFormatPr baseColWidth="10" defaultRowHeight="14.4"/>
  <cols>
    <col min="2" max="2" width="43.109375" customWidth="1"/>
    <col min="3" max="3" width="18" customWidth="1"/>
    <col min="4" max="4" width="23.77734375" customWidth="1"/>
    <col min="5" max="5" width="12.77734375" customWidth="1"/>
    <col min="6" max="6" width="11.44140625" bestFit="1" customWidth="1"/>
    <col min="8" max="8" width="11.44140625" bestFit="1" customWidth="1"/>
    <col min="15" max="15" width="27.77734375" bestFit="1" customWidth="1"/>
    <col min="17" max="17" width="12" bestFit="1" customWidth="1"/>
    <col min="18" max="18" width="137.44140625" bestFit="1" customWidth="1"/>
    <col min="19" max="19" width="32" bestFit="1" customWidth="1"/>
    <col min="21" max="21" width="12" bestFit="1" customWidth="1"/>
  </cols>
  <sheetData>
    <row r="2" spans="2:17" ht="18">
      <c r="B2" s="57" t="s">
        <v>352</v>
      </c>
    </row>
    <row r="5" spans="2:17">
      <c r="B5" s="1297" t="s">
        <v>90</v>
      </c>
      <c r="C5" s="1298"/>
      <c r="D5" s="1299"/>
      <c r="F5" s="1356" t="s">
        <v>63</v>
      </c>
      <c r="G5" s="1357"/>
      <c r="H5" s="1357"/>
      <c r="I5" s="1357"/>
      <c r="J5" s="1357"/>
      <c r="K5" s="1357"/>
      <c r="L5" s="1357"/>
      <c r="M5" s="1357"/>
      <c r="N5" s="1357"/>
      <c r="O5" s="1357"/>
      <c r="P5" s="1357"/>
      <c r="Q5" s="1358"/>
    </row>
    <row r="6" spans="2:17">
      <c r="B6" s="58" t="s">
        <v>64</v>
      </c>
      <c r="C6" s="265">
        <f>C18</f>
        <v>5.2712956590590814</v>
      </c>
      <c r="D6" s="266" t="s">
        <v>65</v>
      </c>
      <c r="F6" s="1359" t="s">
        <v>66</v>
      </c>
      <c r="G6" s="1360"/>
      <c r="H6" s="1361" t="s">
        <v>353</v>
      </c>
      <c r="I6" s="1362"/>
      <c r="J6" s="1362"/>
      <c r="K6" s="1362"/>
      <c r="L6" s="1362"/>
      <c r="M6" s="1362"/>
      <c r="N6" s="1362"/>
      <c r="O6" s="1362"/>
      <c r="P6" s="1362"/>
      <c r="Q6" s="1363"/>
    </row>
    <row r="7" spans="2:17">
      <c r="B7" s="61" t="s">
        <v>68</v>
      </c>
      <c r="C7" s="1364" t="str">
        <f>C17</f>
        <v>v1.0.g</v>
      </c>
      <c r="D7" s="1365"/>
      <c r="F7" s="1366" t="s">
        <v>69</v>
      </c>
      <c r="G7" s="1367"/>
      <c r="H7" s="1370" t="s">
        <v>354</v>
      </c>
      <c r="I7" s="1371"/>
      <c r="J7" s="1371"/>
      <c r="K7" s="1371"/>
      <c r="L7" s="1371"/>
      <c r="M7" s="1371"/>
      <c r="N7" s="1371"/>
      <c r="O7" s="1371"/>
      <c r="P7" s="1371"/>
      <c r="Q7" s="1372"/>
    </row>
    <row r="8" spans="2:17">
      <c r="B8" s="63" t="s">
        <v>28</v>
      </c>
      <c r="C8" s="1376" t="s">
        <v>98</v>
      </c>
      <c r="D8" s="1377"/>
      <c r="F8" s="1368"/>
      <c r="G8" s="1369"/>
      <c r="H8" s="1373"/>
      <c r="I8" s="1374"/>
      <c r="J8" s="1374"/>
      <c r="K8" s="1374"/>
      <c r="L8" s="1374"/>
      <c r="M8" s="1374"/>
      <c r="N8" s="1374"/>
      <c r="O8" s="1374"/>
      <c r="P8" s="1374"/>
      <c r="Q8" s="1375"/>
    </row>
    <row r="9" spans="2:17">
      <c r="D9" s="244"/>
      <c r="E9" s="244"/>
      <c r="I9" s="431"/>
      <c r="J9" s="431"/>
      <c r="K9" s="431"/>
      <c r="L9" s="431"/>
      <c r="M9" s="431"/>
      <c r="N9" s="431"/>
      <c r="O9" s="431"/>
      <c r="P9" s="431"/>
      <c r="Q9" s="431"/>
    </row>
    <row r="10" spans="2:17">
      <c r="K10" s="431"/>
      <c r="L10" s="431"/>
      <c r="M10" s="431"/>
      <c r="N10" s="431"/>
      <c r="O10" s="431"/>
      <c r="P10" s="431"/>
      <c r="Q10" s="431"/>
    </row>
    <row r="11" spans="2:17">
      <c r="K11" s="431"/>
      <c r="L11" s="431"/>
      <c r="M11" s="431"/>
      <c r="N11" s="431"/>
      <c r="O11" s="431"/>
      <c r="P11" s="431"/>
      <c r="Q11" s="431"/>
    </row>
    <row r="12" spans="2:17">
      <c r="D12" s="244"/>
      <c r="E12" s="244"/>
      <c r="I12" s="431"/>
      <c r="J12" s="431"/>
      <c r="K12" s="431"/>
      <c r="L12" s="431"/>
      <c r="M12" s="431"/>
      <c r="N12" s="431"/>
      <c r="O12" s="431"/>
      <c r="P12" s="431"/>
      <c r="Q12" s="431"/>
    </row>
    <row r="13" spans="2:17">
      <c r="D13" s="244"/>
      <c r="E13" s="244"/>
      <c r="I13" s="431"/>
      <c r="J13" s="431"/>
      <c r="K13" s="431"/>
      <c r="L13" s="431"/>
      <c r="M13" s="431"/>
      <c r="N13" s="431"/>
      <c r="O13" s="431"/>
      <c r="P13" s="431"/>
      <c r="Q13" s="431"/>
    </row>
    <row r="16" spans="2:17">
      <c r="J16" s="431"/>
      <c r="K16" s="431"/>
      <c r="L16" s="431"/>
      <c r="M16" s="431"/>
      <c r="N16" s="431"/>
      <c r="O16" s="431"/>
      <c r="P16" s="431"/>
      <c r="Q16" s="431"/>
    </row>
    <row r="17" spans="2:19">
      <c r="B17" s="64" t="s">
        <v>93</v>
      </c>
      <c r="C17" s="1354" t="s">
        <v>259</v>
      </c>
      <c r="D17" s="1355"/>
      <c r="E17" s="65"/>
      <c r="F17" s="65"/>
      <c r="G17" s="65"/>
      <c r="H17" s="65"/>
      <c r="I17" s="65"/>
      <c r="J17" s="65"/>
      <c r="K17" s="65"/>
      <c r="L17" s="65"/>
      <c r="M17" s="65"/>
      <c r="N17" s="65"/>
      <c r="O17" s="65"/>
      <c r="P17" s="65"/>
      <c r="Q17" s="66"/>
    </row>
    <row r="18" spans="2:19">
      <c r="B18" s="67" t="s">
        <v>95</v>
      </c>
      <c r="C18" s="68">
        <f>C246</f>
        <v>5.2712956590590814</v>
      </c>
      <c r="D18" s="69" t="s">
        <v>96</v>
      </c>
      <c r="E18" s="70"/>
      <c r="F18" s="70"/>
      <c r="G18" s="70"/>
      <c r="H18" s="70"/>
      <c r="I18" s="70"/>
      <c r="J18" s="70"/>
      <c r="K18" s="70"/>
      <c r="L18" s="70"/>
      <c r="M18" s="70"/>
      <c r="N18" s="70"/>
      <c r="O18" s="70"/>
      <c r="P18" s="70"/>
      <c r="Q18" s="71"/>
    </row>
    <row r="19" spans="2:19" ht="16.05" customHeight="1">
      <c r="B19" s="72" t="s">
        <v>97</v>
      </c>
      <c r="C19" s="1349" t="s">
        <v>98</v>
      </c>
      <c r="D19" s="1350"/>
      <c r="E19" s="70"/>
      <c r="F19" s="70"/>
      <c r="G19" s="70"/>
      <c r="H19" s="70"/>
      <c r="I19" s="70"/>
      <c r="J19" s="70"/>
      <c r="K19" s="70"/>
      <c r="L19" s="70"/>
      <c r="M19" s="70"/>
      <c r="N19" s="70"/>
      <c r="O19" s="70"/>
      <c r="P19" s="70"/>
      <c r="Q19" s="71"/>
    </row>
    <row r="20" spans="2:19" ht="16.05" customHeight="1">
      <c r="B20" s="73"/>
      <c r="C20" s="74"/>
      <c r="D20" s="74"/>
      <c r="E20" s="74"/>
      <c r="F20" s="74"/>
      <c r="G20" s="74"/>
      <c r="H20" s="74"/>
      <c r="I20" s="74"/>
      <c r="J20" s="74"/>
      <c r="K20" s="74"/>
      <c r="L20" s="74"/>
      <c r="M20" s="74"/>
      <c r="N20" s="74"/>
      <c r="O20" s="74"/>
      <c r="P20" s="74"/>
      <c r="Q20" s="75"/>
    </row>
    <row r="21" spans="2:19">
      <c r="B21" s="1351" t="s">
        <v>71</v>
      </c>
      <c r="C21" s="1352"/>
      <c r="D21" s="1352"/>
      <c r="E21" s="1352"/>
      <c r="F21" s="1352"/>
      <c r="G21" s="1352"/>
      <c r="H21" s="1352"/>
      <c r="I21" s="1352"/>
      <c r="J21" s="1352"/>
      <c r="K21" s="1352"/>
      <c r="L21" s="1352"/>
      <c r="M21" s="1352"/>
      <c r="N21" s="1352"/>
      <c r="O21" s="1352"/>
      <c r="P21" s="1352"/>
      <c r="Q21" s="1353"/>
    </row>
    <row r="22" spans="2:19" ht="112.95" customHeight="1">
      <c r="B22" s="76" t="s">
        <v>72</v>
      </c>
      <c r="C22" s="1294" t="s">
        <v>355</v>
      </c>
      <c r="D22" s="1295"/>
      <c r="E22" s="1295"/>
      <c r="F22" s="1295"/>
      <c r="G22" s="1295"/>
      <c r="H22" s="1295"/>
      <c r="I22" s="1295"/>
      <c r="J22" s="1295"/>
      <c r="K22" s="1295"/>
      <c r="L22" s="1295"/>
      <c r="M22" s="1295"/>
      <c r="N22" s="1295"/>
      <c r="O22" s="1295"/>
      <c r="P22" s="1295"/>
      <c r="Q22" s="1296"/>
    </row>
    <row r="23" spans="2:19" ht="178.05" customHeight="1">
      <c r="B23" s="77" t="s">
        <v>74</v>
      </c>
      <c r="C23" s="1275" t="s">
        <v>356</v>
      </c>
      <c r="D23" s="1276"/>
      <c r="E23" s="1276"/>
      <c r="F23" s="1276"/>
      <c r="G23" s="1276"/>
      <c r="H23" s="1276"/>
      <c r="I23" s="1276"/>
      <c r="J23" s="1276"/>
      <c r="K23" s="1276"/>
      <c r="L23" s="1276"/>
      <c r="M23" s="1276"/>
      <c r="N23" s="1276"/>
      <c r="O23" s="1276"/>
      <c r="P23" s="1276"/>
      <c r="Q23" s="1277"/>
    </row>
    <row r="24" spans="2:19" ht="135" customHeight="1">
      <c r="B24" s="77" t="s">
        <v>76</v>
      </c>
      <c r="C24" s="1275" t="s">
        <v>357</v>
      </c>
      <c r="D24" s="1276"/>
      <c r="E24" s="1276"/>
      <c r="F24" s="1276"/>
      <c r="G24" s="1276"/>
      <c r="H24" s="1276"/>
      <c r="I24" s="1276"/>
      <c r="J24" s="1276"/>
      <c r="K24" s="1276"/>
      <c r="L24" s="1276"/>
      <c r="M24" s="1276"/>
      <c r="N24" s="1276"/>
      <c r="O24" s="1276"/>
      <c r="P24" s="1276"/>
      <c r="Q24" s="1277"/>
    </row>
    <row r="25" spans="2:19">
      <c r="B25" s="77" t="s">
        <v>78</v>
      </c>
      <c r="C25" s="1275" t="s">
        <v>358</v>
      </c>
      <c r="D25" s="1276"/>
      <c r="E25" s="1276"/>
      <c r="F25" s="1276"/>
      <c r="G25" s="1276"/>
      <c r="H25" s="1276"/>
      <c r="I25" s="1276"/>
      <c r="J25" s="1276"/>
      <c r="K25" s="1276"/>
      <c r="L25" s="1276"/>
      <c r="M25" s="1276"/>
      <c r="N25" s="1276"/>
      <c r="O25" s="1276"/>
      <c r="P25" s="1276"/>
      <c r="Q25" s="1277"/>
    </row>
    <row r="26" spans="2:19" ht="14.25" customHeight="1">
      <c r="B26" s="77" t="s">
        <v>82</v>
      </c>
      <c r="C26" s="1275" t="s">
        <v>359</v>
      </c>
      <c r="D26" s="1276"/>
      <c r="E26" s="1276"/>
      <c r="F26" s="1276"/>
      <c r="G26" s="1276"/>
      <c r="H26" s="1276"/>
      <c r="I26" s="1276"/>
      <c r="J26" s="1276"/>
      <c r="K26" s="1276"/>
      <c r="L26" s="1276"/>
      <c r="M26" s="1276"/>
      <c r="N26" s="1276"/>
      <c r="O26" s="1276"/>
      <c r="P26" s="1276"/>
      <c r="Q26" s="1277"/>
    </row>
    <row r="27" spans="2:19" ht="20.25" customHeight="1">
      <c r="B27" s="77" t="s">
        <v>84</v>
      </c>
      <c r="C27" s="1275" t="s">
        <v>103</v>
      </c>
      <c r="D27" s="1276"/>
      <c r="E27" s="1276"/>
      <c r="F27" s="1276"/>
      <c r="G27" s="1276"/>
      <c r="H27" s="1276"/>
      <c r="I27" s="1276"/>
      <c r="J27" s="1276"/>
      <c r="K27" s="1276"/>
      <c r="L27" s="1276"/>
      <c r="M27" s="1276"/>
      <c r="N27" s="1276"/>
      <c r="O27" s="1276"/>
      <c r="P27" s="1276"/>
      <c r="Q27" s="1277"/>
      <c r="S27" s="432"/>
    </row>
    <row r="28" spans="2:19" ht="16.05" customHeight="1">
      <c r="B28" s="77" t="s">
        <v>86</v>
      </c>
      <c r="C28" s="1275"/>
      <c r="D28" s="1276"/>
      <c r="E28" s="1276"/>
      <c r="F28" s="1276"/>
      <c r="G28" s="1276"/>
      <c r="H28" s="1276"/>
      <c r="I28" s="1276"/>
      <c r="J28" s="1276"/>
      <c r="K28" s="1276"/>
      <c r="L28" s="1276"/>
      <c r="M28" s="1276"/>
      <c r="N28" s="1276"/>
      <c r="O28" s="1276"/>
      <c r="P28" s="1276"/>
      <c r="Q28" s="1277"/>
    </row>
    <row r="29" spans="2:19">
      <c r="B29" s="79" t="s">
        <v>88</v>
      </c>
      <c r="C29" s="1279">
        <v>44903</v>
      </c>
      <c r="D29" s="1347"/>
      <c r="E29" s="1347"/>
      <c r="F29" s="1347"/>
      <c r="G29" s="1347"/>
      <c r="H29" s="1347"/>
      <c r="I29" s="1347"/>
      <c r="J29" s="1347"/>
      <c r="K29" s="1347"/>
      <c r="L29" s="1347"/>
      <c r="M29" s="1347"/>
      <c r="N29" s="1347"/>
      <c r="O29" s="1347"/>
      <c r="P29" s="1347"/>
      <c r="Q29" s="1348"/>
    </row>
    <row r="30" spans="2:19" ht="16.05" customHeight="1">
      <c r="C30" s="433"/>
      <c r="K30" s="434"/>
      <c r="R30" s="434"/>
      <c r="S30" s="432"/>
    </row>
    <row r="31" spans="2:19">
      <c r="B31" s="98" t="s">
        <v>360</v>
      </c>
      <c r="C31" s="244"/>
      <c r="H31" s="431"/>
      <c r="I31" s="431"/>
      <c r="J31" s="431"/>
      <c r="K31" s="431"/>
      <c r="L31" s="431"/>
      <c r="M31" s="431"/>
      <c r="N31" s="431"/>
      <c r="O31" s="431"/>
      <c r="P31" s="431"/>
      <c r="Q31" s="431"/>
    </row>
    <row r="32" spans="2:19">
      <c r="C32" s="244"/>
      <c r="H32" s="431"/>
      <c r="I32" s="431"/>
      <c r="J32" s="431"/>
      <c r="K32" s="431"/>
      <c r="L32" s="431"/>
      <c r="M32" s="431"/>
      <c r="N32" s="431"/>
      <c r="O32" s="431"/>
      <c r="P32" s="431"/>
      <c r="Q32" s="431"/>
    </row>
    <row r="33" spans="2:17">
      <c r="C33" s="244"/>
      <c r="H33" s="431"/>
      <c r="I33" s="431"/>
      <c r="J33" s="431"/>
      <c r="K33" s="431"/>
      <c r="L33" s="431"/>
      <c r="M33" s="431"/>
      <c r="N33" s="431"/>
      <c r="O33" s="431"/>
      <c r="P33" s="431"/>
      <c r="Q33" s="431"/>
    </row>
    <row r="34" spans="2:17">
      <c r="C34" s="244" t="s">
        <v>361</v>
      </c>
      <c r="H34" s="431"/>
      <c r="I34" s="431"/>
      <c r="J34" s="431"/>
      <c r="K34" s="431"/>
      <c r="L34" s="431"/>
      <c r="M34" s="431"/>
      <c r="N34" s="431"/>
      <c r="O34" s="431"/>
      <c r="P34" s="431"/>
      <c r="Q34" s="431"/>
    </row>
    <row r="35" spans="2:17">
      <c r="B35" s="435"/>
      <c r="C35" s="436" t="s">
        <v>362</v>
      </c>
      <c r="D35" s="437" t="s">
        <v>363</v>
      </c>
      <c r="H35" s="431"/>
      <c r="I35" s="431"/>
      <c r="J35" s="431"/>
      <c r="K35" s="431"/>
      <c r="L35" s="431"/>
      <c r="M35" s="431"/>
      <c r="N35" s="431"/>
      <c r="O35" s="431"/>
      <c r="P35" s="431"/>
      <c r="Q35" s="431"/>
    </row>
    <row r="36" spans="2:17">
      <c r="B36" s="438" t="s">
        <v>364</v>
      </c>
      <c r="C36" s="439">
        <f>1.5*762.1*C98/10^6</f>
        <v>549.89401710000004</v>
      </c>
      <c r="D36" s="89">
        <f t="shared" ref="D36:D38" si="0">C36*$C$233/10^3</f>
        <v>1.4572191453150001</v>
      </c>
      <c r="H36" s="431"/>
      <c r="I36" s="431"/>
      <c r="J36" s="431"/>
      <c r="K36" s="431"/>
      <c r="L36" s="431"/>
      <c r="M36" s="431"/>
      <c r="N36" s="431"/>
      <c r="O36" s="431"/>
      <c r="P36" s="431"/>
      <c r="Q36" s="431"/>
    </row>
    <row r="37" spans="2:17">
      <c r="B37" s="438" t="s">
        <v>365</v>
      </c>
      <c r="C37" s="439">
        <f>1.5*762.1*(C156+C157+C158+C159)/10^6</f>
        <v>744.27409995000005</v>
      </c>
      <c r="D37" s="89">
        <f t="shared" si="0"/>
        <v>1.9723263648675002</v>
      </c>
      <c r="E37" s="253"/>
      <c r="I37" s="431"/>
      <c r="J37" s="431"/>
      <c r="K37" s="431"/>
      <c r="L37" s="431"/>
      <c r="M37" s="431"/>
      <c r="N37" s="431"/>
      <c r="O37" s="431"/>
      <c r="P37" s="431"/>
      <c r="Q37" s="431"/>
    </row>
    <row r="38" spans="2:17">
      <c r="B38" s="438" t="s">
        <v>366</v>
      </c>
      <c r="C38" s="439">
        <f>1.5*762.1*C123/10^6</f>
        <v>583.71525299999996</v>
      </c>
      <c r="D38" s="89">
        <f t="shared" si="0"/>
        <v>1.54684542045</v>
      </c>
      <c r="E38" s="243"/>
      <c r="H38" s="431"/>
      <c r="I38" s="431"/>
      <c r="J38" s="431"/>
      <c r="K38" s="431"/>
      <c r="L38" s="431"/>
      <c r="M38" s="431"/>
      <c r="N38" s="431"/>
      <c r="O38" s="431"/>
      <c r="P38" s="431"/>
      <c r="Q38" s="431"/>
    </row>
    <row r="39" spans="2:17">
      <c r="B39" s="438" t="s">
        <v>367</v>
      </c>
      <c r="C39" s="439">
        <f>C215/10^6</f>
        <v>111.14415</v>
      </c>
      <c r="D39" s="89">
        <f t="shared" ref="D39:D40" si="1">C39*$C$234/10^3</f>
        <v>0.22673406599999998</v>
      </c>
      <c r="F39" s="244"/>
      <c r="H39" s="431"/>
      <c r="I39" s="431"/>
      <c r="J39" s="431"/>
      <c r="K39" s="431"/>
      <c r="L39" s="431"/>
      <c r="M39" s="431"/>
      <c r="N39" s="431"/>
      <c r="O39" s="431"/>
      <c r="P39" s="431"/>
      <c r="Q39" s="431"/>
    </row>
    <row r="40" spans="2:17">
      <c r="B40" s="440" t="s">
        <v>368</v>
      </c>
      <c r="C40" s="441">
        <f>C226/10^6</f>
        <v>33.416991385578697</v>
      </c>
      <c r="D40" s="89">
        <f t="shared" si="1"/>
        <v>6.8170662426580556E-2</v>
      </c>
      <c r="F40" s="244"/>
      <c r="H40" s="431"/>
      <c r="I40" s="431"/>
      <c r="J40" s="431"/>
      <c r="K40" s="431"/>
      <c r="L40" s="431"/>
      <c r="M40" s="431"/>
      <c r="N40" s="431"/>
      <c r="O40" s="431"/>
      <c r="P40" s="431"/>
      <c r="Q40" s="431"/>
    </row>
    <row r="41" spans="2:17">
      <c r="B41" s="442" t="s">
        <v>119</v>
      </c>
      <c r="C41" s="443">
        <f>SUM(C36:C40)</f>
        <v>2022.4445114355788</v>
      </c>
      <c r="D41" s="444">
        <f>SUM(D36:D40)</f>
        <v>5.2712956590590805</v>
      </c>
      <c r="F41" s="244"/>
      <c r="H41" s="431"/>
      <c r="I41" s="431"/>
      <c r="J41" s="431"/>
      <c r="K41" s="431"/>
      <c r="L41" s="431"/>
      <c r="M41" s="431"/>
      <c r="N41" s="431"/>
      <c r="O41" s="431"/>
      <c r="P41" s="431"/>
      <c r="Q41" s="431"/>
    </row>
    <row r="42" spans="2:17">
      <c r="C42" s="244"/>
      <c r="H42" s="431"/>
      <c r="I42" s="431"/>
      <c r="J42" s="431"/>
      <c r="K42" s="431"/>
      <c r="L42" s="431"/>
      <c r="M42" s="431"/>
      <c r="N42" s="431"/>
      <c r="O42" s="431"/>
      <c r="P42" s="431"/>
      <c r="Q42" s="431"/>
    </row>
    <row r="43" spans="2:17">
      <c r="B43" s="445"/>
      <c r="C43" s="446" t="s">
        <v>369</v>
      </c>
    </row>
    <row r="44" spans="2:17">
      <c r="B44" s="438" t="s">
        <v>370</v>
      </c>
      <c r="C44" s="447">
        <v>366.59601140000001</v>
      </c>
    </row>
    <row r="45" spans="2:17">
      <c r="B45" s="438" t="s">
        <v>365</v>
      </c>
      <c r="C45" s="447">
        <v>496.1827333</v>
      </c>
      <c r="H45" s="431"/>
      <c r="I45" s="431"/>
      <c r="J45" s="431"/>
      <c r="K45" s="431"/>
      <c r="L45" s="431"/>
      <c r="M45" s="431"/>
      <c r="N45" s="431"/>
      <c r="O45" s="431"/>
      <c r="P45" s="431"/>
      <c r="Q45" s="431"/>
    </row>
    <row r="46" spans="2:17">
      <c r="B46" s="438" t="s">
        <v>366</v>
      </c>
      <c r="C46" s="447">
        <v>389.14350200000001</v>
      </c>
      <c r="H46" s="431"/>
      <c r="I46" s="431"/>
      <c r="J46" s="431"/>
      <c r="K46" s="431"/>
      <c r="L46" s="431"/>
      <c r="M46" s="431"/>
      <c r="N46" s="431"/>
      <c r="O46" s="431"/>
      <c r="P46" s="431"/>
      <c r="Q46" s="431"/>
    </row>
    <row r="47" spans="2:17">
      <c r="B47" s="442" t="s">
        <v>119</v>
      </c>
      <c r="C47" s="448">
        <f>SUM(C44:C46)</f>
        <v>1251.9222467</v>
      </c>
    </row>
    <row r="48" spans="2:17" ht="21">
      <c r="C48" s="244"/>
      <c r="H48" s="449" t="s">
        <v>371</v>
      </c>
      <c r="I48" s="431"/>
      <c r="J48" s="431"/>
      <c r="K48" s="431"/>
      <c r="L48" s="431"/>
      <c r="M48" s="431"/>
      <c r="N48" s="431"/>
      <c r="O48" s="431"/>
      <c r="P48" s="431"/>
      <c r="Q48" s="431"/>
    </row>
    <row r="49" spans="2:18">
      <c r="B49" s="445"/>
      <c r="C49" s="446" t="s">
        <v>372</v>
      </c>
    </row>
    <row r="50" spans="2:18">
      <c r="B50" s="438" t="s">
        <v>364</v>
      </c>
      <c r="C50" s="450">
        <f>C98</f>
        <v>481034</v>
      </c>
    </row>
    <row r="51" spans="2:18">
      <c r="B51" s="438" t="s">
        <v>365</v>
      </c>
      <c r="C51" s="450">
        <f>SUM(C156:C159)</f>
        <v>651073</v>
      </c>
      <c r="H51" s="431"/>
      <c r="I51" s="431"/>
      <c r="J51" s="431"/>
      <c r="K51" s="431"/>
      <c r="L51" s="431"/>
      <c r="M51" s="431"/>
      <c r="N51" s="431"/>
      <c r="O51" s="431"/>
      <c r="P51" s="431"/>
      <c r="Q51" s="431"/>
    </row>
    <row r="52" spans="2:18" ht="16.05" customHeight="1">
      <c r="B52" s="438" t="s">
        <v>366</v>
      </c>
      <c r="C52" s="450">
        <f>C123</f>
        <v>510620</v>
      </c>
    </row>
    <row r="53" spans="2:18" ht="16.05" customHeight="1">
      <c r="B53" s="442" t="s">
        <v>119</v>
      </c>
      <c r="C53" s="451">
        <f>SUM(C50:C52)</f>
        <v>1642727</v>
      </c>
    </row>
    <row r="54" spans="2:18">
      <c r="B54" s="98" t="s">
        <v>373</v>
      </c>
    </row>
    <row r="55" spans="2:18">
      <c r="B55" s="152" t="s">
        <v>192</v>
      </c>
    </row>
    <row r="56" spans="2:18">
      <c r="B56" t="s">
        <v>374</v>
      </c>
    </row>
    <row r="57" spans="2:18">
      <c r="B57" t="s">
        <v>375</v>
      </c>
    </row>
    <row r="58" spans="2:18">
      <c r="B58" s="364" t="s">
        <v>376</v>
      </c>
    </row>
    <row r="61" spans="2:18">
      <c r="B61" s="100" t="s">
        <v>123</v>
      </c>
    </row>
    <row r="64" spans="2:18" ht="15.6">
      <c r="O64" s="452" t="s">
        <v>377</v>
      </c>
      <c r="P64" s="452" t="s">
        <v>378</v>
      </c>
      <c r="Q64" s="453" t="s">
        <v>379</v>
      </c>
      <c r="R64" s="452" t="s">
        <v>380</v>
      </c>
    </row>
    <row r="65" spans="15:18">
      <c r="O65" s="454" t="s">
        <v>381</v>
      </c>
      <c r="P65" s="454">
        <v>704080</v>
      </c>
      <c r="Q65" s="454">
        <f>665+207</f>
        <v>872</v>
      </c>
      <c r="R65" s="454" t="s">
        <v>382</v>
      </c>
    </row>
    <row r="66" spans="15:18">
      <c r="O66" s="454" t="s">
        <v>383</v>
      </c>
      <c r="P66" s="454">
        <v>1340086</v>
      </c>
      <c r="Q66" s="454">
        <v>1693</v>
      </c>
      <c r="R66" s="454" t="s">
        <v>384</v>
      </c>
    </row>
    <row r="67" spans="15:18">
      <c r="O67" s="454" t="s">
        <v>385</v>
      </c>
      <c r="P67" s="454">
        <v>796543</v>
      </c>
      <c r="Q67" s="454">
        <v>1147</v>
      </c>
      <c r="R67" s="454" t="s">
        <v>386</v>
      </c>
    </row>
    <row r="68" spans="15:18">
      <c r="O68" s="454" t="s">
        <v>387</v>
      </c>
      <c r="P68" s="454">
        <v>605160</v>
      </c>
      <c r="Q68" s="454">
        <v>828</v>
      </c>
      <c r="R68" s="454" t="s">
        <v>388</v>
      </c>
    </row>
    <row r="69" spans="15:18">
      <c r="O69" s="454" t="s">
        <v>389</v>
      </c>
      <c r="P69" s="454">
        <v>513767</v>
      </c>
      <c r="Q69" s="454">
        <v>703</v>
      </c>
      <c r="R69" s="454" t="s">
        <v>390</v>
      </c>
    </row>
    <row r="70" spans="15:18">
      <c r="O70" s="454" t="s">
        <v>391</v>
      </c>
      <c r="P70" s="454">
        <v>616916</v>
      </c>
      <c r="Q70" s="454">
        <v>996</v>
      </c>
      <c r="R70" s="454" t="s">
        <v>392</v>
      </c>
    </row>
    <row r="71" spans="15:18">
      <c r="O71" s="454" t="s">
        <v>393</v>
      </c>
      <c r="P71" s="454">
        <v>829846</v>
      </c>
      <c r="Q71" s="454">
        <v>1303</v>
      </c>
      <c r="R71" s="334" t="s">
        <v>394</v>
      </c>
    </row>
    <row r="72" spans="15:18">
      <c r="O72" s="454" t="s">
        <v>395</v>
      </c>
      <c r="P72" s="454">
        <v>340000</v>
      </c>
      <c r="Q72" s="454">
        <v>605</v>
      </c>
      <c r="R72" s="454" t="s">
        <v>396</v>
      </c>
    </row>
    <row r="73" spans="15:18">
      <c r="O73" s="454" t="s">
        <v>397</v>
      </c>
      <c r="P73" s="454">
        <v>491730</v>
      </c>
      <c r="Q73" s="454">
        <v>584</v>
      </c>
      <c r="R73" s="454" t="s">
        <v>398</v>
      </c>
    </row>
    <row r="74" spans="15:18">
      <c r="O74" s="454" t="s">
        <v>399</v>
      </c>
      <c r="P74" s="454">
        <v>595144</v>
      </c>
      <c r="Q74" s="454">
        <f>770+146</f>
        <v>916</v>
      </c>
      <c r="R74" s="454" t="s">
        <v>400</v>
      </c>
    </row>
    <row r="75" spans="15:18">
      <c r="O75" s="454" t="s">
        <v>401</v>
      </c>
      <c r="P75" s="454">
        <v>881042</v>
      </c>
      <c r="Q75" s="454">
        <v>1272</v>
      </c>
      <c r="R75" s="454" t="s">
        <v>402</v>
      </c>
    </row>
    <row r="76" spans="15:18">
      <c r="O76" s="454" t="s">
        <v>403</v>
      </c>
      <c r="P76" s="454">
        <v>484270</v>
      </c>
      <c r="Q76" s="454">
        <v>455</v>
      </c>
      <c r="R76" s="454" t="s">
        <v>404</v>
      </c>
    </row>
    <row r="77" spans="15:18">
      <c r="O77" s="454" t="s">
        <v>405</v>
      </c>
      <c r="P77" s="454">
        <v>1061376</v>
      </c>
      <c r="Q77" s="454">
        <v>1437</v>
      </c>
      <c r="R77" s="454" t="s">
        <v>406</v>
      </c>
    </row>
    <row r="78" spans="15:18">
      <c r="O78" s="454" t="s">
        <v>407</v>
      </c>
      <c r="P78" s="454">
        <v>460194</v>
      </c>
      <c r="Q78" s="454">
        <v>661</v>
      </c>
      <c r="R78" s="454" t="s">
        <v>408</v>
      </c>
    </row>
    <row r="79" spans="15:18">
      <c r="O79" s="454" t="s">
        <v>409</v>
      </c>
      <c r="P79" s="454">
        <v>797152</v>
      </c>
      <c r="Q79" s="454">
        <f>1029+127</f>
        <v>1156</v>
      </c>
      <c r="R79" s="454" t="s">
        <v>410</v>
      </c>
    </row>
    <row r="80" spans="15:18">
      <c r="O80" s="454" t="s">
        <v>411</v>
      </c>
      <c r="P80" s="454">
        <v>1991229</v>
      </c>
      <c r="Q80" s="454"/>
      <c r="R80" s="454" t="s">
        <v>412</v>
      </c>
    </row>
    <row r="81" spans="2:18">
      <c r="O81" s="454" t="s">
        <v>413</v>
      </c>
      <c r="P81" s="454">
        <v>252327</v>
      </c>
      <c r="Q81" s="454">
        <v>464</v>
      </c>
      <c r="R81" s="454" t="s">
        <v>414</v>
      </c>
    </row>
    <row r="82" spans="2:18">
      <c r="O82" s="454" t="s">
        <v>415</v>
      </c>
      <c r="P82" s="454">
        <v>614004</v>
      </c>
      <c r="Q82" s="454">
        <v>778</v>
      </c>
      <c r="R82" s="454" t="s">
        <v>416</v>
      </c>
    </row>
    <row r="83" spans="2:18">
      <c r="O83" s="454" t="s">
        <v>417</v>
      </c>
      <c r="P83" s="454">
        <v>2505131</v>
      </c>
      <c r="Q83" s="454">
        <v>2951</v>
      </c>
      <c r="R83" s="454" t="s">
        <v>418</v>
      </c>
    </row>
    <row r="84" spans="2:18">
      <c r="I84" s="455"/>
    </row>
    <row r="86" spans="2:18">
      <c r="B86" s="364" t="s">
        <v>419</v>
      </c>
    </row>
    <row r="87" spans="2:18">
      <c r="B87" t="s">
        <v>420</v>
      </c>
    </row>
    <row r="88" spans="2:18">
      <c r="B88" s="456" t="s">
        <v>421</v>
      </c>
      <c r="C88" s="457"/>
      <c r="D88" s="457"/>
      <c r="E88" s="457" t="s">
        <v>422</v>
      </c>
      <c r="F88" s="457"/>
      <c r="G88" s="457" t="s">
        <v>423</v>
      </c>
      <c r="H88" s="457"/>
      <c r="I88" s="457"/>
      <c r="J88" s="458"/>
    </row>
    <row r="90" spans="2:18">
      <c r="E90" s="455"/>
      <c r="F90" s="97"/>
    </row>
    <row r="91" spans="2:18">
      <c r="B91" s="100" t="s">
        <v>123</v>
      </c>
      <c r="E91" s="455"/>
      <c r="F91" s="97"/>
    </row>
    <row r="92" spans="2:18">
      <c r="B92" t="s">
        <v>424</v>
      </c>
      <c r="E92" s="455"/>
      <c r="F92" s="97"/>
    </row>
    <row r="93" spans="2:18">
      <c r="B93" s="364" t="s">
        <v>425</v>
      </c>
      <c r="E93" s="455"/>
      <c r="F93" s="97"/>
      <c r="G93" s="243"/>
    </row>
    <row r="94" spans="2:18">
      <c r="E94" s="455"/>
      <c r="F94" s="97"/>
    </row>
    <row r="95" spans="2:18" ht="28.8">
      <c r="B95" s="459" t="s">
        <v>426</v>
      </c>
      <c r="C95" s="460" t="s">
        <v>119</v>
      </c>
      <c r="D95" s="460" t="s">
        <v>427</v>
      </c>
      <c r="E95" s="461" t="s">
        <v>428</v>
      </c>
    </row>
    <row r="96" spans="2:18">
      <c r="B96" s="462" t="s">
        <v>429</v>
      </c>
      <c r="C96" s="463">
        <v>408245</v>
      </c>
      <c r="D96" s="110">
        <v>2017</v>
      </c>
      <c r="E96" s="464" t="s">
        <v>133</v>
      </c>
    </row>
    <row r="97" spans="2:15">
      <c r="B97" s="465" t="s">
        <v>430</v>
      </c>
      <c r="C97" s="463">
        <v>72789</v>
      </c>
      <c r="D97" s="110">
        <v>2017</v>
      </c>
      <c r="E97" s="464" t="s">
        <v>431</v>
      </c>
    </row>
    <row r="98" spans="2:15">
      <c r="B98" s="466" t="s">
        <v>119</v>
      </c>
      <c r="C98" s="467">
        <f>SUM(C96:C97)</f>
        <v>481034</v>
      </c>
      <c r="D98" s="120">
        <v>2017</v>
      </c>
      <c r="E98" s="464" t="s">
        <v>431</v>
      </c>
    </row>
    <row r="99" spans="2:15">
      <c r="E99" s="455"/>
    </row>
    <row r="100" spans="2:15">
      <c r="E100" s="455"/>
    </row>
    <row r="101" spans="2:15" ht="28.8">
      <c r="B101" s="468" t="s">
        <v>432</v>
      </c>
      <c r="C101" s="328" t="s">
        <v>430</v>
      </c>
      <c r="D101" s="469" t="s">
        <v>427</v>
      </c>
      <c r="E101" s="329" t="s">
        <v>428</v>
      </c>
      <c r="O101" s="97"/>
    </row>
    <row r="102" spans="2:15">
      <c r="B102" s="470" t="s">
        <v>433</v>
      </c>
      <c r="C102" s="471">
        <v>108900</v>
      </c>
      <c r="D102" s="110">
        <v>2018</v>
      </c>
      <c r="E102" s="464" t="s">
        <v>434</v>
      </c>
      <c r="O102" s="97"/>
    </row>
    <row r="103" spans="2:15">
      <c r="B103" s="472" t="s">
        <v>435</v>
      </c>
      <c r="C103" s="471"/>
      <c r="D103" s="110">
        <v>2018</v>
      </c>
      <c r="E103" s="464" t="s">
        <v>434</v>
      </c>
      <c r="O103" s="97"/>
    </row>
    <row r="104" spans="2:15">
      <c r="B104" s="473" t="s">
        <v>436</v>
      </c>
      <c r="C104" s="474">
        <v>70730</v>
      </c>
      <c r="D104" s="110">
        <v>2018</v>
      </c>
      <c r="E104" s="464" t="s">
        <v>434</v>
      </c>
      <c r="F104" s="97"/>
    </row>
    <row r="105" spans="2:15">
      <c r="B105" s="473" t="s">
        <v>437</v>
      </c>
      <c r="C105" s="474">
        <v>15980</v>
      </c>
      <c r="D105" s="110">
        <v>2018</v>
      </c>
      <c r="E105" s="464" t="s">
        <v>434</v>
      </c>
      <c r="F105" s="97"/>
    </row>
    <row r="106" spans="2:15">
      <c r="B106" s="473" t="s">
        <v>438</v>
      </c>
      <c r="C106" s="474">
        <v>5680</v>
      </c>
      <c r="D106" s="110">
        <v>2018</v>
      </c>
      <c r="E106" s="464" t="s">
        <v>434</v>
      </c>
      <c r="F106" s="97"/>
    </row>
    <row r="107" spans="2:15">
      <c r="B107" s="473" t="s">
        <v>439</v>
      </c>
      <c r="C107" s="474">
        <v>7180</v>
      </c>
      <c r="D107" s="110">
        <v>2018</v>
      </c>
      <c r="E107" s="464" t="s">
        <v>434</v>
      </c>
      <c r="F107" s="97"/>
    </row>
    <row r="108" spans="2:15">
      <c r="B108" s="473" t="s">
        <v>440</v>
      </c>
      <c r="C108" s="474">
        <v>6740</v>
      </c>
      <c r="D108" s="110">
        <v>2018</v>
      </c>
      <c r="E108" s="464" t="s">
        <v>434</v>
      </c>
      <c r="F108" s="97"/>
    </row>
    <row r="109" spans="2:15">
      <c r="B109" s="473" t="s">
        <v>441</v>
      </c>
      <c r="C109" s="474">
        <v>310</v>
      </c>
      <c r="D109" s="110">
        <v>2018</v>
      </c>
      <c r="E109" s="464" t="s">
        <v>434</v>
      </c>
      <c r="H109" s="191"/>
    </row>
    <row r="110" spans="2:15">
      <c r="B110" s="473" t="s">
        <v>442</v>
      </c>
      <c r="C110" s="474">
        <v>170</v>
      </c>
      <c r="D110" s="110">
        <v>2018</v>
      </c>
      <c r="E110" s="464" t="s">
        <v>434</v>
      </c>
    </row>
    <row r="111" spans="2:15">
      <c r="B111" s="473" t="s">
        <v>443</v>
      </c>
      <c r="C111" s="474">
        <v>1930</v>
      </c>
      <c r="D111" s="110">
        <v>2018</v>
      </c>
      <c r="E111" s="464" t="s">
        <v>434</v>
      </c>
    </row>
    <row r="112" spans="2:15">
      <c r="B112" s="473" t="s">
        <v>444</v>
      </c>
      <c r="C112" s="474">
        <v>200</v>
      </c>
      <c r="D112" s="110">
        <v>2018</v>
      </c>
      <c r="E112" s="464" t="s">
        <v>434</v>
      </c>
    </row>
    <row r="113" spans="2:6">
      <c r="B113" s="475" t="s">
        <v>445</v>
      </c>
      <c r="C113" s="471">
        <v>55790</v>
      </c>
      <c r="D113" s="110">
        <v>2018</v>
      </c>
      <c r="E113" s="464" t="s">
        <v>434</v>
      </c>
    </row>
    <row r="114" spans="2:6">
      <c r="B114" s="470" t="s">
        <v>446</v>
      </c>
      <c r="C114" s="471">
        <v>290240</v>
      </c>
      <c r="D114" s="110">
        <v>2018</v>
      </c>
      <c r="E114" s="464" t="s">
        <v>434</v>
      </c>
    </row>
    <row r="115" spans="2:6">
      <c r="B115" s="472" t="s">
        <v>435</v>
      </c>
      <c r="C115" s="471"/>
      <c r="D115" s="110">
        <v>2018</v>
      </c>
      <c r="E115" s="464" t="s">
        <v>434</v>
      </c>
    </row>
    <row r="116" spans="2:6">
      <c r="B116" s="473" t="s">
        <v>447</v>
      </c>
      <c r="C116" s="474">
        <v>119830</v>
      </c>
      <c r="D116" s="110">
        <v>2018</v>
      </c>
      <c r="E116" s="464" t="s">
        <v>434</v>
      </c>
    </row>
    <row r="117" spans="2:6">
      <c r="B117" s="473" t="s">
        <v>448</v>
      </c>
      <c r="C117" s="474">
        <v>11230</v>
      </c>
      <c r="D117" s="110">
        <v>2018</v>
      </c>
      <c r="E117" s="464" t="s">
        <v>434</v>
      </c>
    </row>
    <row r="118" spans="2:6">
      <c r="B118" s="473" t="s">
        <v>449</v>
      </c>
      <c r="C118" s="474">
        <v>154710</v>
      </c>
      <c r="D118" s="110">
        <v>2018</v>
      </c>
      <c r="E118" s="464" t="s">
        <v>434</v>
      </c>
    </row>
    <row r="119" spans="2:6">
      <c r="B119" s="473" t="s">
        <v>441</v>
      </c>
      <c r="C119" s="474">
        <v>820</v>
      </c>
      <c r="D119" s="110">
        <v>2018</v>
      </c>
      <c r="E119" s="464" t="s">
        <v>434</v>
      </c>
    </row>
    <row r="120" spans="2:6">
      <c r="B120" s="473" t="s">
        <v>450</v>
      </c>
      <c r="C120" s="474">
        <v>3650</v>
      </c>
      <c r="D120" s="110">
        <v>2018</v>
      </c>
      <c r="E120" s="464" t="s">
        <v>434</v>
      </c>
    </row>
    <row r="121" spans="2:6">
      <c r="B121" s="475" t="s">
        <v>451</v>
      </c>
      <c r="C121" s="471">
        <v>55640</v>
      </c>
      <c r="D121" s="110">
        <v>2018</v>
      </c>
      <c r="E121" s="464" t="s">
        <v>434</v>
      </c>
      <c r="F121" s="243"/>
    </row>
    <row r="122" spans="2:6">
      <c r="B122" s="470" t="s">
        <v>452</v>
      </c>
      <c r="C122" s="471">
        <v>40</v>
      </c>
      <c r="D122" s="110">
        <v>2018</v>
      </c>
      <c r="E122" s="464" t="s">
        <v>434</v>
      </c>
    </row>
    <row r="123" spans="2:6">
      <c r="B123" s="476" t="s">
        <v>119</v>
      </c>
      <c r="C123" s="477">
        <v>510620</v>
      </c>
      <c r="D123" s="120">
        <v>2018</v>
      </c>
      <c r="E123" s="464" t="s">
        <v>434</v>
      </c>
    </row>
    <row r="125" spans="2:6">
      <c r="C125" s="478"/>
      <c r="D125" s="389"/>
      <c r="E125" s="389"/>
    </row>
    <row r="126" spans="2:6">
      <c r="B126" s="478" t="s">
        <v>453</v>
      </c>
      <c r="C126" s="478"/>
      <c r="D126" s="389"/>
      <c r="E126" s="389"/>
    </row>
    <row r="127" spans="2:6">
      <c r="B127" s="388"/>
      <c r="C127" s="479"/>
      <c r="D127" s="480"/>
    </row>
    <row r="128" spans="2:6" ht="26.4">
      <c r="B128" s="481"/>
      <c r="C128" s="482" t="s">
        <v>454</v>
      </c>
    </row>
    <row r="129" spans="2:5">
      <c r="B129" s="483" t="s">
        <v>455</v>
      </c>
      <c r="C129" s="484">
        <f>31302.06</f>
        <v>31302.06</v>
      </c>
      <c r="D129" s="97" t="s">
        <v>172</v>
      </c>
    </row>
    <row r="130" spans="2:5">
      <c r="B130" s="485" t="s">
        <v>365</v>
      </c>
      <c r="C130" s="486">
        <v>27020</v>
      </c>
    </row>
    <row r="131" spans="2:5">
      <c r="B131" s="485" t="s">
        <v>456</v>
      </c>
      <c r="C131" s="486">
        <v>594684</v>
      </c>
    </row>
    <row r="132" spans="2:5">
      <c r="B132" s="485" t="s">
        <v>457</v>
      </c>
      <c r="C132" s="486">
        <v>127117</v>
      </c>
    </row>
    <row r="133" spans="2:5">
      <c r="B133" s="487"/>
      <c r="C133" s="488"/>
      <c r="D133" s="488"/>
      <c r="E133" s="489"/>
    </row>
    <row r="134" spans="2:5">
      <c r="C134" s="389"/>
      <c r="D134" s="389"/>
      <c r="E134" s="389"/>
    </row>
    <row r="136" spans="2:5">
      <c r="B136" s="100" t="s">
        <v>123</v>
      </c>
    </row>
    <row r="137" spans="2:5">
      <c r="B137" t="s">
        <v>458</v>
      </c>
    </row>
    <row r="139" spans="2:5" ht="41.4">
      <c r="B139" s="490" t="s">
        <v>459</v>
      </c>
      <c r="C139" s="491" t="s">
        <v>460</v>
      </c>
      <c r="D139" s="492" t="s">
        <v>247</v>
      </c>
    </row>
    <row r="140" spans="2:5" ht="27.6">
      <c r="B140" s="493" t="s">
        <v>461</v>
      </c>
      <c r="C140" s="494">
        <v>585560</v>
      </c>
    </row>
    <row r="141" spans="2:5">
      <c r="B141" s="495" t="s">
        <v>462</v>
      </c>
      <c r="C141" s="494">
        <v>125640</v>
      </c>
    </row>
    <row r="142" spans="2:5">
      <c r="B142" s="495" t="s">
        <v>463</v>
      </c>
      <c r="C142" s="494">
        <v>169030</v>
      </c>
    </row>
    <row r="143" spans="2:5">
      <c r="B143" s="495" t="s">
        <v>464</v>
      </c>
      <c r="C143" s="494">
        <v>290890</v>
      </c>
    </row>
    <row r="144" spans="2:5">
      <c r="B144" s="496" t="s">
        <v>465</v>
      </c>
      <c r="C144" s="494">
        <v>127070</v>
      </c>
    </row>
    <row r="145" spans="2:5">
      <c r="B145" s="497" t="s">
        <v>466</v>
      </c>
      <c r="C145" s="498">
        <v>163820</v>
      </c>
    </row>
    <row r="147" spans="2:5">
      <c r="B147" t="s">
        <v>467</v>
      </c>
    </row>
    <row r="148" spans="2:5">
      <c r="B148" s="499" t="s">
        <v>468</v>
      </c>
      <c r="C148" s="110">
        <f>100*C144/C140</f>
        <v>21.700594302889542</v>
      </c>
      <c r="D148" s="110" t="s">
        <v>469</v>
      </c>
    </row>
    <row r="150" spans="2:5">
      <c r="B150" t="s">
        <v>470</v>
      </c>
    </row>
    <row r="151" spans="2:5">
      <c r="B151" s="499" t="s">
        <v>471</v>
      </c>
      <c r="C151" s="110"/>
      <c r="D151" s="110"/>
      <c r="E151" s="110">
        <f>TRUNC(C131*(1-C148/100))</f>
        <v>465634</v>
      </c>
    </row>
    <row r="153" spans="2:5">
      <c r="B153" t="s">
        <v>472</v>
      </c>
    </row>
    <row r="155" spans="2:5" ht="26.4">
      <c r="B155" s="500"/>
      <c r="C155" s="501" t="s">
        <v>454</v>
      </c>
    </row>
    <row r="156" spans="2:5">
      <c r="B156" s="502" t="s">
        <v>455</v>
      </c>
      <c r="C156" s="89">
        <v>31302</v>
      </c>
    </row>
    <row r="157" spans="2:5">
      <c r="B157" s="503" t="s">
        <v>365</v>
      </c>
      <c r="C157" s="504">
        <v>27020</v>
      </c>
    </row>
    <row r="158" spans="2:5">
      <c r="B158" s="503" t="s">
        <v>456</v>
      </c>
      <c r="C158" s="271">
        <v>465634</v>
      </c>
    </row>
    <row r="159" spans="2:5">
      <c r="B159" s="505" t="s">
        <v>457</v>
      </c>
      <c r="C159" s="506">
        <v>127117</v>
      </c>
    </row>
    <row r="161" spans="2:17">
      <c r="B161" s="100" t="s">
        <v>123</v>
      </c>
    </row>
    <row r="162" spans="2:17">
      <c r="B162" t="s">
        <v>473</v>
      </c>
    </row>
    <row r="164" spans="2:17">
      <c r="B164" s="499" t="s">
        <v>474</v>
      </c>
      <c r="C164" s="108">
        <f>C156+C157+C158+C159+C123+C98</f>
        <v>1642727</v>
      </c>
      <c r="D164" s="110" t="s">
        <v>379</v>
      </c>
    </row>
    <row r="165" spans="2:17">
      <c r="B165" s="499" t="s">
        <v>475</v>
      </c>
      <c r="C165" s="507">
        <f>762.1*C164</f>
        <v>1251922246.7</v>
      </c>
      <c r="D165" s="110" t="s">
        <v>476</v>
      </c>
      <c r="F165" s="431"/>
    </row>
    <row r="167" spans="2:17">
      <c r="B167" s="100" t="s">
        <v>123</v>
      </c>
      <c r="D167" s="244"/>
      <c r="E167" s="244"/>
      <c r="I167" s="431"/>
      <c r="J167" s="431"/>
      <c r="K167" s="431"/>
      <c r="L167" s="431"/>
      <c r="M167" s="431"/>
      <c r="N167" s="431"/>
      <c r="O167" s="431"/>
      <c r="P167" s="431"/>
      <c r="Q167" s="431"/>
    </row>
    <row r="168" spans="2:17">
      <c r="B168" t="s">
        <v>477</v>
      </c>
      <c r="K168" s="431"/>
      <c r="L168" s="431"/>
      <c r="M168" s="431"/>
      <c r="N168" s="431"/>
      <c r="O168" s="431"/>
      <c r="P168" s="431"/>
      <c r="Q168" s="431"/>
    </row>
    <row r="169" spans="2:17">
      <c r="K169" s="431"/>
      <c r="L169" s="431"/>
      <c r="M169" s="431"/>
      <c r="N169" s="431"/>
      <c r="O169" s="431"/>
      <c r="P169" s="431"/>
      <c r="Q169" s="431"/>
    </row>
    <row r="170" spans="2:17">
      <c r="B170" t="s">
        <v>478</v>
      </c>
      <c r="D170" s="244"/>
      <c r="E170" s="244"/>
      <c r="I170" s="431"/>
      <c r="J170" s="431"/>
      <c r="K170" s="431"/>
      <c r="L170" s="431"/>
      <c r="M170" s="431"/>
      <c r="N170" s="431"/>
      <c r="O170" s="431"/>
      <c r="P170" s="431"/>
      <c r="Q170" s="431"/>
    </row>
    <row r="171" spans="2:17">
      <c r="B171" t="s">
        <v>479</v>
      </c>
      <c r="D171" s="244"/>
      <c r="E171" s="244"/>
      <c r="I171" s="431"/>
      <c r="J171" s="431"/>
      <c r="K171" s="431"/>
      <c r="L171" s="431"/>
      <c r="M171" s="431"/>
      <c r="N171" s="431"/>
      <c r="O171" s="431"/>
      <c r="P171" s="431"/>
      <c r="Q171" s="431"/>
    </row>
    <row r="172" spans="2:17" ht="43.2">
      <c r="B172" s="508" t="s">
        <v>480</v>
      </c>
      <c r="C172" s="509">
        <f>C165*1.5</f>
        <v>1877883370.0500002</v>
      </c>
      <c r="D172" t="s">
        <v>481</v>
      </c>
    </row>
    <row r="176" spans="2:17">
      <c r="B176" s="98" t="s">
        <v>482</v>
      </c>
    </row>
    <row r="178" spans="2:17">
      <c r="B178" s="152" t="s">
        <v>192</v>
      </c>
    </row>
    <row r="179" spans="2:17">
      <c r="B179" t="s">
        <v>483</v>
      </c>
    </row>
    <row r="180" spans="2:17">
      <c r="B180" t="s">
        <v>484</v>
      </c>
    </row>
    <row r="181" spans="2:17">
      <c r="B181" s="510" t="s">
        <v>485</v>
      </c>
    </row>
    <row r="182" spans="2:17">
      <c r="B182" t="s">
        <v>486</v>
      </c>
    </row>
    <row r="183" spans="2:17">
      <c r="B183" t="s">
        <v>487</v>
      </c>
    </row>
    <row r="185" spans="2:17">
      <c r="J185" s="431"/>
      <c r="K185" s="431"/>
      <c r="L185" s="431"/>
      <c r="M185" s="431"/>
      <c r="N185" s="431"/>
      <c r="O185" s="431"/>
      <c r="P185" s="431"/>
      <c r="Q185" s="431"/>
    </row>
    <row r="186" spans="2:17">
      <c r="B186" s="100" t="s">
        <v>123</v>
      </c>
    </row>
    <row r="187" spans="2:17" ht="43.2">
      <c r="B187" s="511"/>
      <c r="C187" s="512" t="s">
        <v>488</v>
      </c>
      <c r="D187" s="97" t="s">
        <v>489</v>
      </c>
    </row>
    <row r="188" spans="2:17">
      <c r="B188" s="513" t="s">
        <v>490</v>
      </c>
      <c r="C188" s="450">
        <f>58450+42130</f>
        <v>100580</v>
      </c>
      <c r="E188" s="97"/>
    </row>
    <row r="189" spans="2:17">
      <c r="B189" s="513" t="s">
        <v>491</v>
      </c>
      <c r="C189" s="450">
        <v>33831</v>
      </c>
      <c r="D189" s="97"/>
      <c r="E189" s="97"/>
      <c r="F189" s="431"/>
      <c r="G189" s="431"/>
    </row>
    <row r="190" spans="2:17">
      <c r="B190" s="513" t="s">
        <v>492</v>
      </c>
      <c r="C190" s="450">
        <v>29644</v>
      </c>
      <c r="D190" s="97"/>
      <c r="E190" s="97"/>
      <c r="F190" s="431"/>
      <c r="G190" s="431"/>
    </row>
    <row r="191" spans="2:17">
      <c r="B191" s="513" t="s">
        <v>493</v>
      </c>
      <c r="C191" s="450">
        <v>4446</v>
      </c>
      <c r="D191" s="97"/>
      <c r="E191" s="97"/>
      <c r="F191" s="431"/>
      <c r="G191" s="431"/>
    </row>
    <row r="192" spans="2:17">
      <c r="B192" s="513" t="s">
        <v>494</v>
      </c>
      <c r="C192" s="450">
        <v>117451</v>
      </c>
      <c r="D192" s="97"/>
      <c r="E192" s="97"/>
      <c r="F192" s="431"/>
      <c r="G192" s="431"/>
    </row>
    <row r="193" spans="2:7">
      <c r="B193" s="513" t="s">
        <v>495</v>
      </c>
      <c r="C193" s="450">
        <v>68160</v>
      </c>
      <c r="D193" s="97"/>
      <c r="E193" s="97"/>
      <c r="F193" s="431"/>
      <c r="G193" s="431"/>
    </row>
    <row r="194" spans="2:7">
      <c r="B194" s="513" t="s">
        <v>496</v>
      </c>
      <c r="C194" s="450">
        <v>1403</v>
      </c>
      <c r="D194" s="97"/>
      <c r="E194" s="97"/>
      <c r="F194" s="431"/>
      <c r="G194" s="431"/>
    </row>
    <row r="195" spans="2:7">
      <c r="B195" s="513" t="s">
        <v>497</v>
      </c>
      <c r="C195" s="450">
        <v>2767</v>
      </c>
      <c r="D195" s="97"/>
      <c r="E195" s="97"/>
      <c r="F195" s="431"/>
      <c r="G195" s="431"/>
    </row>
    <row r="196" spans="2:7">
      <c r="B196" s="513" t="s">
        <v>498</v>
      </c>
      <c r="C196" s="450">
        <v>20084</v>
      </c>
      <c r="D196" s="97"/>
      <c r="E196" s="97"/>
    </row>
    <row r="197" spans="2:7">
      <c r="B197" s="513" t="s">
        <v>499</v>
      </c>
      <c r="C197" s="450">
        <v>2916</v>
      </c>
      <c r="D197" s="97"/>
      <c r="E197" s="97"/>
    </row>
    <row r="198" spans="2:7">
      <c r="B198" s="513" t="s">
        <v>500</v>
      </c>
      <c r="C198" s="450">
        <v>1177</v>
      </c>
      <c r="D198" s="97"/>
      <c r="E198" s="97"/>
    </row>
    <row r="199" spans="2:7">
      <c r="B199" s="513" t="s">
        <v>501</v>
      </c>
      <c r="C199" s="514">
        <v>13575</v>
      </c>
      <c r="D199" s="97"/>
      <c r="E199" s="97"/>
    </row>
    <row r="200" spans="2:7">
      <c r="B200" s="515" t="s">
        <v>502</v>
      </c>
      <c r="C200" s="514">
        <v>9530</v>
      </c>
      <c r="D200" s="97"/>
      <c r="E200" s="97"/>
      <c r="F200" s="431"/>
      <c r="G200" s="431"/>
    </row>
    <row r="201" spans="2:7">
      <c r="B201" s="515" t="s">
        <v>503</v>
      </c>
      <c r="C201" s="450">
        <v>0</v>
      </c>
      <c r="D201" s="97"/>
      <c r="E201" s="97"/>
      <c r="F201" s="431"/>
      <c r="G201" s="431"/>
    </row>
    <row r="202" spans="2:7">
      <c r="B202" s="515" t="s">
        <v>504</v>
      </c>
      <c r="C202" s="450">
        <v>4534</v>
      </c>
      <c r="D202" s="97"/>
      <c r="E202" s="97"/>
      <c r="F202" s="431"/>
      <c r="G202" s="431"/>
    </row>
    <row r="203" spans="2:7">
      <c r="B203" s="515" t="s">
        <v>505</v>
      </c>
      <c r="C203" s="516">
        <v>12</v>
      </c>
      <c r="D203" s="97"/>
      <c r="E203" s="97"/>
      <c r="F203" s="431"/>
      <c r="G203" s="431"/>
    </row>
    <row r="204" spans="2:7">
      <c r="B204" s="515" t="s">
        <v>506</v>
      </c>
      <c r="C204" s="516">
        <f>168+257+819+32+52</f>
        <v>1328</v>
      </c>
      <c r="D204" s="97"/>
      <c r="E204" s="97"/>
      <c r="F204" s="431"/>
      <c r="G204" s="431"/>
    </row>
    <row r="205" spans="2:7">
      <c r="B205" s="517" t="s">
        <v>507</v>
      </c>
      <c r="C205" s="518">
        <v>21431</v>
      </c>
      <c r="D205" s="97"/>
      <c r="E205" s="97"/>
    </row>
    <row r="206" spans="2:7" ht="27.6">
      <c r="B206" s="519" t="s">
        <v>508</v>
      </c>
      <c r="C206" s="520"/>
      <c r="D206" s="97" t="s">
        <v>509</v>
      </c>
      <c r="E206" s="97"/>
    </row>
    <row r="207" spans="2:7">
      <c r="B207" s="521" t="s">
        <v>510</v>
      </c>
      <c r="C207" s="522">
        <f>0.05*88560</f>
        <v>4428</v>
      </c>
      <c r="D207" s="97"/>
      <c r="E207" s="97"/>
    </row>
    <row r="208" spans="2:7">
      <c r="B208" s="521" t="s">
        <v>511</v>
      </c>
      <c r="C208" s="522">
        <f>TRUNC(0.09*88560)</f>
        <v>7970</v>
      </c>
      <c r="D208" s="97"/>
      <c r="E208" s="97"/>
    </row>
    <row r="209" spans="2:10">
      <c r="B209" s="521" t="s">
        <v>512</v>
      </c>
      <c r="C209" s="522">
        <f>TRUNC(0.06*88560)</f>
        <v>5313</v>
      </c>
      <c r="D209" s="97"/>
      <c r="E209" s="97"/>
      <c r="F209" s="431"/>
      <c r="G209" s="431"/>
    </row>
    <row r="210" spans="2:10">
      <c r="B210" s="523" t="s">
        <v>513</v>
      </c>
      <c r="C210" s="524">
        <f>TRUNC(0.49*88560)</f>
        <v>43394</v>
      </c>
      <c r="D210" s="97"/>
      <c r="E210" s="431"/>
      <c r="F210" s="431"/>
      <c r="G210" s="431"/>
    </row>
    <row r="211" spans="2:10">
      <c r="B211" s="525" t="s">
        <v>119</v>
      </c>
      <c r="C211" s="526">
        <f>SUM(C188:C210)</f>
        <v>493974</v>
      </c>
      <c r="D211" s="527"/>
      <c r="E211" s="431"/>
      <c r="F211" s="431"/>
      <c r="G211" s="431"/>
      <c r="J211" s="431"/>
    </row>
    <row r="212" spans="2:10">
      <c r="J212" s="431"/>
    </row>
    <row r="213" spans="2:10">
      <c r="B213" s="100" t="s">
        <v>123</v>
      </c>
    </row>
    <row r="215" spans="2:10">
      <c r="B215" s="110" t="s">
        <v>514</v>
      </c>
      <c r="C215" s="110">
        <f>C211*225</f>
        <v>111144150</v>
      </c>
      <c r="D215" s="110" t="s">
        <v>515</v>
      </c>
    </row>
    <row r="216" spans="2:10">
      <c r="J216" s="431"/>
    </row>
    <row r="217" spans="2:10">
      <c r="B217" s="98" t="s">
        <v>516</v>
      </c>
    </row>
    <row r="218" spans="2:10" s="78" customFormat="1"/>
    <row r="219" spans="2:10" s="78" customFormat="1">
      <c r="B219" t="s">
        <v>250</v>
      </c>
    </row>
    <row r="220" spans="2:10" s="78" customFormat="1">
      <c r="B220" s="215"/>
      <c r="C220" s="217" t="s">
        <v>251</v>
      </c>
    </row>
    <row r="221" spans="2:10">
      <c r="B221" s="218" t="s">
        <v>252</v>
      </c>
      <c r="C221" s="260">
        <f>'Annexe 2'!C5</f>
        <v>98433.71</v>
      </c>
    </row>
    <row r="222" spans="2:10">
      <c r="B222" s="261" t="s">
        <v>253</v>
      </c>
      <c r="C222" s="260">
        <f>'Annexe 2'!C6</f>
        <v>50086.251713683101</v>
      </c>
    </row>
    <row r="223" spans="2:10">
      <c r="J223" s="431"/>
    </row>
    <row r="224" spans="2:10">
      <c r="B224" s="100" t="s">
        <v>123</v>
      </c>
    </row>
    <row r="226" spans="2:5">
      <c r="B226" s="110" t="s">
        <v>517</v>
      </c>
      <c r="C226" s="110">
        <f>(C221+C222)*225</f>
        <v>33416991.385578696</v>
      </c>
      <c r="D226" s="110" t="s">
        <v>515</v>
      </c>
    </row>
    <row r="231" spans="2:5">
      <c r="B231" s="100" t="s">
        <v>123</v>
      </c>
    </row>
    <row r="232" spans="2:5">
      <c r="B232" t="s">
        <v>518</v>
      </c>
    </row>
    <row r="233" spans="2:5" ht="28.8">
      <c r="B233" s="219" t="s">
        <v>519</v>
      </c>
      <c r="C233" s="110">
        <v>2.65</v>
      </c>
      <c r="D233" s="110" t="s">
        <v>520</v>
      </c>
      <c r="E233" s="528" t="s">
        <v>521</v>
      </c>
    </row>
    <row r="234" spans="2:5">
      <c r="B234" s="110" t="s">
        <v>522</v>
      </c>
      <c r="C234" s="110">
        <v>2.04</v>
      </c>
      <c r="D234" s="110" t="s">
        <v>520</v>
      </c>
      <c r="E234" s="97" t="s">
        <v>523</v>
      </c>
    </row>
    <row r="238" spans="2:5">
      <c r="B238" s="100" t="s">
        <v>123</v>
      </c>
    </row>
    <row r="239" spans="2:5">
      <c r="B239" t="s">
        <v>524</v>
      </c>
    </row>
    <row r="241" spans="2:17" ht="28.8">
      <c r="B241" s="62" t="s">
        <v>525</v>
      </c>
      <c r="C241" s="529">
        <f>C172*C233</f>
        <v>4976390930.6325006</v>
      </c>
      <c r="D241" s="62" t="s">
        <v>526</v>
      </c>
      <c r="F241" s="431"/>
      <c r="G241" s="431"/>
    </row>
    <row r="242" spans="2:17" ht="57.6">
      <c r="B242" s="62" t="s">
        <v>527</v>
      </c>
      <c r="C242" s="62">
        <f>(C215+C226)*C234</f>
        <v>294904728.42658055</v>
      </c>
      <c r="D242" s="62" t="s">
        <v>526</v>
      </c>
      <c r="E242" s="431"/>
      <c r="F242" s="431"/>
      <c r="G242" s="431"/>
    </row>
    <row r="243" spans="2:17">
      <c r="C243" s="244"/>
      <c r="D243" s="244"/>
      <c r="H243" s="431"/>
      <c r="I243" s="431"/>
      <c r="J243" s="431"/>
    </row>
    <row r="245" spans="2:17">
      <c r="B245" s="323" t="s">
        <v>528</v>
      </c>
      <c r="C245" s="530">
        <f>C241+C242</f>
        <v>5271295659.0590811</v>
      </c>
      <c r="D245" s="323" t="s">
        <v>526</v>
      </c>
      <c r="E245" s="433"/>
      <c r="M245" s="432"/>
    </row>
    <row r="246" spans="2:17">
      <c r="B246" s="323"/>
      <c r="C246" s="323">
        <f>C245/10^9</f>
        <v>5.2712956590590814</v>
      </c>
      <c r="D246" s="323" t="s">
        <v>243</v>
      </c>
    </row>
    <row r="247" spans="2:17">
      <c r="B247" s="98"/>
      <c r="C247" s="98"/>
      <c r="D247" s="98"/>
    </row>
    <row r="248" spans="2:17">
      <c r="B248" t="s">
        <v>529</v>
      </c>
      <c r="J248" s="97" t="s">
        <v>169</v>
      </c>
    </row>
    <row r="249" spans="2:17">
      <c r="B249" s="323" t="s">
        <v>530</v>
      </c>
      <c r="C249" s="323"/>
      <c r="D249" s="323">
        <f>0.2*C246</f>
        <v>1.0542591318118164</v>
      </c>
      <c r="E249" s="323" t="s">
        <v>243</v>
      </c>
      <c r="F249" s="433"/>
    </row>
    <row r="251" spans="2:17">
      <c r="B251" t="s">
        <v>531</v>
      </c>
      <c r="C251">
        <v>0.51</v>
      </c>
      <c r="D251" t="s">
        <v>520</v>
      </c>
      <c r="E251" s="97" t="s">
        <v>169</v>
      </c>
    </row>
    <row r="253" spans="2:17" ht="28.8">
      <c r="B253" s="531" t="s">
        <v>532</v>
      </c>
      <c r="C253" s="323">
        <f>C241*C251</f>
        <v>2537959374.6225753</v>
      </c>
      <c r="D253" s="323" t="s">
        <v>526</v>
      </c>
    </row>
    <row r="254" spans="2:17">
      <c r="B254" s="323"/>
      <c r="C254" s="323">
        <f>C253/10^9</f>
        <v>2.5379593746225755</v>
      </c>
      <c r="D254" s="323" t="s">
        <v>243</v>
      </c>
    </row>
    <row r="255" spans="2:17">
      <c r="C255" s="244"/>
      <c r="H255" s="431"/>
      <c r="I255" s="431"/>
      <c r="J255" s="431"/>
      <c r="K255" s="431"/>
      <c r="L255" s="431"/>
      <c r="M255" s="431"/>
      <c r="N255" s="431"/>
      <c r="O255" s="431"/>
      <c r="P255" s="431"/>
      <c r="Q255" s="431"/>
    </row>
  </sheetData>
  <mergeCells count="19">
    <mergeCell ref="C17:D17"/>
    <mergeCell ref="B5:D5"/>
    <mergeCell ref="F5:Q5"/>
    <mergeCell ref="F6:G6"/>
    <mergeCell ref="H6:Q6"/>
    <mergeCell ref="C7:D7"/>
    <mergeCell ref="F7:G8"/>
    <mergeCell ref="H7:Q8"/>
    <mergeCell ref="C8:D8"/>
    <mergeCell ref="C28:Q28"/>
    <mergeCell ref="C29:Q29"/>
    <mergeCell ref="C19:D19"/>
    <mergeCell ref="B21:Q21"/>
    <mergeCell ref="C22:Q22"/>
    <mergeCell ref="C23:Q23"/>
    <mergeCell ref="C24:Q24"/>
    <mergeCell ref="C25:Q25"/>
    <mergeCell ref="C26:Q26"/>
    <mergeCell ref="C27:Q27"/>
  </mergeCells>
  <conditionalFormatting sqref="C8:D8">
    <cfRule type="containsText" dxfId="755" priority="883" operator="containsText" text="Calcul brouillon, odg">
      <formula>NOT(ISERROR(SEARCH("Calcul brouillon, odg",C8)))</formula>
    </cfRule>
  </conditionalFormatting>
  <conditionalFormatting sqref="C8">
    <cfRule type="containsText" dxfId="754" priority="873" operator="containsText" text="Calcul validé">
      <formula>NOT(ISERROR(SEARCH("Calcul validé",C8)))</formula>
    </cfRule>
  </conditionalFormatting>
  <conditionalFormatting sqref="C8">
    <cfRule type="containsText" dxfId="753" priority="872" operator="containsText" text="Bon ordre de grandeur">
      <formula>NOT(ISERROR(SEARCH("Bon ordre de grandeur",C8)))</formula>
    </cfRule>
  </conditionalFormatting>
  <conditionalFormatting sqref="C8">
    <cfRule type="containsText" dxfId="752" priority="871" operator="containsText" text="Calcul brouillon, ordre de grandeur">
      <formula>NOT(ISERROR(SEARCH("Calcul brouillon, ordre de grandeur",C8)))</formula>
    </cfRule>
  </conditionalFormatting>
  <conditionalFormatting sqref="C8">
    <cfRule type="containsText" dxfId="751" priority="870" operator="containsText" text="Pas ok">
      <formula>NOT(ISERROR(SEARCH("Pas ok",C8)))</formula>
    </cfRule>
  </conditionalFormatting>
  <conditionalFormatting sqref="C8">
    <cfRule type="containsText" dxfId="750" priority="869" operator="containsText" text="Calcul validé">
      <formula>NOT(ISERROR(SEARCH("Calcul validé",C8)))</formula>
    </cfRule>
  </conditionalFormatting>
  <conditionalFormatting sqref="C8">
    <cfRule type="containsText" dxfId="749" priority="868" operator="containsText" text="Calcul validé">
      <formula>NOT(ISERROR(SEARCH("Calcul validé",C8)))</formula>
    </cfRule>
  </conditionalFormatting>
  <conditionalFormatting sqref="C8">
    <cfRule type="containsText" dxfId="748" priority="867" operator="containsText" text="Bon ordre de grandeur">
      <formula>NOT(ISERROR(SEARCH("Bon ordre de grandeur",C8)))</formula>
    </cfRule>
  </conditionalFormatting>
  <conditionalFormatting sqref="C8">
    <cfRule type="containsText" dxfId="747" priority="866" operator="containsText" text="Calcul brouillon, ordre de grandeur">
      <formula>NOT(ISERROR(SEARCH("Calcul brouillon, ordre de grandeur",C8)))</formula>
    </cfRule>
  </conditionalFormatting>
  <conditionalFormatting sqref="C8">
    <cfRule type="containsText" dxfId="746" priority="865" operator="containsText" text="Pas ok">
      <formula>NOT(ISERROR(SEARCH("Pas ok",C8)))</formula>
    </cfRule>
  </conditionalFormatting>
  <conditionalFormatting sqref="D12:E13">
    <cfRule type="containsText" dxfId="745" priority="553" operator="containsText" text="Calcul brouillon, odg">
      <formula>NOT(ISERROR(SEARCH("Calcul brouillon, odg",D12)))</formula>
    </cfRule>
  </conditionalFormatting>
  <conditionalFormatting sqref="D12:D13">
    <cfRule type="containsText" dxfId="744" priority="552" operator="containsText" text="Calcul validé">
      <formula>NOT(ISERROR(SEARCH("Calcul validé",D12)))</formula>
    </cfRule>
  </conditionalFormatting>
  <conditionalFormatting sqref="D12:D13">
    <cfRule type="containsText" dxfId="743" priority="551" operator="containsText" text="Bon ordre de grandeur">
      <formula>NOT(ISERROR(SEARCH("Bon ordre de grandeur",D12)))</formula>
    </cfRule>
  </conditionalFormatting>
  <conditionalFormatting sqref="D12:D13">
    <cfRule type="containsText" dxfId="742" priority="550" operator="containsText" text="Calcul brouillon, ordre de grandeur">
      <formula>NOT(ISERROR(SEARCH("Calcul brouillon, ordre de grandeur",D12)))</formula>
    </cfRule>
  </conditionalFormatting>
  <conditionalFormatting sqref="D12:D13">
    <cfRule type="containsText" dxfId="741" priority="549" operator="containsText" text="Pas ok">
      <formula>NOT(ISERROR(SEARCH("Pas ok",D12)))</formula>
    </cfRule>
  </conditionalFormatting>
  <conditionalFormatting sqref="D12:D13">
    <cfRule type="containsText" dxfId="740" priority="548" operator="containsText" text="Calcul validé">
      <formula>NOT(ISERROR(SEARCH("Calcul validé",D12)))</formula>
    </cfRule>
  </conditionalFormatting>
  <conditionalFormatting sqref="D12:D13">
    <cfRule type="containsText" dxfId="739" priority="547" operator="containsText" text="Calcul validé">
      <formula>NOT(ISERROR(SEARCH("Calcul validé",D12)))</formula>
    </cfRule>
  </conditionalFormatting>
  <conditionalFormatting sqref="D12:D13">
    <cfRule type="containsText" dxfId="738" priority="546" operator="containsText" text="Bon ordre de grandeur">
      <formula>NOT(ISERROR(SEARCH("Bon ordre de grandeur",D12)))</formula>
    </cfRule>
  </conditionalFormatting>
  <conditionalFormatting sqref="D12:D13">
    <cfRule type="containsText" dxfId="737" priority="545" operator="containsText" text="Calcul brouillon, ordre de grandeur">
      <formula>NOT(ISERROR(SEARCH("Calcul brouillon, ordre de grandeur",D12)))</formula>
    </cfRule>
  </conditionalFormatting>
  <conditionalFormatting sqref="D12:D13">
    <cfRule type="containsText" dxfId="736" priority="544" operator="containsText" text="Pas ok">
      <formula>NOT(ISERROR(SEARCH("Pas ok",D12)))</formula>
    </cfRule>
  </conditionalFormatting>
  <conditionalFormatting sqref="D9:E9">
    <cfRule type="containsText" dxfId="735" priority="543" operator="containsText" text="Calcul brouillon, odg">
      <formula>NOT(ISERROR(SEARCH("Calcul brouillon, odg",D9)))</formula>
    </cfRule>
  </conditionalFormatting>
  <conditionalFormatting sqref="D9">
    <cfRule type="containsText" dxfId="734" priority="542" operator="containsText" text="Calcul validé">
      <formula>NOT(ISERROR(SEARCH("Calcul validé",D9)))</formula>
    </cfRule>
  </conditionalFormatting>
  <conditionalFormatting sqref="D9">
    <cfRule type="containsText" dxfId="733" priority="541" operator="containsText" text="Bon ordre de grandeur">
      <formula>NOT(ISERROR(SEARCH("Bon ordre de grandeur",D9)))</formula>
    </cfRule>
  </conditionalFormatting>
  <conditionalFormatting sqref="D9">
    <cfRule type="containsText" dxfId="732" priority="540" operator="containsText" text="Calcul brouillon, ordre de grandeur">
      <formula>NOT(ISERROR(SEARCH("Calcul brouillon, ordre de grandeur",D9)))</formula>
    </cfRule>
  </conditionalFormatting>
  <conditionalFormatting sqref="D9">
    <cfRule type="containsText" dxfId="731" priority="539" operator="containsText" text="Pas ok">
      <formula>NOT(ISERROR(SEARCH("Pas ok",D9)))</formula>
    </cfRule>
  </conditionalFormatting>
  <conditionalFormatting sqref="D9">
    <cfRule type="containsText" dxfId="730" priority="538" operator="containsText" text="Calcul validé">
      <formula>NOT(ISERROR(SEARCH("Calcul validé",D9)))</formula>
    </cfRule>
  </conditionalFormatting>
  <conditionalFormatting sqref="D9">
    <cfRule type="containsText" dxfId="729" priority="537" operator="containsText" text="Calcul validé">
      <formula>NOT(ISERROR(SEARCH("Calcul validé",D9)))</formula>
    </cfRule>
  </conditionalFormatting>
  <conditionalFormatting sqref="D9">
    <cfRule type="containsText" dxfId="728" priority="536" operator="containsText" text="Bon ordre de grandeur">
      <formula>NOT(ISERROR(SEARCH("Bon ordre de grandeur",D9)))</formula>
    </cfRule>
  </conditionalFormatting>
  <conditionalFormatting sqref="D9">
    <cfRule type="containsText" dxfId="727" priority="535" operator="containsText" text="Calcul brouillon, ordre de grandeur">
      <formula>NOT(ISERROR(SEARCH("Calcul brouillon, ordre de grandeur",D9)))</formula>
    </cfRule>
  </conditionalFormatting>
  <conditionalFormatting sqref="D9">
    <cfRule type="containsText" dxfId="726" priority="534" operator="containsText" text="Pas ok">
      <formula>NOT(ISERROR(SEARCH("Pas ok",D9)))</formula>
    </cfRule>
  </conditionalFormatting>
  <conditionalFormatting sqref="C255 C49:C53 C31:C47">
    <cfRule type="containsText" dxfId="725" priority="90" operator="containsText" text="Calcul brouillon, odg">
      <formula>NOT(ISERROR(SEARCH("Calcul brouillon, odg",C31)))</formula>
    </cfRule>
  </conditionalFormatting>
  <conditionalFormatting sqref="C111:C115 C102:C106 C121:C123 C48">
    <cfRule type="containsText" dxfId="724" priority="67" operator="containsText" text="Calcul brouillon, odg">
      <formula>NOT(ISERROR(SEARCH("Calcul brouillon, odg",C48)))</formula>
    </cfRule>
  </conditionalFormatting>
  <conditionalFormatting sqref="C243:D243">
    <cfRule type="containsText" dxfId="723" priority="66" operator="containsText" text="Calcul brouillon, odg">
      <formula>NOT(ISERROR(SEARCH("Calcul brouillon, odg",C243)))</formula>
    </cfRule>
  </conditionalFormatting>
  <conditionalFormatting sqref="C243">
    <cfRule type="containsText" dxfId="722" priority="65" operator="containsText" text="Calcul validé">
      <formula>NOT(ISERROR(SEARCH("Calcul validé",C243)))</formula>
    </cfRule>
  </conditionalFormatting>
  <conditionalFormatting sqref="C243">
    <cfRule type="containsText" dxfId="721" priority="64" operator="containsText" text="Bon ordre de grandeur">
      <formula>NOT(ISERROR(SEARCH("Bon ordre de grandeur",C243)))</formula>
    </cfRule>
  </conditionalFormatting>
  <conditionalFormatting sqref="C243">
    <cfRule type="containsText" dxfId="720" priority="63" operator="containsText" text="Calcul brouillon, ordre de grandeur">
      <formula>NOT(ISERROR(SEARCH("Calcul brouillon, ordre de grandeur",C243)))</formula>
    </cfRule>
  </conditionalFormatting>
  <conditionalFormatting sqref="C243">
    <cfRule type="containsText" dxfId="719" priority="62" operator="containsText" text="Pas ok">
      <formula>NOT(ISERROR(SEARCH("Pas ok",C243)))</formula>
    </cfRule>
  </conditionalFormatting>
  <conditionalFormatting sqref="C243">
    <cfRule type="containsText" dxfId="718" priority="61" operator="containsText" text="Calcul validé">
      <formula>NOT(ISERROR(SEARCH("Calcul validé",C243)))</formula>
    </cfRule>
  </conditionalFormatting>
  <conditionalFormatting sqref="C243">
    <cfRule type="containsText" dxfId="717" priority="60" operator="containsText" text="Calcul validé">
      <formula>NOT(ISERROR(SEARCH("Calcul validé",C243)))</formula>
    </cfRule>
  </conditionalFormatting>
  <conditionalFormatting sqref="C243">
    <cfRule type="containsText" dxfId="716" priority="59" operator="containsText" text="Bon ordre de grandeur">
      <formula>NOT(ISERROR(SEARCH("Bon ordre de grandeur",C243)))</formula>
    </cfRule>
  </conditionalFormatting>
  <conditionalFormatting sqref="C243">
    <cfRule type="containsText" dxfId="715" priority="58" operator="containsText" text="Calcul brouillon, ordre de grandeur">
      <formula>NOT(ISERROR(SEARCH("Calcul brouillon, ordre de grandeur",C243)))</formula>
    </cfRule>
  </conditionalFormatting>
  <conditionalFormatting sqref="C243">
    <cfRule type="containsText" dxfId="714" priority="57" operator="containsText" text="Pas ok">
      <formula>NOT(ISERROR(SEARCH("Pas ok",C243)))</formula>
    </cfRule>
  </conditionalFormatting>
  <conditionalFormatting sqref="C19">
    <cfRule type="containsText" dxfId="713" priority="56" operator="containsText" text="Calcul validé">
      <formula>NOT(ISERROR(SEARCH("Calcul validé",C19)))</formula>
    </cfRule>
  </conditionalFormatting>
  <conditionalFormatting sqref="C19">
    <cfRule type="containsText" dxfId="712" priority="55" operator="containsText" text="Bon ordre de grandeur">
      <formula>NOT(ISERROR(SEARCH("Bon ordre de grandeur",C19)))</formula>
    </cfRule>
  </conditionalFormatting>
  <conditionalFormatting sqref="C19">
    <cfRule type="containsText" dxfId="711" priority="54" operator="containsText" text="Calcul brouillon, ordre de grandeur">
      <formula>NOT(ISERROR(SEARCH("Calcul brouillon, ordre de grandeur",C19)))</formula>
    </cfRule>
  </conditionalFormatting>
  <conditionalFormatting sqref="C19">
    <cfRule type="containsText" dxfId="710" priority="53" operator="containsText" text="Pas ok">
      <formula>NOT(ISERROR(SEARCH("Pas ok",C19)))</formula>
    </cfRule>
  </conditionalFormatting>
  <conditionalFormatting sqref="C19">
    <cfRule type="containsText" dxfId="709" priority="52" operator="containsText" text="Calcul validé">
      <formula>NOT(ISERROR(SEARCH("Calcul validé",C19)))</formula>
    </cfRule>
  </conditionalFormatting>
  <conditionalFormatting sqref="C19">
    <cfRule type="containsText" dxfId="708" priority="51" operator="containsText" text="Calcul validé">
      <formula>NOT(ISERROR(SEARCH("Calcul validé",C19)))</formula>
    </cfRule>
  </conditionalFormatting>
  <conditionalFormatting sqref="C19">
    <cfRule type="containsText" dxfId="707" priority="50" operator="containsText" text="Bon ordre de grandeur">
      <formula>NOT(ISERROR(SEARCH("Bon ordre de grandeur",C19)))</formula>
    </cfRule>
  </conditionalFormatting>
  <conditionalFormatting sqref="C19">
    <cfRule type="containsText" dxfId="706" priority="49" operator="containsText" text="Calcul brouillon, ordre de grandeur">
      <formula>NOT(ISERROR(SEARCH("Calcul brouillon, ordre de grandeur",C19)))</formula>
    </cfRule>
  </conditionalFormatting>
  <conditionalFormatting sqref="C19">
    <cfRule type="containsText" dxfId="705" priority="48" operator="containsText" text="Pas ok">
      <formula>NOT(ISERROR(SEARCH("Pas ok",C19)))</formula>
    </cfRule>
  </conditionalFormatting>
  <conditionalFormatting sqref="C19:D19">
    <cfRule type="containsText" dxfId="704" priority="47" operator="containsText" text="Calcul brouillon, odg">
      <formula>NOT(ISERROR(SEARCH("Calcul brouillon, odg",C19)))</formula>
    </cfRule>
  </conditionalFormatting>
  <conditionalFormatting sqref="F39:F40">
    <cfRule type="containsText" dxfId="703" priority="46" operator="containsText" text="Calcul brouillon, odg">
      <formula>NOT(ISERROR(SEARCH("Calcul brouillon, odg",F39)))</formula>
    </cfRule>
  </conditionalFormatting>
  <conditionalFormatting sqref="F41">
    <cfRule type="containsText" dxfId="702" priority="45" operator="containsText" text="Calcul brouillon, odg">
      <formula>NOT(ISERROR(SEARCH("Calcul brouillon, odg",F41)))</formula>
    </cfRule>
  </conditionalFormatting>
  <conditionalFormatting sqref="D170:E171">
    <cfRule type="containsText" dxfId="701" priority="20" operator="containsText" text="Calcul brouillon, odg">
      <formula>NOT(ISERROR(SEARCH("Calcul brouillon, odg",D170)))</formula>
    </cfRule>
  </conditionalFormatting>
  <conditionalFormatting sqref="D170:D171">
    <cfRule type="containsText" dxfId="700" priority="19" operator="containsText" text="Calcul validé">
      <formula>NOT(ISERROR(SEARCH("Calcul validé",D170)))</formula>
    </cfRule>
  </conditionalFormatting>
  <conditionalFormatting sqref="D170:D171">
    <cfRule type="containsText" dxfId="699" priority="18" operator="containsText" text="Bon ordre de grandeur">
      <formula>NOT(ISERROR(SEARCH("Bon ordre de grandeur",D170)))</formula>
    </cfRule>
  </conditionalFormatting>
  <conditionalFormatting sqref="D170:D171">
    <cfRule type="containsText" dxfId="698" priority="17" operator="containsText" text="Calcul brouillon, ordre de grandeur">
      <formula>NOT(ISERROR(SEARCH("Calcul brouillon, ordre de grandeur",D170)))</formula>
    </cfRule>
  </conditionalFormatting>
  <conditionalFormatting sqref="D170:D171">
    <cfRule type="containsText" dxfId="697" priority="16" operator="containsText" text="Pas ok">
      <formula>NOT(ISERROR(SEARCH("Pas ok",D170)))</formula>
    </cfRule>
  </conditionalFormatting>
  <conditionalFormatting sqref="D170:D171">
    <cfRule type="containsText" dxfId="696" priority="15" operator="containsText" text="Calcul validé">
      <formula>NOT(ISERROR(SEARCH("Calcul validé",D170)))</formula>
    </cfRule>
  </conditionalFormatting>
  <conditionalFormatting sqref="D170:D171">
    <cfRule type="containsText" dxfId="695" priority="14" operator="containsText" text="Calcul validé">
      <formula>NOT(ISERROR(SEARCH("Calcul validé",D170)))</formula>
    </cfRule>
  </conditionalFormatting>
  <conditionalFormatting sqref="D170:D171">
    <cfRule type="containsText" dxfId="694" priority="13" operator="containsText" text="Bon ordre de grandeur">
      <formula>NOT(ISERROR(SEARCH("Bon ordre de grandeur",D170)))</formula>
    </cfRule>
  </conditionalFormatting>
  <conditionalFormatting sqref="D170:D171">
    <cfRule type="containsText" dxfId="693" priority="12" operator="containsText" text="Calcul brouillon, ordre de grandeur">
      <formula>NOT(ISERROR(SEARCH("Calcul brouillon, ordre de grandeur",D170)))</formula>
    </cfRule>
  </conditionalFormatting>
  <conditionalFormatting sqref="D170:D171">
    <cfRule type="containsText" dxfId="692" priority="11" operator="containsText" text="Pas ok">
      <formula>NOT(ISERROR(SEARCH("Pas ok",D170)))</formula>
    </cfRule>
  </conditionalFormatting>
  <conditionalFormatting sqref="D167:E167">
    <cfRule type="containsText" dxfId="691" priority="10" operator="containsText" text="Calcul brouillon, odg">
      <formula>NOT(ISERROR(SEARCH("Calcul brouillon, odg",D167)))</formula>
    </cfRule>
  </conditionalFormatting>
  <conditionalFormatting sqref="D167">
    <cfRule type="containsText" dxfId="690" priority="9" operator="containsText" text="Calcul validé">
      <formula>NOT(ISERROR(SEARCH("Calcul validé",D167)))</formula>
    </cfRule>
  </conditionalFormatting>
  <conditionalFormatting sqref="D167">
    <cfRule type="containsText" dxfId="689" priority="8" operator="containsText" text="Bon ordre de grandeur">
      <formula>NOT(ISERROR(SEARCH("Bon ordre de grandeur",D167)))</formula>
    </cfRule>
  </conditionalFormatting>
  <conditionalFormatting sqref="D167">
    <cfRule type="containsText" dxfId="688" priority="7" operator="containsText" text="Calcul brouillon, ordre de grandeur">
      <formula>NOT(ISERROR(SEARCH("Calcul brouillon, ordre de grandeur",D167)))</formula>
    </cfRule>
  </conditionalFormatting>
  <conditionalFormatting sqref="D167">
    <cfRule type="containsText" dxfId="687" priority="6" operator="containsText" text="Pas ok">
      <formula>NOT(ISERROR(SEARCH("Pas ok",D167)))</formula>
    </cfRule>
  </conditionalFormatting>
  <conditionalFormatting sqref="D167">
    <cfRule type="containsText" dxfId="686" priority="5" operator="containsText" text="Calcul validé">
      <formula>NOT(ISERROR(SEARCH("Calcul validé",D167)))</formula>
    </cfRule>
  </conditionalFormatting>
  <conditionalFormatting sqref="D167">
    <cfRule type="containsText" dxfId="685" priority="4" operator="containsText" text="Calcul validé">
      <formula>NOT(ISERROR(SEARCH("Calcul validé",D167)))</formula>
    </cfRule>
  </conditionalFormatting>
  <conditionalFormatting sqref="D167">
    <cfRule type="containsText" dxfId="684" priority="3" operator="containsText" text="Bon ordre de grandeur">
      <formula>NOT(ISERROR(SEARCH("Bon ordre de grandeur",D167)))</formula>
    </cfRule>
  </conditionalFormatting>
  <conditionalFormatting sqref="D167">
    <cfRule type="containsText" dxfId="683" priority="2" operator="containsText" text="Calcul brouillon, ordre de grandeur">
      <formula>NOT(ISERROR(SEARCH("Calcul brouillon, ordre de grandeur",D167)))</formula>
    </cfRule>
  </conditionalFormatting>
  <conditionalFormatting sqref="D167">
    <cfRule type="containsText" dxfId="682" priority="1" operator="containsText" text="Pas ok">
      <formula>NOT(ISERROR(SEARCH("Pas ok",D167)))</formula>
    </cfRule>
  </conditionalFormatting>
  <hyperlinks>
    <hyperlink ref="R71" r:id="rId1" xr:uid="{00000000-0004-0000-0700-000000000000}"/>
    <hyperlink ref="E233" r:id="rId2" xr:uid="{00000000-0004-0000-0700-000001000000}"/>
  </hyperlinks>
  <pageMargins left="0.7" right="0.7" top="0.75" bottom="0.75" header="0.3" footer="0.3"/>
  <pageSetup paperSize="9" orientation="portrait"/>
  <drawing r:id="rId3"/>
  <legacyDrawing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0000000}">
          <x14:formula1>
            <xm:f>'Annexe 1'!$B$5:$B$8</xm:f>
          </x14:formula1>
          <xm:sqref>C8 D9 D12:D13 D167 D170:D171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24">
    <tabColor theme="7" tint="0.59999389629810485"/>
  </sheetPr>
  <dimension ref="B1:R41"/>
  <sheetViews>
    <sheetView zoomScale="70" workbookViewId="0">
      <pane ySplit="2" topLeftCell="A3" activePane="bottomLeft" state="frozen"/>
      <selection activeCell="C18" sqref="C18:Q18"/>
      <selection pane="bottomLeft"/>
    </sheetView>
  </sheetViews>
  <sheetFormatPr baseColWidth="10" defaultRowHeight="14.4"/>
  <cols>
    <col min="2" max="2" width="68.44140625" customWidth="1"/>
    <col min="3" max="3" width="14.77734375" customWidth="1"/>
    <col min="4" max="4" width="20.109375" customWidth="1"/>
  </cols>
  <sheetData>
    <row r="1" spans="2:17" ht="15.6">
      <c r="D1" t="s">
        <v>533</v>
      </c>
    </row>
    <row r="2" spans="2:17" ht="18">
      <c r="B2" s="57" t="s">
        <v>534</v>
      </c>
    </row>
    <row r="5" spans="2:17">
      <c r="B5" s="1297" t="s">
        <v>90</v>
      </c>
      <c r="C5" s="1298"/>
      <c r="D5" s="1299"/>
      <c r="F5" s="1300" t="s">
        <v>63</v>
      </c>
      <c r="G5" s="1301"/>
      <c r="H5" s="1301"/>
      <c r="I5" s="1301"/>
      <c r="J5" s="1301"/>
      <c r="K5" s="1301"/>
      <c r="L5" s="1301"/>
      <c r="M5" s="1301"/>
      <c r="N5" s="1301"/>
      <c r="O5" s="1301"/>
      <c r="P5" s="1301"/>
      <c r="Q5" s="1302"/>
    </row>
    <row r="6" spans="2:17">
      <c r="B6" s="58" t="s">
        <v>64</v>
      </c>
      <c r="C6" s="265">
        <f>C12</f>
        <v>14.45</v>
      </c>
      <c r="D6" s="266" t="s">
        <v>65</v>
      </c>
      <c r="F6" s="1303" t="s">
        <v>66</v>
      </c>
      <c r="G6" s="1304"/>
      <c r="H6" s="1305" t="s">
        <v>535</v>
      </c>
      <c r="I6" s="1306"/>
      <c r="J6" s="1306"/>
      <c r="K6" s="1306"/>
      <c r="L6" s="1306"/>
      <c r="M6" s="1306"/>
      <c r="N6" s="1306"/>
      <c r="O6" s="1306"/>
      <c r="P6" s="1306"/>
      <c r="Q6" s="1307"/>
    </row>
    <row r="7" spans="2:17">
      <c r="B7" s="61" t="s">
        <v>68</v>
      </c>
      <c r="C7" s="1287" t="s">
        <v>347</v>
      </c>
      <c r="D7" s="1288"/>
      <c r="F7" s="1308" t="s">
        <v>69</v>
      </c>
      <c r="G7" s="1309"/>
      <c r="H7" s="1312" t="s">
        <v>536</v>
      </c>
      <c r="I7" s="1313"/>
      <c r="J7" s="1313"/>
      <c r="K7" s="1313"/>
      <c r="L7" s="1313"/>
      <c r="M7" s="1313"/>
      <c r="N7" s="1313"/>
      <c r="O7" s="1313"/>
      <c r="P7" s="1313"/>
      <c r="Q7" s="1314"/>
    </row>
    <row r="8" spans="2:17">
      <c r="B8" s="63" t="s">
        <v>28</v>
      </c>
      <c r="C8" s="1289" t="s">
        <v>98</v>
      </c>
      <c r="D8" s="1290"/>
      <c r="F8" s="1310"/>
      <c r="G8" s="1311"/>
      <c r="H8" s="1315"/>
      <c r="I8" s="1316"/>
      <c r="J8" s="1316"/>
      <c r="K8" s="1316"/>
      <c r="L8" s="1316"/>
      <c r="M8" s="1316"/>
      <c r="N8" s="1316"/>
      <c r="O8" s="1316"/>
      <c r="P8" s="1316"/>
      <c r="Q8" s="1317"/>
    </row>
    <row r="11" spans="2:17">
      <c r="B11" s="64" t="s">
        <v>93</v>
      </c>
      <c r="C11" s="1287" t="s">
        <v>347</v>
      </c>
      <c r="D11" s="1288"/>
      <c r="E11" s="65"/>
      <c r="F11" s="65"/>
      <c r="G11" s="65"/>
      <c r="H11" s="65"/>
      <c r="I11" s="65"/>
      <c r="J11" s="65"/>
      <c r="K11" s="65"/>
      <c r="L11" s="65"/>
      <c r="M11" s="65"/>
      <c r="N11" s="65"/>
      <c r="O11" s="65"/>
      <c r="P11" s="65"/>
      <c r="Q11" s="66"/>
    </row>
    <row r="12" spans="2:17">
      <c r="B12" s="67" t="s">
        <v>95</v>
      </c>
      <c r="C12" s="532">
        <f>C36</f>
        <v>14.45</v>
      </c>
      <c r="D12" s="69" t="s">
        <v>96</v>
      </c>
      <c r="E12" s="70"/>
      <c r="F12" s="70"/>
      <c r="G12" s="70"/>
      <c r="H12" s="70"/>
      <c r="I12" s="70"/>
      <c r="J12" s="70"/>
      <c r="K12" s="70"/>
      <c r="L12" s="70"/>
      <c r="M12" s="70"/>
      <c r="N12" s="70"/>
      <c r="O12" s="70"/>
      <c r="P12" s="70"/>
      <c r="Q12" s="71"/>
    </row>
    <row r="13" spans="2:17">
      <c r="B13" s="72" t="s">
        <v>97</v>
      </c>
      <c r="C13" s="1289" t="s">
        <v>98</v>
      </c>
      <c r="D13" s="1290"/>
      <c r="E13" s="70"/>
      <c r="F13" s="70"/>
      <c r="G13" s="70"/>
      <c r="H13" s="70"/>
      <c r="I13" s="70"/>
      <c r="J13" s="70"/>
      <c r="K13" s="70"/>
      <c r="L13" s="70"/>
      <c r="M13" s="70"/>
      <c r="N13" s="70"/>
      <c r="O13" s="70"/>
      <c r="P13" s="70"/>
      <c r="Q13" s="71"/>
    </row>
    <row r="14" spans="2:17">
      <c r="B14" s="73"/>
      <c r="C14" s="74"/>
      <c r="D14" s="74"/>
      <c r="E14" s="74"/>
      <c r="F14" s="74"/>
      <c r="G14" s="74"/>
      <c r="H14" s="74"/>
      <c r="I14" s="74"/>
      <c r="J14" s="74"/>
      <c r="K14" s="74"/>
      <c r="L14" s="74"/>
      <c r="M14" s="74"/>
      <c r="N14" s="74"/>
      <c r="O14" s="74"/>
      <c r="P14" s="74"/>
      <c r="Q14" s="75"/>
    </row>
    <row r="15" spans="2:17">
      <c r="B15" s="1291" t="s">
        <v>71</v>
      </c>
      <c r="C15" s="1292"/>
      <c r="D15" s="1292"/>
      <c r="E15" s="1292"/>
      <c r="F15" s="1292"/>
      <c r="G15" s="1292"/>
      <c r="H15" s="1292"/>
      <c r="I15" s="1292"/>
      <c r="J15" s="1292"/>
      <c r="K15" s="1292"/>
      <c r="L15" s="1292"/>
      <c r="M15" s="1292"/>
      <c r="N15" s="1292"/>
      <c r="O15" s="1292"/>
      <c r="P15" s="1292"/>
      <c r="Q15" s="1293"/>
    </row>
    <row r="16" spans="2:17">
      <c r="B16" s="76" t="s">
        <v>72</v>
      </c>
      <c r="C16" s="1294"/>
      <c r="D16" s="1295"/>
      <c r="E16" s="1295"/>
      <c r="F16" s="1295"/>
      <c r="G16" s="1295"/>
      <c r="H16" s="1295"/>
      <c r="I16" s="1295"/>
      <c r="J16" s="1295"/>
      <c r="K16" s="1295"/>
      <c r="L16" s="1295"/>
      <c r="M16" s="1295"/>
      <c r="N16" s="1295"/>
      <c r="O16" s="1295"/>
      <c r="P16" s="1295"/>
      <c r="Q16" s="1296"/>
    </row>
    <row r="17" spans="2:18" ht="39.75" customHeight="1">
      <c r="B17" s="77" t="s">
        <v>74</v>
      </c>
      <c r="C17" s="1275" t="s">
        <v>537</v>
      </c>
      <c r="D17" s="1276"/>
      <c r="E17" s="1276"/>
      <c r="F17" s="1276"/>
      <c r="G17" s="1276"/>
      <c r="H17" s="1276"/>
      <c r="I17" s="1276"/>
      <c r="J17" s="1276"/>
      <c r="K17" s="1276"/>
      <c r="L17" s="1276"/>
      <c r="M17" s="1276"/>
      <c r="N17" s="1276"/>
      <c r="O17" s="1276"/>
      <c r="P17" s="1276"/>
      <c r="Q17" s="1277"/>
    </row>
    <row r="18" spans="2:18" ht="34.950000000000003" customHeight="1">
      <c r="B18" s="77" t="s">
        <v>76</v>
      </c>
      <c r="C18" s="1275" t="s">
        <v>538</v>
      </c>
      <c r="D18" s="1276"/>
      <c r="E18" s="1276"/>
      <c r="F18" s="1276"/>
      <c r="G18" s="1276"/>
      <c r="H18" s="1276"/>
      <c r="I18" s="1276"/>
      <c r="J18" s="1276"/>
      <c r="K18" s="1276"/>
      <c r="L18" s="1276"/>
      <c r="M18" s="1276"/>
      <c r="N18" s="1276"/>
      <c r="O18" s="1276"/>
      <c r="P18" s="1276"/>
      <c r="Q18" s="1277"/>
      <c r="R18" s="433"/>
    </row>
    <row r="19" spans="2:18">
      <c r="B19" s="77" t="s">
        <v>78</v>
      </c>
      <c r="C19" s="1275" t="s">
        <v>539</v>
      </c>
      <c r="D19" s="1276"/>
      <c r="E19" s="1276"/>
      <c r="F19" s="1276"/>
      <c r="G19" s="1276"/>
      <c r="H19" s="1276"/>
      <c r="I19" s="1276"/>
      <c r="J19" s="1276"/>
      <c r="K19" s="1276"/>
      <c r="L19" s="1276"/>
      <c r="M19" s="1276"/>
      <c r="N19" s="1276"/>
      <c r="O19" s="1276"/>
      <c r="P19" s="1276"/>
      <c r="Q19" s="1277"/>
    </row>
    <row r="20" spans="2:18" ht="52.05" customHeight="1">
      <c r="B20" s="77" t="s">
        <v>82</v>
      </c>
      <c r="C20" s="1275" t="s">
        <v>540</v>
      </c>
      <c r="D20" s="1276"/>
      <c r="E20" s="1276"/>
      <c r="F20" s="1276"/>
      <c r="G20" s="1276"/>
      <c r="H20" s="1276"/>
      <c r="I20" s="1276"/>
      <c r="J20" s="1276"/>
      <c r="K20" s="1276"/>
      <c r="L20" s="1276"/>
      <c r="M20" s="1276"/>
      <c r="N20" s="1276"/>
      <c r="O20" s="1276"/>
      <c r="P20" s="1276"/>
      <c r="Q20" s="1277"/>
    </row>
    <row r="21" spans="2:18">
      <c r="B21" s="77" t="s">
        <v>84</v>
      </c>
      <c r="C21" s="1275" t="s">
        <v>541</v>
      </c>
      <c r="D21" s="1276"/>
      <c r="E21" s="1276"/>
      <c r="F21" s="1276"/>
      <c r="G21" s="1276"/>
      <c r="H21" s="1276"/>
      <c r="I21" s="1276"/>
      <c r="J21" s="1276"/>
      <c r="K21" s="1276"/>
      <c r="L21" s="1276"/>
      <c r="M21" s="1276"/>
      <c r="N21" s="1276"/>
      <c r="O21" s="1276"/>
      <c r="P21" s="1276"/>
      <c r="Q21" s="1277"/>
    </row>
    <row r="22" spans="2:18">
      <c r="B22" s="77" t="s">
        <v>86</v>
      </c>
      <c r="C22" s="1275"/>
      <c r="D22" s="1276"/>
      <c r="E22" s="1276"/>
      <c r="F22" s="1276"/>
      <c r="G22" s="1276"/>
      <c r="H22" s="1276"/>
      <c r="I22" s="1276"/>
      <c r="J22" s="1276"/>
      <c r="K22" s="1276"/>
      <c r="L22" s="1276"/>
      <c r="M22" s="1276"/>
      <c r="N22" s="1276"/>
      <c r="O22" s="1276"/>
      <c r="P22" s="1276"/>
      <c r="Q22" s="1277"/>
    </row>
    <row r="23" spans="2:18">
      <c r="B23" s="79" t="s">
        <v>88</v>
      </c>
      <c r="C23" s="1279">
        <v>44948</v>
      </c>
      <c r="D23" s="1280"/>
      <c r="E23" s="1280"/>
      <c r="F23" s="1280"/>
      <c r="G23" s="1280"/>
      <c r="H23" s="1280"/>
      <c r="I23" s="1280"/>
      <c r="J23" s="1280"/>
      <c r="K23" s="1280"/>
      <c r="L23" s="1280"/>
      <c r="M23" s="1280"/>
      <c r="N23" s="1280"/>
      <c r="O23" s="1280"/>
      <c r="P23" s="1280"/>
      <c r="Q23" s="1281"/>
    </row>
    <row r="25" spans="2:18">
      <c r="B25" s="533" t="s">
        <v>542</v>
      </c>
      <c r="C25" s="330">
        <v>500</v>
      </c>
      <c r="D25" s="110" t="s">
        <v>543</v>
      </c>
      <c r="E25" s="97" t="s">
        <v>133</v>
      </c>
    </row>
    <row r="26" spans="2:18">
      <c r="B26" s="533"/>
      <c r="C26" s="110">
        <f>C25/1000</f>
        <v>0.5</v>
      </c>
      <c r="D26" s="110" t="s">
        <v>544</v>
      </c>
      <c r="L26" s="97" t="s">
        <v>133</v>
      </c>
    </row>
    <row r="27" spans="2:18">
      <c r="B27" s="533" t="s">
        <v>545</v>
      </c>
      <c r="C27" s="110">
        <v>21.3</v>
      </c>
      <c r="D27" s="110" t="s">
        <v>546</v>
      </c>
      <c r="E27" s="97" t="s">
        <v>431</v>
      </c>
    </row>
    <row r="28" spans="2:18">
      <c r="B28" s="533" t="s">
        <v>547</v>
      </c>
      <c r="C28" s="110">
        <v>7.6</v>
      </c>
      <c r="D28" s="110" t="s">
        <v>546</v>
      </c>
      <c r="E28" s="97" t="s">
        <v>431</v>
      </c>
    </row>
    <row r="29" spans="2:18">
      <c r="B29" s="533"/>
      <c r="C29" s="110"/>
      <c r="D29" s="110"/>
    </row>
    <row r="30" spans="2:18">
      <c r="B30" s="533"/>
      <c r="C30" s="110"/>
      <c r="D30" s="110"/>
    </row>
    <row r="31" spans="2:18">
      <c r="B31" s="533" t="s">
        <v>548</v>
      </c>
      <c r="C31" s="534">
        <f>C25*1000*C27</f>
        <v>10650000</v>
      </c>
      <c r="D31" s="110" t="s">
        <v>549</v>
      </c>
    </row>
    <row r="32" spans="2:18">
      <c r="B32" s="533" t="s">
        <v>550</v>
      </c>
      <c r="C32" s="534">
        <f>C25*1000*C28</f>
        <v>3800000</v>
      </c>
      <c r="D32" s="110" t="s">
        <v>549</v>
      </c>
    </row>
    <row r="33" spans="2:15">
      <c r="B33" s="533" t="s">
        <v>119</v>
      </c>
      <c r="C33" s="534">
        <f>C31+C32</f>
        <v>14450000</v>
      </c>
      <c r="D33" s="110"/>
    </row>
    <row r="34" spans="2:15">
      <c r="B34" s="533" t="s">
        <v>551</v>
      </c>
      <c r="C34" s="534">
        <f t="shared" ref="C34:C36" si="0">C31/10^6</f>
        <v>10.65</v>
      </c>
    </row>
    <row r="35" spans="2:15">
      <c r="B35" s="533" t="s">
        <v>552</v>
      </c>
      <c r="C35" s="534">
        <f t="shared" si="0"/>
        <v>3.8</v>
      </c>
      <c r="D35" s="110"/>
    </row>
    <row r="36" spans="2:15">
      <c r="B36" s="533" t="s">
        <v>119</v>
      </c>
      <c r="C36" s="535">
        <f t="shared" si="0"/>
        <v>14.45</v>
      </c>
      <c r="D36" s="110"/>
    </row>
    <row r="37" spans="2:15">
      <c r="D37" s="110" t="s">
        <v>549</v>
      </c>
    </row>
    <row r="38" spans="2:15">
      <c r="D38" s="499" t="s">
        <v>553</v>
      </c>
    </row>
    <row r="41" spans="2:15">
      <c r="O41" s="97"/>
    </row>
  </sheetData>
  <mergeCells count="19">
    <mergeCell ref="B5:D5"/>
    <mergeCell ref="F5:Q5"/>
    <mergeCell ref="F6:G6"/>
    <mergeCell ref="H6:Q6"/>
    <mergeCell ref="C7:D7"/>
    <mergeCell ref="F7:G8"/>
    <mergeCell ref="H7:Q8"/>
    <mergeCell ref="C8:D8"/>
    <mergeCell ref="C11:D11"/>
    <mergeCell ref="C13:D13"/>
    <mergeCell ref="B15:Q15"/>
    <mergeCell ref="C16:Q16"/>
    <mergeCell ref="C17:Q17"/>
    <mergeCell ref="C22:Q22"/>
    <mergeCell ref="C23:Q23"/>
    <mergeCell ref="C18:Q18"/>
    <mergeCell ref="C19:Q19"/>
    <mergeCell ref="C20:Q20"/>
    <mergeCell ref="C21:Q21"/>
  </mergeCells>
  <conditionalFormatting sqref="C8">
    <cfRule type="containsText" dxfId="681" priority="20" operator="containsText" text="Calcul validé">
      <formula>NOT(ISERROR(SEARCH("Calcul validé",C8)))</formula>
    </cfRule>
  </conditionalFormatting>
  <conditionalFormatting sqref="C8">
    <cfRule type="containsText" dxfId="680" priority="19" operator="containsText" text="Bon ordre de grandeur">
      <formula>NOT(ISERROR(SEARCH("Bon ordre de grandeur",C8)))</formula>
    </cfRule>
  </conditionalFormatting>
  <conditionalFormatting sqref="C8">
    <cfRule type="containsText" dxfId="679" priority="18" operator="containsText" text="Calcul brouillon, ordre de grandeur">
      <formula>NOT(ISERROR(SEARCH("Calcul brouillon, ordre de grandeur",C8)))</formula>
    </cfRule>
  </conditionalFormatting>
  <conditionalFormatting sqref="C8">
    <cfRule type="containsText" dxfId="678" priority="17" operator="containsText" text="Pas ok">
      <formula>NOT(ISERROR(SEARCH("Pas ok",C8)))</formula>
    </cfRule>
  </conditionalFormatting>
  <conditionalFormatting sqref="C8">
    <cfRule type="containsText" dxfId="677" priority="16" operator="containsText" text="Calcul validé">
      <formula>NOT(ISERROR(SEARCH("Calcul validé",C8)))</formula>
    </cfRule>
  </conditionalFormatting>
  <conditionalFormatting sqref="C8">
    <cfRule type="containsText" dxfId="676" priority="15" operator="containsText" text="Calcul validé">
      <formula>NOT(ISERROR(SEARCH("Calcul validé",C8)))</formula>
    </cfRule>
  </conditionalFormatting>
  <conditionalFormatting sqref="C8">
    <cfRule type="containsText" dxfId="675" priority="14" operator="containsText" text="Bon ordre de grandeur">
      <formula>NOT(ISERROR(SEARCH("Bon ordre de grandeur",C8)))</formula>
    </cfRule>
  </conditionalFormatting>
  <conditionalFormatting sqref="C8">
    <cfRule type="containsText" dxfId="674" priority="13" operator="containsText" text="Calcul brouillon, ordre de grandeur">
      <formula>NOT(ISERROR(SEARCH("Calcul brouillon, ordre de grandeur",C8)))</formula>
    </cfRule>
  </conditionalFormatting>
  <conditionalFormatting sqref="C8">
    <cfRule type="containsText" dxfId="673" priority="12" operator="containsText" text="Pas ok">
      <formula>NOT(ISERROR(SEARCH("Pas ok",C8)))</formula>
    </cfRule>
  </conditionalFormatting>
  <conditionalFormatting sqref="C8:D8">
    <cfRule type="containsText" dxfId="672" priority="11" operator="containsText" text="Calcul brouillon, odg">
      <formula>NOT(ISERROR(SEARCH("Calcul brouillon, odg",C8)))</formula>
    </cfRule>
  </conditionalFormatting>
  <conditionalFormatting sqref="C13">
    <cfRule type="containsText" dxfId="671" priority="10" operator="containsText" text="Calcul validé">
      <formula>NOT(ISERROR(SEARCH("Calcul validé",C13)))</formula>
    </cfRule>
  </conditionalFormatting>
  <conditionalFormatting sqref="C13">
    <cfRule type="containsText" dxfId="670" priority="9" operator="containsText" text="Bon ordre de grandeur">
      <formula>NOT(ISERROR(SEARCH("Bon ordre de grandeur",C13)))</formula>
    </cfRule>
  </conditionalFormatting>
  <conditionalFormatting sqref="C13">
    <cfRule type="containsText" dxfId="669" priority="8" operator="containsText" text="Calcul brouillon, ordre de grandeur">
      <formula>NOT(ISERROR(SEARCH("Calcul brouillon, ordre de grandeur",C13)))</formula>
    </cfRule>
  </conditionalFormatting>
  <conditionalFormatting sqref="C13">
    <cfRule type="containsText" dxfId="668" priority="7" operator="containsText" text="Pas ok">
      <formula>NOT(ISERROR(SEARCH("Pas ok",C13)))</formula>
    </cfRule>
  </conditionalFormatting>
  <conditionalFormatting sqref="C13">
    <cfRule type="containsText" dxfId="667" priority="6" operator="containsText" text="Calcul validé">
      <formula>NOT(ISERROR(SEARCH("Calcul validé",C13)))</formula>
    </cfRule>
  </conditionalFormatting>
  <conditionalFormatting sqref="C13">
    <cfRule type="containsText" dxfId="666" priority="5" operator="containsText" text="Calcul validé">
      <formula>NOT(ISERROR(SEARCH("Calcul validé",C13)))</formula>
    </cfRule>
  </conditionalFormatting>
  <conditionalFormatting sqref="C13">
    <cfRule type="containsText" dxfId="665" priority="4" operator="containsText" text="Bon ordre de grandeur">
      <formula>NOT(ISERROR(SEARCH("Bon ordre de grandeur",C13)))</formula>
    </cfRule>
  </conditionalFormatting>
  <conditionalFormatting sqref="C13">
    <cfRule type="containsText" dxfId="664" priority="3" operator="containsText" text="Calcul brouillon, ordre de grandeur">
      <formula>NOT(ISERROR(SEARCH("Calcul brouillon, ordre de grandeur",C13)))</formula>
    </cfRule>
  </conditionalFormatting>
  <conditionalFormatting sqref="C13">
    <cfRule type="containsText" dxfId="663" priority="2" operator="containsText" text="Pas ok">
      <formula>NOT(ISERROR(SEARCH("Pas ok",C13)))</formula>
    </cfRule>
  </conditionalFormatting>
  <conditionalFormatting sqref="C13:D13">
    <cfRule type="containsText" dxfId="662" priority="1" operator="containsText" text="Calcul brouillon, odg">
      <formula>NOT(ISERROR(SEARCH("Calcul brouillon, odg",C13)))</formula>
    </cfRule>
  </conditionalFormatting>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'Annexe 1'!$B$5:$B$8</xm:f>
          </x14:formula1>
          <xm:sqref>C8 C13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A F A A B Q S w M E F A A C A A g A Z n Z C V j A 3 x 5 m l A A A A 9 Q A A A B I A H A B D b 2 5 m a W c v U G F j a 2 F n Z S 5 4 b W w g o h g A K K A U A A A A A A A A A A A A A A A A A A A A A A A A A A A A h Y 8 x D o I w A E W v Q r r T l m o M k l I G E y d J j C b G t S k F G q G Y t l j u 5 u C R v I I Y R d 0 c / / t v + P 9 + v d F s a J v g I o 1 V n U 5 B B D E I p B Z d o X S V g t 6 V Y Q w y R r d c n H g l g 1 H W N h l s k Y L a u X O C k P c e + h n s T I U I x h E 6 5 p u 9 q G X L w U d W / + V Q a e u 4 F h I w e n i N Y Q Q u F z C e E 4 g p m h j N l f 7 2 Z J z 7 b H 8 g X f W N 6 4 1 k p Q n X O 4 q m S N H 7 A n s A U E s D B B Q A A g A I A G Z 2 Q 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m d k J W b n 6 N 3 Q k C A A B S D g A A E w A c A E Z v c m 1 1 b G F z L 1 N l Y 3 R p b 2 4 x L m 0 g o h g A K K A U A A A A A A A A A A A A A A A A A A A A A A A A A A A A 1 d R f i 9 p A E A D w d 8 H v s K w v E W x 6 + a u 0 + H D 1 W k 6 4 U s H r k 5 G y 5 4 6 6 m G T D 7 g Z a g h / I f g 2 / W D d q L M e t D 9 K U u w g i z k 7 G m f 0 N S l g o x l M 0 P X 4 6 H 9 u t d k u u i Q C K O v i R P M V w 4 z j I m p A V I O e m i 9 E Q x a D a L a R f U 5 6 L B e j I h C 7 t Q 6 6 0 v r A Y 7 B F P F a R K W n j 0 I f o u Q c h I g R A k u g O 5 U T y L x i n N p R I M J K L 6 n e x 3 l C 1 I U j 4 T f W J P M e M r Q b I 1 A 5 Q r X T D 6 u t + p N a f w L B P d T u 4 n d k a X u N t D s 3 G S x V D G S T n I E D u 2 h + f d 3 r H T 8 y D D U 9 P F b E y H 5 / n w f D u 7 I 4 r M T + k d / D l 9 p / a / l e 4 t E z z J Z T n 3 I d u e 6 O 9 c w T 0 Q q u e y q h K 6 g 9 P J b R x P F y Q m Q g 6 V y O H c g 7 7 O X 5 m e g F O 2 Z P v d 3 4 q P g q R y y U U y 4 n G e p G W W t A w t 9 I o C 6 9 + g O V O 4 h 1 R Z T M F P t e 2 h A m 9 W o 2 8 / C h e 2 6 P 1 m 1 b H i Z V d f V n Z O H q c q 9 O 2 y 8 i H 7 e A c v i j w w S A / P S v P 5 i C e H C 2 b i + d m 2 2 2 6 x 1 D y l c a H c a q G c h i + U a 1 4 o 9 + V C X W N f V S n B j 3 H H Y F H G 3 Q t x 7 0 L c v x A P / s 3 T q z z d h n t 6 Z k + v F k + v L s + r f f z K x 2 u 4 j 2 / 2 8 W v x 8 V / N J 6 h 8 / I b 7 B G a f o B a f 4 H / / H 1 7 t F l Z u Q c P d Q r N b W I t b + O b c + p V b 2 H C 3 v t m t X 4 t b / 8 2 5 D S q 3 f s P d B m a 3 Q S 1 u g 1 d 1 + w N Q S w E C L Q A U A A I A C A B m d k J W M D f H m a U A A A D 1 A A A A E g A A A A A A A A A A A A A A A A A A A A A A Q 2 9 u Z m l n L 1 B h Y 2 t h Z 2 U u e G 1 s U E s B A i 0 A F A A C A A g A Z n Z C V g / K 6 a u k A A A A 6 Q A A A B M A A A A A A A A A A A A A A A A A 8 Q A A A F t D b 2 5 0 Z W 5 0 X 1 R 5 c G V z X S 5 4 b W x Q S w E C L Q A U A A I A C A B m d k J W b n 6 N 3 Q k C A A B S D g A A E w A A A A A A A A A A A A A A A A D i A Q A A R m 9 y b X V s Y X M v U 2 V j d G l v b j E u b V B L B Q Y A A A A A A w A D A M I A A A A 4 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7 S g A A A A A A A B l 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A x M S U y M C h Q Y W d l J T I w M T A 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y M y 0 w M i 0 w M l Q x M D o 0 N j o 0 M S 4 z N T A 4 M z Q 1 W i I g L z 4 8 R W 5 0 c n k g V H l w Z T 0 i R m l s b E N v b H V t b l R 5 c G V z I i B W Y W x 1 Z T 0 i c 0 J n T U d C Z 1 k 9 I i A v P j x F b n R y e S B U e X B l P S J G a W x s Q 2 9 s d W 1 u T m F t Z X M i I F Z h b H V l P S J z W y Z x d W 9 0 O 1 B y b 2 R 1 a X Q m c X V v d D s s J n F 1 b 3 Q 7 a 2 d D T 1 9 7 M m V 9 I C 9 r Z 1 x u Z G U g c H J v Z H V p d C Z x d W 9 0 O y w m c X V v d D t T b 3 V y Y 2 U m c X V v d D s s J n F 1 b 3 Q 7 T G l l b l x u c 2 9 1 c m N l J n F 1 b 3 Q 7 L C Z x d W 9 0 O 0 N v b W 1 l b n R h a X J l 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G F i b G U w M T E g K F B h Z 2 U g M T A p L 1 R 5 c G U g b W 9 k a W Z p w 6 k u e 1 B y b 2 R 1 a X Q s M H 0 m c X V v d D s s J n F 1 b 3 Q 7 U 2 V j d G l v b j E v V G F i b G U w M T E g K F B h Z 2 U g M T A p L 1 R 5 c G U g b W 9 k a W Z p w 6 k u e 2 t n Q 0 9 f e 3 s y Z X 0 g L 2 t n X G 5 k Z S B w c m 9 k d W l 0 L D F 9 J n F 1 b 3 Q 7 L C Z x d W 9 0 O 1 N l Y 3 R p b 2 4 x L 1 R h Y m x l M D E x I C h Q Y W d l I D E w K S 9 U e X B l I G 1 v Z G l m a c O p L n t T b 3 V y Y 2 U s M n 0 m c X V v d D s s J n F 1 b 3 Q 7 U 2 V j d G l v b j E v V G F i b G U w M T E g K F B h Z 2 U g M T A p L 1 R 5 c G U g b W 9 k a W Z p w 6 k u e 0 x p Z W 5 c b n N v d X J j Z S w z f S Z x d W 9 0 O y w m c X V v d D t T Z W N 0 a W 9 u M S 9 U Y W J s Z T A x M S A o U G F n Z S A x M C k v V H l w Z S B t b 2 R p Z m n D q S 5 7 Q 2 9 t b W V u d G F p c m U s N H 0 m c X V v d D t d L C Z x d W 9 0 O 0 N v b H V t b k N v d W 5 0 J n F 1 b 3 Q 7 O j U s J n F 1 b 3 Q 7 S 2 V 5 Q 2 9 s d W 1 u T m F t Z X M m c X V v d D s 6 W 1 0 s J n F 1 b 3 Q 7 Q 2 9 s d W 1 u S W R l b n R p d G l l c y Z x d W 9 0 O z p b J n F 1 b 3 Q 7 U 2 V j d G l v b j E v V G F i b G U w M T E g K F B h Z 2 U g M T A p L 1 R 5 c G U g b W 9 k a W Z p w 6 k u e 1 B y b 2 R 1 a X Q s M H 0 m c X V v d D s s J n F 1 b 3 Q 7 U 2 V j d G l v b j E v V G F i b G U w M T E g K F B h Z 2 U g M T A p L 1 R 5 c G U g b W 9 k a W Z p w 6 k u e 2 t n Q 0 9 f e 3 s y Z X 0 g L 2 t n X G 5 k Z S B w c m 9 k d W l 0 L D F 9 J n F 1 b 3 Q 7 L C Z x d W 9 0 O 1 N l Y 3 R p b 2 4 x L 1 R h Y m x l M D E x I C h Q Y W d l I D E w K S 9 U e X B l I G 1 v Z G l m a c O p L n t T b 3 V y Y 2 U s M n 0 m c X V v d D s s J n F 1 b 3 Q 7 U 2 V j d G l v b j E v V G F i b G U w M T E g K F B h Z 2 U g M T A p L 1 R 5 c G U g b W 9 k a W Z p w 6 k u e 0 x p Z W 5 c b n N v d X J j Z S w z f S Z x d W 9 0 O y w m c X V v d D t T Z W N 0 a W 9 u M S 9 U Y W J s Z T A x M S A o U G F n Z S A x M C k v V H l w Z S B t b 2 R p Z m n D q S 5 7 Q 2 9 t b W V u d G F p c m U s N H 0 m c X V v d D t d L C Z x d W 9 0 O 1 J l b G F 0 a W 9 u c 2 h p c E l u Z m 8 m c X V v d D s 6 W 1 1 9 I i A v P j w v U 3 R h Y m x l R W 5 0 c m l l c z 4 8 L 0 l 0 Z W 0 + P E l 0 Z W 0 + P E l 0 Z W 1 M b 2 N h d G l v b j 4 8 S X R l b V R 5 c G U + R m 9 y b X V s Y T w v S X R l b V R 5 c G U + P E l 0 Z W 1 Q Y X R o P l N l Y 3 R p b 2 4 x L 1 R h Y m x l M D E x J T I w K F B h Z 2 U l M j A x M C k v U 2 9 1 c m N l P C 9 J d G V t U G F 0 a D 4 8 L 0 l 0 Z W 1 M b 2 N h d G l v b j 4 8 U 3 R h Y m x l R W 5 0 c m l l c y A v P j w v S X R l b T 4 8 S X R l b T 4 8 S X R l b U x v Y 2 F 0 a W 9 u P j x J d G V t V H l w Z T 5 G b 3 J t d W x h P C 9 J d G V t V H l w Z T 4 8 S X R l b V B h d G g + U 2 V j d G l v b j E v V G F i b G U w M T E l M j A o U G F n Z S U y M D E w K S 9 U Y W J s Z T A x M T w v S X R l b V B h d G g + P C 9 J d G V t T G 9 j Y X R p b 2 4 + P F N 0 Y W J s Z U V u d H J p Z X M g L z 4 8 L 0 l 0 Z W 0 + P E l 0 Z W 0 + P E l 0 Z W 1 M b 2 N h d G l v b j 4 8 S X R l b V R 5 c G U + R m 9 y b X V s Y T w v S X R l b V R 5 c G U + P E l 0 Z W 1 Q Y X R o P l N l Y 3 R p b 2 4 x L 1 R h Y m x l M D E x J T I w K F B h Z 2 U l M j A x M C k v R W 4 t d C V D M y V B Q X R l c y U y M H B y b 2 1 1 c z w v S X R l b V B h d G g + P C 9 J d G V t T G 9 j Y X R p b 2 4 + P F N 0 Y W J s Z U V u d H J p Z X M g L z 4 8 L 0 l 0 Z W 0 + P E l 0 Z W 0 + P E l 0 Z W 1 M b 2 N h d G l v b j 4 8 S X R l b V R 5 c G U + R m 9 y b X V s Y T w v S X R l b V R 5 c G U + P E l 0 Z W 1 Q Y X R o P l N l Y 3 R p b 2 4 x L 1 R h Y m x l M D E x J T I w K F B h Z 2 U l M j A x M C k v V H l w Z S U y M G 1 v Z G l m a S V D M y V B O T w v S X R l b V B h d G g + P C 9 J d G V t T G 9 j Y X R p b 2 4 + P F N 0 Y W J s Z U V u d H J p Z X M g L z 4 8 L 0 l 0 Z W 0 + P E l 0 Z W 0 + P E l 0 Z W 1 M b 2 N h d G l v b j 4 8 S X R l b V R 5 c G U + R m 9 y b X V s Y T w v S X R l b V R 5 c G U + P E l 0 Z W 1 Q Y X R o P l N l Y 3 R p b 2 4 x L 1 R h Y m x l M D E y J T I w K F B h Z 2 U l M j A x M 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z M C I g L z 4 8 R W 5 0 c n k g V H l w Z T 0 i R m l s b E V y c m 9 y Q 2 9 k Z S I g V m F s d W U 9 I n N V b m t u b 3 d u I i A v P j x F b n R y e S B U e X B l P S J G a W x s R X J y b 3 J D b 3 V u d C I g V m F s d W U 9 I m w w I i A v P j x F b n R y e S B U e X B l P S J G a W x s T G F z d F V w Z G F 0 Z W Q i I F Z h b H V l P S J k M j A y M y 0 w M i 0 w M l Q x M D o 0 N z o x M i 4 z N z g y N j E z W i I g L z 4 8 R W 5 0 c n k g V H l w Z T 0 i R m l s b E N v b H V t b l R 5 c G V z I i B W Y W x 1 Z T 0 i c 0 J n W U d C Z 1 k 9 I i A v P j x F b n R y e S B U e X B l P S J G a W x s Q 2 9 s d W 1 u T m F t Z X M i I F Z h b H V l P S J z W y Z x d W 9 0 O 0 N v b H V t b j E m c X V v d D s s J n F 1 b 3 Q 7 Q 2 9 s d W 1 u M i Z x d W 9 0 O y w m c X V v d D t D b 2 x 1 b W 4 z J n F 1 b 3 Q 7 L C Z x d W 9 0 O 0 N v b H V t b j Q m c X V v d D s s J n F 1 b 3 Q 7 Q 2 9 s d W 1 u N S 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R h Y m x l M D E y I C h Q Y W d l I D E x K S 9 U e X B l I G 1 v Z G l m a c O p L n t D b 2 x 1 b W 4 x L D B 9 J n F 1 b 3 Q 7 L C Z x d W 9 0 O 1 N l Y 3 R p b 2 4 x L 1 R h Y m x l M D E y I C h Q Y W d l I D E x K S 9 U e X B l I G 1 v Z G l m a c O p L n t D b 2 x 1 b W 4 y L D F 9 J n F 1 b 3 Q 7 L C Z x d W 9 0 O 1 N l Y 3 R p b 2 4 x L 1 R h Y m x l M D E y I C h Q Y W d l I D E x K S 9 U e X B l I G 1 v Z G l m a c O p L n t D b 2 x 1 b W 4 z L D J 9 J n F 1 b 3 Q 7 L C Z x d W 9 0 O 1 N l Y 3 R p b 2 4 x L 1 R h Y m x l M D E y I C h Q Y W d l I D E x K S 9 U e X B l I G 1 v Z G l m a c O p L n t D b 2 x 1 b W 4 0 L D N 9 J n F 1 b 3 Q 7 L C Z x d W 9 0 O 1 N l Y 3 R p b 2 4 x L 1 R h Y m x l M D E y I C h Q Y W d l I D E x K S 9 U e X B l I G 1 v Z G l m a c O p L n t D b 2 x 1 b W 4 1 L D R 9 J n F 1 b 3 Q 7 X S w m c X V v d D t D b 2 x 1 b W 5 D b 3 V u d C Z x d W 9 0 O z o 1 L C Z x d W 9 0 O 0 t l e U N v b H V t b k 5 h b W V z J n F 1 b 3 Q 7 O l t d L C Z x d W 9 0 O 0 N v b H V t b k l k Z W 5 0 a X R p Z X M m c X V v d D s 6 W y Z x d W 9 0 O 1 N l Y 3 R p b 2 4 x L 1 R h Y m x l M D E y I C h Q Y W d l I D E x K S 9 U e X B l I G 1 v Z G l m a c O p L n t D b 2 x 1 b W 4 x L D B 9 J n F 1 b 3 Q 7 L C Z x d W 9 0 O 1 N l Y 3 R p b 2 4 x L 1 R h Y m x l M D E y I C h Q Y W d l I D E x K S 9 U e X B l I G 1 v Z G l m a c O p L n t D b 2 x 1 b W 4 y L D F 9 J n F 1 b 3 Q 7 L C Z x d W 9 0 O 1 N l Y 3 R p b 2 4 x L 1 R h Y m x l M D E y I C h Q Y W d l I D E x K S 9 U e X B l I G 1 v Z G l m a c O p L n t D b 2 x 1 b W 4 z L D J 9 J n F 1 b 3 Q 7 L C Z x d W 9 0 O 1 N l Y 3 R p b 2 4 x L 1 R h Y m x l M D E y I C h Q Y W d l I D E x K S 9 U e X B l I G 1 v Z G l m a c O p L n t D b 2 x 1 b W 4 0 L D N 9 J n F 1 b 3 Q 7 L C Z x d W 9 0 O 1 N l Y 3 R p b 2 4 x L 1 R h Y m x l M D E y I C h Q Y W d l I D E x K S 9 U e X B l I G 1 v Z G l m a c O p L n t D b 2 x 1 b W 4 1 L D R 9 J n F 1 b 3 Q 7 X S w m c X V v d D t S Z W x h d G l v b n N o a X B J b m Z v J n F 1 b 3 Q 7 O l t d f S I g L z 4 8 L 1 N 0 Y W J s Z U V u d H J p Z X M + P C 9 J d G V t P j x J d G V t P j x J d G V t T G 9 j Y X R p b 2 4 + P E l 0 Z W 1 U e X B l P k Z v c m 1 1 b G E 8 L 0 l 0 Z W 1 U e X B l P j x J d G V t U G F 0 a D 5 T Z W N 0 a W 9 u M S 9 U Y W J s Z T A x M i U y M C h Q Y W d l J T I w M T E p L 1 N v d X J j Z T w v S X R l b V B h d G g + P C 9 J d G V t T G 9 j Y X R p b 2 4 + P F N 0 Y W J s Z U V u d H J p Z X M g L z 4 8 L 0 l 0 Z W 0 + P E l 0 Z W 0 + P E l 0 Z W 1 M b 2 N h d G l v b j 4 8 S X R l b V R 5 c G U + R m 9 y b X V s Y T w v S X R l b V R 5 c G U + P E l 0 Z W 1 Q Y X R o P l N l Y 3 R p b 2 4 x L 1 R h Y m x l M D E y J T I w K F B h Z 2 U l M j A x M S k v V G F i b G U w M T I 8 L 0 l 0 Z W 1 Q Y X R o P j w v S X R l b U x v Y 2 F 0 a W 9 u P j x T d G F i b G V F b n R y a W V z I C 8 + P C 9 J d G V t P j x J d G V t P j x J d G V t T G 9 j Y X R p b 2 4 + P E l 0 Z W 1 U e X B l P k Z v c m 1 1 b G E 8 L 0 l 0 Z W 1 U e X B l P j x J d G V t U G F 0 a D 5 T Z W N 0 a W 9 u M S 9 U Y W J s Z T A x M i U y M C h Q Y W d l J T I w M T E p L 1 R 5 c G U l M j B t b 2 R p Z m k l Q z M l Q T k 8 L 0 l 0 Z W 1 Q Y X R o P j w v S X R l b U x v Y 2 F 0 a W 9 u P j x T d G F i b G V F b n R y a W V z I C 8 + P C 9 J d G V t P j x J d G V t P j x J d G V t T G 9 j Y X R p b 2 4 + P E l 0 Z W 1 U e X B l P k Z v c m 1 1 b G E 8 L 0 l 0 Z W 1 U e X B l P j x J d G V t U G F 0 a D 5 T Z W N 0 a W 9 u M S 9 U Y W J s Z T A x M y U y M C h Q Y W d l J T I w M T 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M 1 I i A v P j x F b n R y e S B U e X B l P S J G a W x s R X J y b 3 J D b 2 R l I i B W Y W x 1 Z T 0 i c 1 V u a 2 5 v d 2 4 i I C 8 + P E V u d H J 5 I F R 5 c G U 9 I k Z p b G x F c n J v c k N v d W 5 0 I i B W Y W x 1 Z T 0 i b D A i I C 8 + P E V u d H J 5 I F R 5 c G U 9 I k Z p b G x M Y X N 0 V X B k Y X R l Z C I g V m F s d W U 9 I m Q y M D I z L T A y L T A y V D E w O j Q 4 O j Q 2 L j g w N z I y M z Z a I i A v P j x F b n R y e S B U e X B l P S J G a W x s Q 2 9 s d W 1 u V H l w Z X M i I F Z h b H V l P S J z Q m d Z R y I g L z 4 8 R W 5 0 c n k g V H l w Z T 0 i R m l s b E N v b H V t b k 5 h b W V z I i B W Y W x 1 Z T 0 i c 1 s m c X V v d D t D b 2 x 1 b W 4 x J n F 1 b 3 Q 7 L C Z x d W 9 0 O 0 N v b H V t b j I m c X V v d D s s J n F 1 b 3 Q 7 Q 2 9 s d W 1 u M 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R h Y m x l M D E z I C h Q Y W d l I D E y K S 9 U e X B l I G 1 v Z G l m a c O p L n t D b 2 x 1 b W 4 x L D B 9 J n F 1 b 3 Q 7 L C Z x d W 9 0 O 1 N l Y 3 R p b 2 4 x L 1 R h Y m x l M D E z I C h Q Y W d l I D E y K S 9 U e X B l I G 1 v Z G l m a c O p L n t D b 2 x 1 b W 4 y L D F 9 J n F 1 b 3 Q 7 L C Z x d W 9 0 O 1 N l Y 3 R p b 2 4 x L 1 R h Y m x l M D E z I C h Q Y W d l I D E y K S 9 U e X B l I G 1 v Z G l m a c O p L n t D b 2 x 1 b W 4 z L D J 9 J n F 1 b 3 Q 7 X S w m c X V v d D t D b 2 x 1 b W 5 D b 3 V u d C Z x d W 9 0 O z o z L C Z x d W 9 0 O 0 t l e U N v b H V t b k 5 h b W V z J n F 1 b 3 Q 7 O l t d L C Z x d W 9 0 O 0 N v b H V t b k l k Z W 5 0 a X R p Z X M m c X V v d D s 6 W y Z x d W 9 0 O 1 N l Y 3 R p b 2 4 x L 1 R h Y m x l M D E z I C h Q Y W d l I D E y K S 9 U e X B l I G 1 v Z G l m a c O p L n t D b 2 x 1 b W 4 x L D B 9 J n F 1 b 3 Q 7 L C Z x d W 9 0 O 1 N l Y 3 R p b 2 4 x L 1 R h Y m x l M D E z I C h Q Y W d l I D E y K S 9 U e X B l I G 1 v Z G l m a c O p L n t D b 2 x 1 b W 4 y L D F 9 J n F 1 b 3 Q 7 L C Z x d W 9 0 O 1 N l Y 3 R p b 2 4 x L 1 R h Y m x l M D E z I C h Q Y W d l I D E y K S 9 U e X B l I G 1 v Z G l m a c O p L n t D b 2 x 1 b W 4 z L D J 9 J n F 1 b 3 Q 7 X S w m c X V v d D t S Z W x h d G l v b n N o a X B J b m Z v J n F 1 b 3 Q 7 O l t d f S I g L z 4 8 L 1 N 0 Y W J s Z U V u d H J p Z X M + P C 9 J d G V t P j x J d G V t P j x J d G V t T G 9 j Y X R p b 2 4 + P E l 0 Z W 1 U e X B l P k Z v c m 1 1 b G E 8 L 0 l 0 Z W 1 U e X B l P j x J d G V t U G F 0 a D 5 T Z W N 0 a W 9 u M S 9 U Y W J s Z T A x M y U y M C h Q Y W d l J T I w M T I p L 1 N v d X J j Z T w v S X R l b V B h d G g + P C 9 J d G V t T G 9 j Y X R p b 2 4 + P F N 0 Y W J s Z U V u d H J p Z X M g L z 4 8 L 0 l 0 Z W 0 + P E l 0 Z W 0 + P E l 0 Z W 1 M b 2 N h d G l v b j 4 8 S X R l b V R 5 c G U + R m 9 y b X V s Y T w v S X R l b V R 5 c G U + P E l 0 Z W 1 Q Y X R o P l N l Y 3 R p b 2 4 x L 1 R h Y m x l M D E z J T I w K F B h Z 2 U l M j A x M i k v V G F i b G U w M T M 8 L 0 l 0 Z W 1 Q Y X R o P j w v S X R l b U x v Y 2 F 0 a W 9 u P j x T d G F i b G V F b n R y a W V z I C 8 + P C 9 J d G V t P j x J d G V t P j x J d G V t T G 9 j Y X R p b 2 4 + P E l 0 Z W 1 U e X B l P k Z v c m 1 1 b G E 8 L 0 l 0 Z W 1 U e X B l P j x J d G V t U G F 0 a D 5 T Z W N 0 a W 9 u M S 9 U Y W J s Z T A x M y U y M C h Q Y W d l J T I w M T I p L 1 R 5 c G U l M j B t b 2 R p Z m k l Q z M l Q T k 8 L 0 l 0 Z W 1 Q Y X R o P j w v S X R l b U x v Y 2 F 0 a W 9 u P j x T d G F i b G V F b n R y a W V z I C 8 + P C 9 J d G V t P j x J d G V t P j x J d G V t T G 9 j Y X R p b 2 4 + P E l 0 Z W 1 U e X B l P k Z v c m 1 1 b G E 8 L 0 l 0 Z W 1 U e X B l P j x J d G V t U G F 0 a D 5 T Z W N 0 a W 9 u M S 9 U Y W J s Z T A x N C U y M C h Q Y W d l J T I w M T 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z Y i I C 8 + P E V u d H J 5 I F R 5 c G U 9 I k Z p b G x F c n J v c k N v Z G U i I F Z h b H V l P S J z V W 5 r b m 9 3 b i I g L z 4 8 R W 5 0 c n k g V H l w Z T 0 i R m l s b E V y c m 9 y Q 2 9 1 b n Q i I F Z h b H V l P S J s M C I g L z 4 8 R W 5 0 c n k g V H l w Z T 0 i R m l s b E x h c 3 R V c G R h d G V k I i B W Y W x 1 Z T 0 i Z D I w M j M t M D I t M D J U M T M 6 M z Q 6 M D c u N z g 2 N z Q 5 N l o i I C 8 + P E V u d H J 5 I F R 5 c G U 9 I k Z p b G x D b 2 x 1 b W 5 U e X B l c y I g V m F s d W U 9 I n N C Z 1 l H 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M T Q g K F B h Z 2 U g M T M p L 1 R 5 c G U g b W 9 k a W Z p w 6 k u e 0 N v b H V t b j E s M H 0 m c X V v d D s s J n F 1 b 3 Q 7 U 2 V j d G l v b j E v V G F i b G U w M T Q g K F B h Z 2 U g M T M p L 1 R 5 c G U g b W 9 k a W Z p w 6 k u e 0 N v b H V t b j I s M X 0 m c X V v d D s s J n F 1 b 3 Q 7 U 2 V j d G l v b j E v V G F i b G U w M T Q g K F B h Z 2 U g M T M p L 1 R 5 c G U g b W 9 k a W Z p w 6 k u e 0 N v b H V t b j M s M n 0 m c X V v d D t d L C Z x d W 9 0 O 0 N v b H V t b k N v d W 5 0 J n F 1 b 3 Q 7 O j M s J n F 1 b 3 Q 7 S 2 V 5 Q 2 9 s d W 1 u T m F t Z X M m c X V v d D s 6 W 1 0 s J n F 1 b 3 Q 7 Q 2 9 s d W 1 u S W R l b n R p d G l l c y Z x d W 9 0 O z p b J n F 1 b 3 Q 7 U 2 V j d G l v b j E v V G F i b G U w M T Q g K F B h Z 2 U g M T M p L 1 R 5 c G U g b W 9 k a W Z p w 6 k u e 0 N v b H V t b j E s M H 0 m c X V v d D s s J n F 1 b 3 Q 7 U 2 V j d G l v b j E v V G F i b G U w M T Q g K F B h Z 2 U g M T M p L 1 R 5 c G U g b W 9 k a W Z p w 6 k u e 0 N v b H V t b j I s M X 0 m c X V v d D s s J n F 1 b 3 Q 7 U 2 V j d G l v b j E v V G F i b G U w M T Q g K F B h Z 2 U g M T M p L 1 R 5 c G U g b W 9 k a W Z p w 6 k u e 0 N v b H V t b j M s M n 0 m c X V v d D t d L C Z x d W 9 0 O 1 J l b G F 0 a W 9 u c 2 h p c E l u Z m 8 m c X V v d D s 6 W 1 1 9 I i A v P j w v U 3 R h Y m x l R W 5 0 c m l l c z 4 8 L 0 l 0 Z W 0 + P E l 0 Z W 0 + P E l 0 Z W 1 M b 2 N h d G l v b j 4 8 S X R l b V R 5 c G U + R m 9 y b X V s Y T w v S X R l b V R 5 c G U + P E l 0 Z W 1 Q Y X R o P l N l Y 3 R p b 2 4 x L 1 R h Y m x l M D E 0 J T I w K F B h Z 2 U l M j A x M y k v U 2 9 1 c m N l P C 9 J d G V t U G F 0 a D 4 8 L 0 l 0 Z W 1 M b 2 N h d G l v b j 4 8 U 3 R h Y m x l R W 5 0 c m l l c y A v P j w v S X R l b T 4 8 S X R l b T 4 8 S X R l b U x v Y 2 F 0 a W 9 u P j x J d G V t V H l w Z T 5 G b 3 J t d W x h P C 9 J d G V t V H l w Z T 4 8 S X R l b V B h d G g + U 2 V j d G l v b j E v V G F i b G U w M T Q l M j A o U G F n Z S U y M D E z K S 9 U Y W J s Z T A x N D w v S X R l b V B h d G g + P C 9 J d G V t T G 9 j Y X R p b 2 4 + P F N 0 Y W J s Z U V u d H J p Z X M g L z 4 8 L 0 l 0 Z W 0 + P E l 0 Z W 0 + P E l 0 Z W 1 M b 2 N h d G l v b j 4 8 S X R l b V R 5 c G U + R m 9 y b X V s Y T w v S X R l b V R 5 c G U + P E l 0 Z W 1 Q Y X R o P l N l Y 3 R p b 2 4 x L 1 R h Y m x l M D E 0 J T I w K F B h Z 2 U l M j A x M y k v V H l w Z S U y M G 1 v Z G l m a S V D M y V B O T w v S X R l b V B h d G g + P C 9 J d G V t T G 9 j Y X R p b 2 4 + P F N 0 Y W J s Z U V u d H J p Z X M g L z 4 8 L 0 l 0 Z W 0 + P E l 0 Z W 0 + P E l 0 Z W 1 M b 2 N h d G l v b j 4 8 S X R l b V R 5 c G U + R m 9 y b X V s Y T w v S X R l b V R 5 c G U + P E l 0 Z W 1 Q Y X R o P l N l Y 3 R p b 2 4 x L 1 R h Y m x l M D E 1 J T I w K F B h Z 2 U l M j A x N C k 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Q W R k Z W R U b 0 R h d G F N b 2 R l b C I g V m F s d W U 9 I m w w I i A v P j x F b n R y e S B U e X B l P S J G a W x s Q 2 9 1 b n Q i I F Z h b H V l P S J s M z U i I C 8 + P E V u d H J 5 I F R 5 c G U 9 I k Z p b G x F c n J v c k N v Z G U i I F Z h b H V l P S J z V W 5 r b m 9 3 b i I g L z 4 8 R W 5 0 c n k g V H l w Z T 0 i R m l s b E V y c m 9 y Q 2 9 1 b n Q i I F Z h b H V l P S J s M C I g L z 4 8 R W 5 0 c n k g V H l w Z T 0 i R m l s b E x h c 3 R V c G R h d G V k I i B W Y W x 1 Z T 0 i Z D I w M j M t M D I t M D J U M T M 6 M z Q 6 M T Q u O T U 0 N D g y O V 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G F i b G U w M T U g K F B h Z 2 U g M T Q p L 1 R 5 c G U g b W 9 k a W Z p w 6 k u e 0 N v b H V t b j E s M H 0 m c X V v d D s s J n F 1 b 3 Q 7 U 2 V j d G l v b j E v V G F i b G U w M T U g K F B h Z 2 U g M T Q p L 1 R 5 c G U g b W 9 k a W Z p w 6 k u e 0 N v b H V t b j I s M X 0 m c X V v d D s s J n F 1 b 3 Q 7 U 2 V j d G l v b j E v V G F i b G U w M T U g K F B h Z 2 U g M T Q p L 1 R 5 c G U g b W 9 k a W Z p w 6 k u e 0 N v b H V t b j M s M n 0 m c X V v d D s s J n F 1 b 3 Q 7 U 2 V j d G l v b j E v V G F i b G U w M T U g K F B h Z 2 U g M T Q p L 1 R 5 c G U g b W 9 k a W Z p w 6 k u e 0 N v b H V t b j Q s M 3 0 m c X V v d D t d L C Z x d W 9 0 O 0 N v b H V t b k N v d W 5 0 J n F 1 b 3 Q 7 O j Q s J n F 1 b 3 Q 7 S 2 V 5 Q 2 9 s d W 1 u T m F t Z X M m c X V v d D s 6 W 1 0 s J n F 1 b 3 Q 7 Q 2 9 s d W 1 u S W R l b n R p d G l l c y Z x d W 9 0 O z p b J n F 1 b 3 Q 7 U 2 V j d G l v b j E v V G F i b G U w M T U g K F B h Z 2 U g M T Q p L 1 R 5 c G U g b W 9 k a W Z p w 6 k u e 0 N v b H V t b j E s M H 0 m c X V v d D s s J n F 1 b 3 Q 7 U 2 V j d G l v b j E v V G F i b G U w M T U g K F B h Z 2 U g M T Q p L 1 R 5 c G U g b W 9 k a W Z p w 6 k u e 0 N v b H V t b j I s M X 0 m c X V v d D s s J n F 1 b 3 Q 7 U 2 V j d G l v b j E v V G F i b G U w M T U g K F B h Z 2 U g M T Q p L 1 R 5 c G U g b W 9 k a W Z p w 6 k u e 0 N v b H V t b j M s M n 0 m c X V v d D s s J n F 1 b 3 Q 7 U 2 V j d G l v b j E v V G F i b G U w M T U g K F B h Z 2 U g M T Q p L 1 R 5 c G U g b W 9 k a W Z p w 6 k u e 0 N v b H V t b j Q s M 3 0 m c X V v d D t d L C Z x d W 9 0 O 1 J l b G F 0 a W 9 u c 2 h p c E l u Z m 8 m c X V v d D s 6 W 1 1 9 I i A v P j w v U 3 R h Y m x l R W 5 0 c m l l c z 4 8 L 0 l 0 Z W 0 + P E l 0 Z W 0 + P E l 0 Z W 1 M b 2 N h d G l v b j 4 8 S X R l b V R 5 c G U + R m 9 y b X V s Y T w v S X R l b V R 5 c G U + P E l 0 Z W 1 Q Y X R o P l N l Y 3 R p b 2 4 x L 1 R h Y m x l M D E 1 J T I w K F B h Z 2 U l M j A x N C k v U 2 9 1 c m N l P C 9 J d G V t U G F 0 a D 4 8 L 0 l 0 Z W 1 M b 2 N h d G l v b j 4 8 U 3 R h Y m x l R W 5 0 c m l l c y A v P j w v S X R l b T 4 8 S X R l b T 4 8 S X R l b U x v Y 2 F 0 a W 9 u P j x J d G V t V H l w Z T 5 G b 3 J t d W x h P C 9 J d G V t V H l w Z T 4 8 S X R l b V B h d G g + U 2 V j d G l v b j E v V G F i b G U w M T U l M j A o U G F n Z S U y M D E 0 K S 9 U Y W J s Z T A x N T w v S X R l b V B h d G g + P C 9 J d G V t T G 9 j Y X R p b 2 4 + P F N 0 Y W J s Z U V u d H J p Z X M g L z 4 8 L 0 l 0 Z W 0 + P E l 0 Z W 0 + P E l 0 Z W 1 M b 2 N h d G l v b j 4 8 S X R l b V R 5 c G U + R m 9 y b X V s Y T w v S X R l b V R 5 c G U + P E l 0 Z W 1 Q Y X R o P l N l Y 3 R p b 2 4 x L 1 R h Y m x l M D E 1 J T I w K F B h Z 2 U l M j A x N C k v V H l w Z S U y M G 1 v Z G l m a S V D M y V B O T w v S X R l b V B h d G g + P C 9 J d G V t T G 9 j Y X R p b 2 4 + P F N 0 Y W J s Z U V u d H J p Z X M g L z 4 8 L 0 l 0 Z W 0 + P E l 0 Z W 0 + P E l 0 Z W 1 M b 2 N h d G l v b j 4 8 S X R l b V R 5 c G U + R m 9 y b X V s Y T w v S X R l b V R 5 c G U + P E l 0 Z W 1 Q Y X R o P l N l Y 3 R p b 2 4 x L 1 R h Y m x l M D E 2 J T I w K F B h Z 2 U l M j A x N 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j E i I C 8 + P E V u d H J 5 I F R 5 c G U 9 I k Z p b G x F c n J v c k N v Z G U i I F Z h b H V l P S J z V W 5 r b m 9 3 b i I g L z 4 8 R W 5 0 c n k g V H l w Z T 0 i R m l s b E V y c m 9 y Q 2 9 1 b n Q i I F Z h b H V l P S J s M C I g L z 4 8 R W 5 0 c n k g V H l w Z T 0 i R m l s b E x h c 3 R V c G R h d G V k I i B W Y W x 1 Z T 0 i Z D I w M j M t M D I t M D J U M T M 6 M z Q 6 N D k u O D Y 2 M D A 5 M F 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G F i b G U w M T Y g K F B h Z 2 U g M T U p L 1 R 5 c G U g b W 9 k a W Z p w 6 k u e 0 N v b H V t b j E s M H 0 m c X V v d D s s J n F 1 b 3 Q 7 U 2 V j d G l v b j E v V G F i b G U w M T Y g K F B h Z 2 U g M T U p L 1 R 5 c G U g b W 9 k a W Z p w 6 k u e 0 N v b H V t b j I s M X 0 m c X V v d D s s J n F 1 b 3 Q 7 U 2 V j d G l v b j E v V G F i b G U w M T Y g K F B h Z 2 U g M T U p L 1 R 5 c G U g b W 9 k a W Z p w 6 k u e 0 N v b H V t b j M s M n 0 m c X V v d D s s J n F 1 b 3 Q 7 U 2 V j d G l v b j E v V G F i b G U w M T Y g K F B h Z 2 U g M T U p L 1 R 5 c G U g b W 9 k a W Z p w 6 k u e 0 N v b H V t b j Q s M 3 0 m c X V v d D t d L C Z x d W 9 0 O 0 N v b H V t b k N v d W 5 0 J n F 1 b 3 Q 7 O j Q s J n F 1 b 3 Q 7 S 2 V 5 Q 2 9 s d W 1 u T m F t Z X M m c X V v d D s 6 W 1 0 s J n F 1 b 3 Q 7 Q 2 9 s d W 1 u S W R l b n R p d G l l c y Z x d W 9 0 O z p b J n F 1 b 3 Q 7 U 2 V j d G l v b j E v V G F i b G U w M T Y g K F B h Z 2 U g M T U p L 1 R 5 c G U g b W 9 k a W Z p w 6 k u e 0 N v b H V t b j E s M H 0 m c X V v d D s s J n F 1 b 3 Q 7 U 2 V j d G l v b j E v V G F i b G U w M T Y g K F B h Z 2 U g M T U p L 1 R 5 c G U g b W 9 k a W Z p w 6 k u e 0 N v b H V t b j I s M X 0 m c X V v d D s s J n F 1 b 3 Q 7 U 2 V j d G l v b j E v V G F i b G U w M T Y g K F B h Z 2 U g M T U p L 1 R 5 c G U g b W 9 k a W Z p w 6 k u e 0 N v b H V t b j M s M n 0 m c X V v d D s s J n F 1 b 3 Q 7 U 2 V j d G l v b j E v V G F i b G U w M T Y g K F B h Z 2 U g M T U p L 1 R 5 c G U g b W 9 k a W Z p w 6 k u e 0 N v b H V t b j Q s M 3 0 m c X V v d D t d L C Z x d W 9 0 O 1 J l b G F 0 a W 9 u c 2 h p c E l u Z m 8 m c X V v d D s 6 W 1 1 9 I i A v P j w v U 3 R h Y m x l R W 5 0 c m l l c z 4 8 L 0 l 0 Z W 0 + P E l 0 Z W 0 + P E l 0 Z W 1 M b 2 N h d G l v b j 4 8 S X R l b V R 5 c G U + R m 9 y b X V s Y T w v S X R l b V R 5 c G U + P E l 0 Z W 1 Q Y X R o P l N l Y 3 R p b 2 4 x L 1 R h Y m x l M D E 2 J T I w K F B h Z 2 U l M j A x N S k v U 2 9 1 c m N l P C 9 J d G V t U G F 0 a D 4 8 L 0 l 0 Z W 1 M b 2 N h d G l v b j 4 8 U 3 R h Y m x l R W 5 0 c m l l c y A v P j w v S X R l b T 4 8 S X R l b T 4 8 S X R l b U x v Y 2 F 0 a W 9 u P j x J d G V t V H l w Z T 5 G b 3 J t d W x h P C 9 J d G V t V H l w Z T 4 8 S X R l b V B h d G g + U 2 V j d G l v b j E v V G F i b G U w M T Y l M j A o U G F n Z S U y M D E 1 K S 9 U Y W J s Z T A x N j w v S X R l b V B h d G g + P C 9 J d G V t T G 9 j Y X R p b 2 4 + P F N 0 Y W J s Z U V u d H J p Z X M g L z 4 8 L 0 l 0 Z W 0 + P E l 0 Z W 0 + P E l 0 Z W 1 M b 2 N h d G l v b j 4 8 S X R l b V R 5 c G U + R m 9 y b X V s Y T w v S X R l b V R 5 c G U + P E l 0 Z W 1 Q Y X R o P l N l Y 3 R p b 2 4 x L 1 R h Y m x l M D E 2 J T I w K F B h Z 2 U l M j A x N S k v V H l w Z S U y M G 1 v Z G l m a S V D M y V B O T w v S X R l b V B h d G g + P C 9 J d G V t T G 9 j Y X R p b 2 4 + P F N 0 Y W J s Z U V u d H J p Z X M g L z 4 8 L 0 l 0 Z W 0 + P E l 0 Z W 0 + P E l 0 Z W 1 M b 2 N h d G l v b j 4 8 S X R l b V R 5 c G U + R m 9 y b X V s Y T w v S X R l b V R 5 c G U + P E l 0 Z W 1 Q Y X R o P l N l Y 3 R p b 2 4 x L 1 R h Y m x l M D E 3 J T I w K F B h Z 2 U l M j A x N 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T c i I C 8 + P E V u d H J 5 I F R 5 c G U 9 I k Z p b G x F c n J v c k N v Z G U i I F Z h b H V l P S J z V W 5 r b m 9 3 b i I g L z 4 8 R W 5 0 c n k g V H l w Z T 0 i R m l s b E V y c m 9 y Q 2 9 1 b n Q i I F Z h b H V l P S J s M C I g L z 4 8 R W 5 0 c n k g V H l w Z T 0 i R m l s b E x h c 3 R V c G R h d G V k I i B W Y W x 1 Z T 0 i Z D I w M j M t M D I t M D J U M T M 6 M z U 6 M j Q u N T Q w N z Q y N 1 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G F i b G U w M T c g K F B h Z 2 U g M T Y p L 1 R 5 c G U g b W 9 k a W Z p w 6 k u e 0 N v b H V t b j E s M H 0 m c X V v d D s s J n F 1 b 3 Q 7 U 2 V j d G l v b j E v V G F i b G U w M T c g K F B h Z 2 U g M T Y p L 1 R 5 c G U g b W 9 k a W Z p w 6 k u e 0 N v b H V t b j I s M X 0 m c X V v d D s s J n F 1 b 3 Q 7 U 2 V j d G l v b j E v V G F i b G U w M T c g K F B h Z 2 U g M T Y p L 1 R 5 c G U g b W 9 k a W Z p w 6 k u e 0 N v b H V t b j M s M n 0 m c X V v d D s s J n F 1 b 3 Q 7 U 2 V j d G l v b j E v V G F i b G U w M T c g K F B h Z 2 U g M T Y p L 1 R 5 c G U g b W 9 k a W Z p w 6 k u e 0 N v b H V t b j Q s M 3 0 m c X V v d D t d L C Z x d W 9 0 O 0 N v b H V t b k N v d W 5 0 J n F 1 b 3 Q 7 O j Q s J n F 1 b 3 Q 7 S 2 V 5 Q 2 9 s d W 1 u T m F t Z X M m c X V v d D s 6 W 1 0 s J n F 1 b 3 Q 7 Q 2 9 s d W 1 u S W R l b n R p d G l l c y Z x d W 9 0 O z p b J n F 1 b 3 Q 7 U 2 V j d G l v b j E v V G F i b G U w M T c g K F B h Z 2 U g M T Y p L 1 R 5 c G U g b W 9 k a W Z p w 6 k u e 0 N v b H V t b j E s M H 0 m c X V v d D s s J n F 1 b 3 Q 7 U 2 V j d G l v b j E v V G F i b G U w M T c g K F B h Z 2 U g M T Y p L 1 R 5 c G U g b W 9 k a W Z p w 6 k u e 0 N v b H V t b j I s M X 0 m c X V v d D s s J n F 1 b 3 Q 7 U 2 V j d G l v b j E v V G F i b G U w M T c g K F B h Z 2 U g M T Y p L 1 R 5 c G U g b W 9 k a W Z p w 6 k u e 0 N v b H V t b j M s M n 0 m c X V v d D s s J n F 1 b 3 Q 7 U 2 V j d G l v b j E v V G F i b G U w M T c g K F B h Z 2 U g M T Y p L 1 R 5 c G U g b W 9 k a W Z p w 6 k u e 0 N v b H V t b j Q s M 3 0 m c X V v d D t d L C Z x d W 9 0 O 1 J l b G F 0 a W 9 u c 2 h p c E l u Z m 8 m c X V v d D s 6 W 1 1 9 I i A v P j w v U 3 R h Y m x l R W 5 0 c m l l c z 4 8 L 0 l 0 Z W 0 + P E l 0 Z W 0 + P E l 0 Z W 1 M b 2 N h d G l v b j 4 8 S X R l b V R 5 c G U + R m 9 y b X V s Y T w v S X R l b V R 5 c G U + P E l 0 Z W 1 Q Y X R o P l N l Y 3 R p b 2 4 x L 1 R h Y m x l M D E 3 J T I w K F B h Z 2 U l M j A x N i k v U 2 9 1 c m N l P C 9 J d G V t U G F 0 a D 4 8 L 0 l 0 Z W 1 M b 2 N h d G l v b j 4 8 U 3 R h Y m x l R W 5 0 c m l l c y A v P j w v S X R l b T 4 8 S X R l b T 4 8 S X R l b U x v Y 2 F 0 a W 9 u P j x J d G V t V H l w Z T 5 G b 3 J t d W x h P C 9 J d G V t V H l w Z T 4 8 S X R l b V B h d G g + U 2 V j d G l v b j E v V G F i b G U w M T c l M j A o U G F n Z S U y M D E 2 K S 9 U Y W J s Z T A x N z w v S X R l b V B h d G g + P C 9 J d G V t T G 9 j Y X R p b 2 4 + P F N 0 Y W J s Z U V u d H J p Z X M g L z 4 8 L 0 l 0 Z W 0 + P E l 0 Z W 0 + P E l 0 Z W 1 M b 2 N h d G l v b j 4 8 S X R l b V R 5 c G U + R m 9 y b X V s Y T w v S X R l b V R 5 c G U + P E l 0 Z W 1 Q Y X R o P l N l Y 3 R p b 2 4 x L 1 R h Y m x l M D E 3 J T I w K F B h Z 2 U l M j A x N i k v V H l w Z S U y M G 1 v Z G l m a S V D M y V B O T w v S X R l b V B h d G g + P C 9 J d G V t T G 9 j Y X R p b 2 4 + P F N 0 Y W J s Z U V u d H J p Z X M g L z 4 8 L 0 l 0 Z W 0 + P E l 0 Z W 0 + P E l 0 Z W 1 M b 2 N h d G l v b j 4 8 S X R l b V R 5 c G U + R m 9 y b X V s Y T w v S X R l b V R 5 c G U + P E l 0 Z W 1 Q Y X R o P l N l Y 3 R p b 2 4 x L 1 R h Y m x l M D E 4 J T I w K F B h Z 2 U l M j A x N 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z Q i I C 8 + P E V u d H J 5 I F R 5 c G U 9 I k Z p b G x F c n J v c k N v Z G U i I F Z h b H V l P S J z V W 5 r b m 9 3 b i I g L z 4 8 R W 5 0 c n k g V H l w Z T 0 i R m l s b E V y c m 9 y Q 2 9 1 b n Q i I F Z h b H V l P S J s M C I g L z 4 8 R W 5 0 c n k g V H l w Z T 0 i R m l s b E x h c 3 R V c G R h d G V k I i B W Y W x 1 Z T 0 i Z D I w M j M t M D I t M D J U M T M 6 N D Y 6 N T g u O D E w M j I z O F 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G F i b G U w M T g g K F B h Z 2 U g M T c p L 1 R 5 c G U g b W 9 k a W Z p w 6 k u e 0 N v b H V t b j E s M H 0 m c X V v d D s s J n F 1 b 3 Q 7 U 2 V j d G l v b j E v V G F i b G U w M T g g K F B h Z 2 U g M T c p L 1 R 5 c G U g b W 9 k a W Z p w 6 k u e 0 N v b H V t b j I s M X 0 m c X V v d D s s J n F 1 b 3 Q 7 U 2 V j d G l v b j E v V G F i b G U w M T g g K F B h Z 2 U g M T c p L 1 R 5 c G U g b W 9 k a W Z p w 6 k u e 0 N v b H V t b j M s M n 0 m c X V v d D s s J n F 1 b 3 Q 7 U 2 V j d G l v b j E v V G F i b G U w M T g g K F B h Z 2 U g M T c p L 1 R 5 c G U g b W 9 k a W Z p w 6 k u e 0 N v b H V t b j Q s M 3 0 m c X V v d D t d L C Z x d W 9 0 O 0 N v b H V t b k N v d W 5 0 J n F 1 b 3 Q 7 O j Q s J n F 1 b 3 Q 7 S 2 V 5 Q 2 9 s d W 1 u T m F t Z X M m c X V v d D s 6 W 1 0 s J n F 1 b 3 Q 7 Q 2 9 s d W 1 u S W R l b n R p d G l l c y Z x d W 9 0 O z p b J n F 1 b 3 Q 7 U 2 V j d G l v b j E v V G F i b G U w M T g g K F B h Z 2 U g M T c p L 1 R 5 c G U g b W 9 k a W Z p w 6 k u e 0 N v b H V t b j E s M H 0 m c X V v d D s s J n F 1 b 3 Q 7 U 2 V j d G l v b j E v V G F i b G U w M T g g K F B h Z 2 U g M T c p L 1 R 5 c G U g b W 9 k a W Z p w 6 k u e 0 N v b H V t b j I s M X 0 m c X V v d D s s J n F 1 b 3 Q 7 U 2 V j d G l v b j E v V G F i b G U w M T g g K F B h Z 2 U g M T c p L 1 R 5 c G U g b W 9 k a W Z p w 6 k u e 0 N v b H V t b j M s M n 0 m c X V v d D s s J n F 1 b 3 Q 7 U 2 V j d G l v b j E v V G F i b G U w M T g g K F B h Z 2 U g M T c p L 1 R 5 c G U g b W 9 k a W Z p w 6 k u e 0 N v b H V t b j Q s M 3 0 m c X V v d D t d L C Z x d W 9 0 O 1 J l b G F 0 a W 9 u c 2 h p c E l u Z m 8 m c X V v d D s 6 W 1 1 9 I i A v P j w v U 3 R h Y m x l R W 5 0 c m l l c z 4 8 L 0 l 0 Z W 0 + P E l 0 Z W 0 + P E l 0 Z W 1 M b 2 N h d G l v b j 4 8 S X R l b V R 5 c G U + R m 9 y b X V s Y T w v S X R l b V R 5 c G U + P E l 0 Z W 1 Q Y X R o P l N l Y 3 R p b 2 4 x L 1 R h Y m x l M D E 4 J T I w K F B h Z 2 U l M j A x N y k v U 2 9 1 c m N l P C 9 J d G V t U G F 0 a D 4 8 L 0 l 0 Z W 1 M b 2 N h d G l v b j 4 8 U 3 R h Y m x l R W 5 0 c m l l c y A v P j w v S X R l b T 4 8 S X R l b T 4 8 S X R l b U x v Y 2 F 0 a W 9 u P j x J d G V t V H l w Z T 5 G b 3 J t d W x h P C 9 J d G V t V H l w Z T 4 8 S X R l b V B h d G g + U 2 V j d G l v b j E v V G F i b G U w M T g l M j A o U G F n Z S U y M D E 3 K S 9 U Y W J s Z T A x O D w v S X R l b V B h d G g + P C 9 J d G V t T G 9 j Y X R p b 2 4 + P F N 0 Y W J s Z U V u d H J p Z X M g L z 4 8 L 0 l 0 Z W 0 + P E l 0 Z W 0 + P E l 0 Z W 1 M b 2 N h d G l v b j 4 8 S X R l b V R 5 c G U + R m 9 y b X V s Y T w v S X R l b V R 5 c G U + P E l 0 Z W 1 Q Y X R o P l N l Y 3 R p b 2 4 x L 1 R h Y m x l M D E 4 J T I w K F B h Z 2 U l M j A x N y k v V H l w Z S U y M G 1 v Z G l m a S V D M y V B O T w v S X R l b V B h d G g + P C 9 J d G V t T G 9 j Y X R p b 2 4 + P F N 0 Y W J s Z U V u d H J p Z X M g L z 4 8 L 0 l 0 Z W 0 + P C 9 J d G V t c z 4 8 L 0 x v Y 2 F s U G F j a 2 F n Z U 1 l d G F k Y X R h R m l s Z T 4 W A A A A U E s F B g A A A A A A A A A A A A A A A A A A A A A A A C Y B A A A B A A A A 0 I y d 3 w E V 0 R G M e g D A T 8 K X 6 w E A A A C F R S / U P G O W T Y z 3 5 2 r F X A 2 + A A A A A A I A A A A A A B B m A A A A A Q A A I A A A A L N y F R 1 c + R t J C W l m 4 y Q e N 5 J u j a V 8 G u z + d H p 1 4 E d C m D 6 b A A A A A A 6 A A A A A A g A A I A A A A O r L p Q P h 1 M m a t Z X M 2 c B d y + A E d L q R C 1 0 f J g 2 z 0 + s E z A d 9 U A A A A E c L u r 1 g Z Z 9 h k x T / L + x D X Z d v 7 x / b R O A i b M U A + q s r 7 V K a q i D 0 V H m f c q M Z O Z s 4 E z p H l X V N + T D G 4 2 G F h D T U V s M G L m J o B 6 2 H k u C M K X m O t v X h d a W N Q A A A A D I S x O K M Z E O k G X I N 0 j 8 z H C l 0 + S 9 Q Z s J c a L T t Q C P t j X u J Z 3 a F O L P a 8 3 h r A N 3 + u 3 S X M n L v V v y A b W H N Y q X x N / p f G A I = < / D a t a M a s h u p > 
</file>

<file path=customXml/itemProps1.xml><?xml version="1.0" encoding="utf-8"?>
<ds:datastoreItem xmlns:ds="http://schemas.openxmlformats.org/officeDocument/2006/customXml" ds:itemID="{43A29DA6-CA2A-4470-A48F-27E30B72675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37</vt:i4>
      </vt:variant>
      <vt:variant>
        <vt:lpstr>Plages nommées</vt:lpstr>
      </vt:variant>
      <vt:variant>
        <vt:i4>2</vt:i4>
      </vt:variant>
    </vt:vector>
  </HeadingPairs>
  <TitlesOfParts>
    <vt:vector size="39" baseType="lpstr">
      <vt:lpstr>Read me</vt:lpstr>
      <vt:lpstr>Bilan global</vt:lpstr>
      <vt:lpstr>Fiche d'identité </vt:lpstr>
      <vt:lpstr>1</vt:lpstr>
      <vt:lpstr>6</vt:lpstr>
      <vt:lpstr>7</vt:lpstr>
      <vt:lpstr>9</vt:lpstr>
      <vt:lpstr>9.alimentaire</vt:lpstr>
      <vt:lpstr>9.médicaments</vt:lpstr>
      <vt:lpstr>9.dispositifs_médicaux</vt:lpstr>
      <vt:lpstr>9.fournitures_administratives</vt:lpstr>
      <vt:lpstr>9.services</vt:lpstr>
      <vt:lpstr>9. Linge </vt:lpstr>
      <vt:lpstr>10</vt:lpstr>
      <vt:lpstr>10.bâtiments</vt:lpstr>
      <vt:lpstr>10. SI</vt:lpstr>
      <vt:lpstr>10. Mobilier+machines+véhicules</vt:lpstr>
      <vt:lpstr>2</vt:lpstr>
      <vt:lpstr>13</vt:lpstr>
      <vt:lpstr>16</vt:lpstr>
      <vt:lpstr>16.patients</vt:lpstr>
      <vt:lpstr>16.visiteurs</vt:lpstr>
      <vt:lpstr>22</vt:lpstr>
      <vt:lpstr>4</vt:lpstr>
      <vt:lpstr>11</vt:lpstr>
      <vt:lpstr>Annexe 1</vt:lpstr>
      <vt:lpstr>Annexe 2</vt:lpstr>
      <vt:lpstr>1+6+7_mesure</vt:lpstr>
      <vt:lpstr>9.médicaments_mesure</vt:lpstr>
      <vt:lpstr>9. Dispositifs médicaux_mesure </vt:lpstr>
      <vt:lpstr>9.alimentaire_mesure</vt:lpstr>
      <vt:lpstr>13_mesure</vt:lpstr>
      <vt:lpstr>16_mesure</vt:lpstr>
      <vt:lpstr>22_mesure </vt:lpstr>
      <vt:lpstr>2_mesure</vt:lpstr>
      <vt:lpstr>11_mesure</vt:lpstr>
      <vt:lpstr>4_mesure</vt:lpstr>
      <vt:lpstr>Mtep_to_TWh</vt:lpstr>
      <vt:lpstr>tep_to_TWh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Nobody</dc:creator>
  <cp:lastModifiedBy>TSP_User</cp:lastModifiedBy>
  <cp:revision>2</cp:revision>
  <dcterms:created xsi:type="dcterms:W3CDTF">2023-04-08T09:32:08Z</dcterms:created>
  <dcterms:modified xsi:type="dcterms:W3CDTF">2025-01-23T17:26:01Z</dcterms:modified>
</cp:coreProperties>
</file>